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Комитет экономики ЖКХ и жилищной реформы\Рабочая\КАПИТАЛЬНЫЙ РЕМОНТ\Краткосрочные планы\КП 2020-2022\КП 2020-2022 4 корректировка\"/>
    </mc:Choice>
  </mc:AlternateContent>
  <bookViews>
    <workbookView xWindow="0" yWindow="0" windowWidth="20490" windowHeight="6165" tabRatio="586"/>
  </bookViews>
  <sheets>
    <sheet name="форма 1" sheetId="1" r:id="rId1"/>
    <sheet name="Форма 2" sheetId="4" r:id="rId2"/>
  </sheets>
  <externalReferences>
    <externalReference r:id="rId3"/>
    <externalReference r:id="rId4"/>
  </externalReferences>
  <definedNames>
    <definedName name="_xlnm._FilterDatabase" localSheetId="0" hidden="1">'форма 1'!$A$8:$S$899</definedName>
    <definedName name="_xlnm._FilterDatabase" localSheetId="1" hidden="1">'Форма 2'!$A$4:$K$3278</definedName>
    <definedName name="Z_071E1129_87BE_443E_A630_49B570385858_.wvu.FilterData" localSheetId="0" hidden="1">'форма 1'!$A$8:$S$12</definedName>
    <definedName name="Z_2153793A_FA21_4C81_8AE5_3C176D0CDF9C_.wvu.FilterData" localSheetId="0" hidden="1">'форма 1'!$A$8:$S$12</definedName>
    <definedName name="Z_3511D8A4_2A8D_4563_8DF1_C381EEDBF68F_.wvu.FilterData" localSheetId="0" hidden="1">'форма 1'!$A$8:$S$12</definedName>
    <definedName name="Z_3511D8A4_2A8D_4563_8DF1_C381EEDBF68F_.wvu.FilterData" localSheetId="1" hidden="1">'Форма 2'!$A$4:$K$4</definedName>
    <definedName name="Z_3511D8A4_2A8D_4563_8DF1_C381EEDBF68F_.wvu.PrintArea" localSheetId="0" hidden="1">'форма 1'!$A$1:$S$12</definedName>
    <definedName name="Z_3511D8A4_2A8D_4563_8DF1_C381EEDBF68F_.wvu.PrintArea" localSheetId="1" hidden="1">'Форма 2'!$A$1:$K$1079</definedName>
    <definedName name="Z_3511D8A4_2A8D_4563_8DF1_C381EEDBF68F_.wvu.PrintTitles" localSheetId="1" hidden="1">'Форма 2'!$4:$4</definedName>
    <definedName name="Z_4A739215_D16A_4EE7_A2DF_5890D7372CF6_.wvu.FilterData" localSheetId="0" hidden="1">'форма 1'!$A$8:$S$12</definedName>
    <definedName name="Z_4A739215_D16A_4EE7_A2DF_5890D7372CF6_.wvu.FilterData" localSheetId="1" hidden="1">'Форма 2'!$A$4:$K$6</definedName>
    <definedName name="Z_4BBD3242_ADF1_41E0_9651_34A11444B844_.wvu.FilterData" localSheetId="0" hidden="1">'форма 1'!$A$8:$S$12</definedName>
    <definedName name="Z_4BBD3242_ADF1_41E0_9651_34A11444B844_.wvu.FilterData" localSheetId="1" hidden="1">'Форма 2'!$A$4:$K$6</definedName>
    <definedName name="Z_513E810E_3E48_4817_A3BD_1F59CB59F4CA_.wvu.FilterData" localSheetId="1" hidden="1">'Форма 2'!$A$4:$K$6</definedName>
    <definedName name="Z_5F42B46C_E737_4DDF_A6B3_D01B97AD9617_.wvu.FilterData" localSheetId="0" hidden="1">'форма 1'!$A$8:$S$12</definedName>
    <definedName name="Z_5F42B46C_E737_4DDF_A6B3_D01B97AD9617_.wvu.FilterData" localSheetId="1" hidden="1">'Форма 2'!$A$4:$K$6</definedName>
    <definedName name="Z_6B855072_AFE4_4509_A179_E4F6A2796966_.wvu.FilterData" localSheetId="1" hidden="1">'Форма 2'!$A$4:$K$6</definedName>
    <definedName name="Z_7B1C413C_CFA4_46EC_80EB_4C481039F7CE_.wvu.FilterData" localSheetId="1" hidden="1">'Форма 2'!$A$4:$K$6</definedName>
    <definedName name="Z_7D125628_27D8_424A_B039_7F6935A9E22F_.wvu.FilterData" localSheetId="0" hidden="1">'форма 1'!$A$8:$S$12</definedName>
    <definedName name="Z_7D125628_27D8_424A_B039_7F6935A9E22F_.wvu.FilterData" localSheetId="1" hidden="1">'Форма 2'!$A$4:$K$6</definedName>
    <definedName name="Z_894246BE_CC98_45CA_9015_348B720E2996_.wvu.FilterData" localSheetId="0" hidden="1">'форма 1'!$A$8:$S$12</definedName>
    <definedName name="Z_9A08A02A_49DA_4249_BF63_47BD16E54DDA_.wvu.FilterData" localSheetId="1" hidden="1">'Форма 2'!$A$4:$K$6</definedName>
    <definedName name="Z_B69FB2D8_BCA5_4AC2_B0C9_F7BAD98AD860_.wvu.FilterData" localSheetId="0" hidden="1">'форма 1'!$A$8:$S$12</definedName>
    <definedName name="Z_B69FB2D8_BCA5_4AC2_B0C9_F7BAD98AD860_.wvu.FilterData" localSheetId="1" hidden="1">'Форма 2'!$A$4:$K$6</definedName>
    <definedName name="Z_BA9FD3DD_4F2C_454E_A268_F4AB041FD291_.wvu.FilterData" localSheetId="1" hidden="1">'Форма 2'!$A$4:$K$6</definedName>
    <definedName name="Z_C9A56928_F6D8_45BD_A377_A02C7A3A4EC3_.wvu.FilterData" localSheetId="0" hidden="1">'форма 1'!$A$8:$S$12</definedName>
    <definedName name="Z_C9A56928_F6D8_45BD_A377_A02C7A3A4EC3_.wvu.FilterData" localSheetId="1" hidden="1">'Форма 2'!$A$4:$K$6</definedName>
    <definedName name="Z_CC3EEC02_30D2_4905_AE21_71EA71520321_.wvu.FilterData" localSheetId="0" hidden="1">'форма 1'!$A$8:$S$12</definedName>
    <definedName name="Z_CC3EEC02_30D2_4905_AE21_71EA71520321_.wvu.FilterData" localSheetId="1" hidden="1">'Форма 2'!$A$4:$K$6</definedName>
    <definedName name="Z_CC3EEC02_30D2_4905_AE21_71EA71520321_.wvu.PrintArea" localSheetId="1" hidden="1">'Форма 2'!$A$1:$K$1079</definedName>
    <definedName name="Z_CC3EEC02_30D2_4905_AE21_71EA71520321_.wvu.PrintTitles" localSheetId="1" hidden="1">'Форма 2'!$4:$4</definedName>
    <definedName name="Z_D58D1C63_6768_4CFA_8358_86EE19640CB2_.wvu.FilterData" localSheetId="1" hidden="1">'Форма 2'!$A$4:$K$6</definedName>
    <definedName name="Z_E0198BA7_4C17_4517_AE42_FD3FC28E3706_.wvu.FilterData" localSheetId="0" hidden="1">'форма 1'!$A$8:$S$12</definedName>
    <definedName name="Z_E0198BA7_4C17_4517_AE42_FD3FC28E3706_.wvu.FilterData" localSheetId="1" hidden="1">'Форма 2'!$A$4:$K$6</definedName>
    <definedName name="Z_E4B115D4_BEE0_43CB_9EA7_2190A66EBA3F_.wvu.FilterData" localSheetId="0" hidden="1">'форма 1'!$A$8:$S$12</definedName>
    <definedName name="Z_E4B115D4_BEE0_43CB_9EA7_2190A66EBA3F_.wvu.FilterData" localSheetId="1" hidden="1">'Форма 2'!$A$4:$K$6</definedName>
    <definedName name="Z_F3AFC384_A20B_4171_8881_A61C399C6A68_.wvu.FilterData" localSheetId="1" hidden="1">'Форма 2'!$A$4:$K$6</definedName>
    <definedName name="_xlnm.Print_Titles" localSheetId="0">'форма 1'!$8:$8</definedName>
    <definedName name="_xlnm.Print_Titles" localSheetId="1">'Форма 2'!$4:$4</definedName>
    <definedName name="_xlnm.Print_Area" localSheetId="0">'форма 1'!$A$1:$S$899</definedName>
    <definedName name="_xlnm.Print_Area" localSheetId="1">'Форма 2'!$A$1:$K$3287</definedName>
  </definedNames>
  <calcPr calcId="152511" fullPrecision="0"/>
  <customWorkbookViews>
    <customWorkbookView name="Алыкова Анна Фаридовна - Личное представление" guid="{114D0552-1D3C-4C9A-AF28-55BD1176DD7C}" mergeInterval="0" personalView="1" maximized="1" xWindow="-8" yWindow="-8" windowWidth="1936" windowHeight="1056" activeSheetId="1"/>
    <customWorkbookView name="Сыроватская Татьяна Иннокентьевна - Личное представление" guid="{CC3EEC02-30D2-4905-AE21-71EA71520321}" mergeInterval="0" personalView="1" maximized="1" xWindow="-8" yWindow="-8" windowWidth="1936" windowHeight="1056" activeSheetId="4"/>
    <customWorkbookView name="Светлана Сергеевна Карпова - Личное представление" guid="{3511D8A4-2A8D-4563-8DF1-C381EEDBF68F}" mergeInterval="0" personalView="1" maximized="1" xWindow="-8" yWindow="-8" windowWidth="1936" windowHeight="1056" activeSheetId="4"/>
  </customWorkbookViews>
</workbook>
</file>

<file path=xl/calcChain.xml><?xml version="1.0" encoding="utf-8"?>
<calcChain xmlns="http://schemas.openxmlformats.org/spreadsheetml/2006/main">
  <c r="I543" i="4" l="1"/>
  <c r="I542" i="4"/>
  <c r="J1827" i="4" l="1"/>
  <c r="J1819" i="4"/>
  <c r="J1660" i="4"/>
  <c r="J1656" i="4"/>
  <c r="J807" i="4"/>
  <c r="J801" i="4"/>
  <c r="J795" i="4"/>
  <c r="J565" i="4"/>
  <c r="O687" i="1" l="1"/>
  <c r="M687" i="1"/>
  <c r="L687" i="1"/>
  <c r="K687" i="1"/>
  <c r="I687" i="1"/>
  <c r="H687" i="1"/>
  <c r="G687" i="1"/>
  <c r="O894" i="1"/>
  <c r="M894" i="1"/>
  <c r="L894" i="1"/>
  <c r="K894" i="1"/>
  <c r="I894" i="1"/>
  <c r="H894" i="1"/>
  <c r="G894" i="1"/>
  <c r="O855" i="1"/>
  <c r="M855" i="1"/>
  <c r="L855" i="1"/>
  <c r="K855" i="1"/>
  <c r="I855" i="1"/>
  <c r="H855" i="1"/>
  <c r="G855" i="1"/>
  <c r="O835" i="1"/>
  <c r="M835" i="1"/>
  <c r="L835" i="1"/>
  <c r="K835" i="1"/>
  <c r="I835" i="1"/>
  <c r="H835" i="1"/>
  <c r="G835" i="1"/>
  <c r="O670" i="1"/>
  <c r="M670" i="1"/>
  <c r="L670" i="1"/>
  <c r="K670" i="1"/>
  <c r="I670" i="1"/>
  <c r="H670" i="1"/>
  <c r="G670" i="1"/>
  <c r="O664" i="1"/>
  <c r="M664" i="1"/>
  <c r="L664" i="1"/>
  <c r="K664" i="1"/>
  <c r="I664" i="1"/>
  <c r="H664" i="1"/>
  <c r="G664" i="1"/>
  <c r="O311" i="1"/>
  <c r="M311" i="1"/>
  <c r="L311" i="1"/>
  <c r="K311" i="1"/>
  <c r="I311" i="1"/>
  <c r="H311" i="1"/>
  <c r="G311" i="1"/>
  <c r="O784" i="1" l="1"/>
  <c r="M784" i="1"/>
  <c r="L784" i="1"/>
  <c r="K784" i="1"/>
  <c r="I784" i="1"/>
  <c r="H784" i="1"/>
  <c r="G784" i="1"/>
  <c r="D2739" i="4"/>
  <c r="K3030" i="4"/>
  <c r="K3028" i="4"/>
  <c r="J3030" i="4"/>
  <c r="J3028" i="4"/>
  <c r="I3026" i="4"/>
  <c r="I3025" i="4"/>
  <c r="J3025" i="4" s="1"/>
  <c r="K3024" i="4"/>
  <c r="I3023" i="4"/>
  <c r="J3023" i="4" s="1"/>
  <c r="I3022" i="4"/>
  <c r="K3021" i="4"/>
  <c r="I3020" i="4"/>
  <c r="I3019" i="4"/>
  <c r="J3019" i="4" s="1"/>
  <c r="K3018" i="4"/>
  <c r="I3014" i="4"/>
  <c r="I3013" i="4"/>
  <c r="J3013" i="4" s="1"/>
  <c r="K3012" i="4"/>
  <c r="I2998" i="4"/>
  <c r="I2997" i="4"/>
  <c r="J2997" i="4" s="1"/>
  <c r="K2996" i="4"/>
  <c r="K2990" i="4"/>
  <c r="J2990" i="4"/>
  <c r="I2921" i="4"/>
  <c r="I2920" i="4"/>
  <c r="J2920" i="4" s="1"/>
  <c r="K2919" i="4"/>
  <c r="I2918" i="4"/>
  <c r="J2918" i="4" s="1"/>
  <c r="I2917" i="4"/>
  <c r="K2916" i="4"/>
  <c r="I2884" i="4"/>
  <c r="I2883" i="4"/>
  <c r="K2882" i="4"/>
  <c r="I2874" i="4"/>
  <c r="I2873" i="4"/>
  <c r="J2873" i="4" s="1"/>
  <c r="K2872" i="4"/>
  <c r="I2868" i="4"/>
  <c r="I2867" i="4"/>
  <c r="K2866" i="4"/>
  <c r="I2856" i="4"/>
  <c r="I2850" i="4"/>
  <c r="I2849" i="4"/>
  <c r="J2849" i="4" s="1"/>
  <c r="K2848" i="4"/>
  <c r="I2806" i="4"/>
  <c r="I2805" i="4"/>
  <c r="J2805" i="4" s="1"/>
  <c r="K2804" i="4"/>
  <c r="J2802" i="4"/>
  <c r="I2788" i="4"/>
  <c r="I2787" i="4"/>
  <c r="J2787" i="4" s="1"/>
  <c r="K2786" i="4"/>
  <c r="I2767" i="4"/>
  <c r="I2766" i="4"/>
  <c r="J2766" i="4" s="1"/>
  <c r="K2765" i="4"/>
  <c r="I2752" i="4"/>
  <c r="I2751" i="4"/>
  <c r="K2750" i="4"/>
  <c r="I2866" i="4" l="1"/>
  <c r="J785" i="1" s="1"/>
  <c r="N785" i="1" s="1"/>
  <c r="Q767" i="1"/>
  <c r="Q785" i="1"/>
  <c r="Q797" i="1"/>
  <c r="Q823" i="1"/>
  <c r="Q825" i="1"/>
  <c r="Q749" i="1"/>
  <c r="Q754" i="1"/>
  <c r="Q761" i="1"/>
  <c r="Q778" i="1"/>
  <c r="Q787" i="1"/>
  <c r="Q789" i="1"/>
  <c r="Q796" i="1"/>
  <c r="Q819" i="1"/>
  <c r="Q821" i="1"/>
  <c r="Q824" i="1"/>
  <c r="P785" i="1"/>
  <c r="I2804" i="4"/>
  <c r="J2806" i="4"/>
  <c r="I2882" i="4"/>
  <c r="J2884" i="4"/>
  <c r="I3012" i="4"/>
  <c r="J3014" i="4"/>
  <c r="J2767" i="4"/>
  <c r="I2765" i="4"/>
  <c r="J754" i="1" s="1"/>
  <c r="N754" i="1" s="1"/>
  <c r="J2788" i="4"/>
  <c r="I2786" i="4"/>
  <c r="J761" i="1" s="1"/>
  <c r="N761" i="1" s="1"/>
  <c r="J2751" i="4"/>
  <c r="J2867" i="4"/>
  <c r="J2874" i="4"/>
  <c r="J2872" i="4" s="1"/>
  <c r="I2872" i="4"/>
  <c r="J787" i="1" s="1"/>
  <c r="N787" i="1" s="1"/>
  <c r="J2998" i="4"/>
  <c r="I2996" i="4"/>
  <c r="J819" i="1" s="1"/>
  <c r="N819" i="1" s="1"/>
  <c r="J3022" i="4"/>
  <c r="J3026" i="4"/>
  <c r="I3024" i="4"/>
  <c r="J825" i="1" s="1"/>
  <c r="N825" i="1" s="1"/>
  <c r="I2848" i="4"/>
  <c r="J778" i="1" s="1"/>
  <c r="N778" i="1" s="1"/>
  <c r="J2850" i="4"/>
  <c r="J2883" i="4"/>
  <c r="J2917" i="4"/>
  <c r="J2921" i="4"/>
  <c r="I2919" i="4"/>
  <c r="J797" i="1" s="1"/>
  <c r="J2919" i="4"/>
  <c r="J3020" i="4"/>
  <c r="I3018" i="4"/>
  <c r="J823" i="1" s="1"/>
  <c r="N823" i="1" s="1"/>
  <c r="I3021" i="4"/>
  <c r="J824" i="1" s="1"/>
  <c r="I2916" i="4"/>
  <c r="J796" i="1" s="1"/>
  <c r="P796" i="1" s="1"/>
  <c r="J2868" i="4"/>
  <c r="I2750" i="4"/>
  <c r="J2752" i="4"/>
  <c r="D1507" i="4"/>
  <c r="K2083" i="4"/>
  <c r="J2080" i="4"/>
  <c r="J2075" i="4"/>
  <c r="I2077" i="4"/>
  <c r="K2068" i="4"/>
  <c r="J2068" i="4"/>
  <c r="K2064" i="4"/>
  <c r="J2064" i="4"/>
  <c r="K2060" i="4"/>
  <c r="J2060" i="4"/>
  <c r="K2056" i="4"/>
  <c r="J2056" i="4"/>
  <c r="K2052" i="4"/>
  <c r="J2052" i="4"/>
  <c r="K2048" i="4"/>
  <c r="I2048" i="4" s="1"/>
  <c r="I2014" i="4"/>
  <c r="I2013" i="4"/>
  <c r="K2011" i="4"/>
  <c r="I2011" i="4" s="1"/>
  <c r="I2010" i="4" s="1"/>
  <c r="K2010" i="4"/>
  <c r="J2008" i="4"/>
  <c r="J2006" i="4"/>
  <c r="K2004" i="4"/>
  <c r="K2003" i="4" s="1"/>
  <c r="I2002" i="4"/>
  <c r="I2001" i="4"/>
  <c r="J1998" i="4"/>
  <c r="J1996" i="4"/>
  <c r="J1991" i="4"/>
  <c r="I1999" i="4"/>
  <c r="K1987" i="4"/>
  <c r="I1987" i="4" s="1"/>
  <c r="J1984" i="4"/>
  <c r="J1980" i="4"/>
  <c r="I1971" i="4"/>
  <c r="J1960" i="4"/>
  <c r="J1957" i="4"/>
  <c r="J1954" i="4"/>
  <c r="I1961" i="4"/>
  <c r="I1956" i="4"/>
  <c r="K1944" i="4"/>
  <c r="K1936" i="4"/>
  <c r="I1929" i="4"/>
  <c r="J1912" i="4"/>
  <c r="J1909" i="4"/>
  <c r="I1911" i="4"/>
  <c r="J1872" i="4"/>
  <c r="K2047" i="4" l="1"/>
  <c r="J2786" i="4"/>
  <c r="J2765" i="4"/>
  <c r="J749" i="1"/>
  <c r="P797" i="1"/>
  <c r="N797" i="1"/>
  <c r="J767" i="1"/>
  <c r="P754" i="1"/>
  <c r="P761" i="1"/>
  <c r="N796" i="1"/>
  <c r="P823" i="1"/>
  <c r="N824" i="1"/>
  <c r="P824" i="1"/>
  <c r="J821" i="1"/>
  <c r="J789" i="1"/>
  <c r="J2804" i="4"/>
  <c r="P778" i="1"/>
  <c r="P787" i="1"/>
  <c r="P819" i="1"/>
  <c r="P825" i="1"/>
  <c r="J3018" i="4"/>
  <c r="J2996" i="4"/>
  <c r="J3021" i="4"/>
  <c r="J3012" i="4"/>
  <c r="J2848" i="4"/>
  <c r="J2916" i="4"/>
  <c r="J2866" i="4"/>
  <c r="J3024" i="4"/>
  <c r="J2882" i="4"/>
  <c r="K1943" i="4"/>
  <c r="K1986" i="4"/>
  <c r="Q542" i="1" s="1"/>
  <c r="I2004" i="4"/>
  <c r="J2004" i="4" s="1"/>
  <c r="I2047" i="4"/>
  <c r="J548" i="1"/>
  <c r="J2013" i="4"/>
  <c r="Q554" i="1"/>
  <c r="I1944" i="4"/>
  <c r="I1943" i="4" s="1"/>
  <c r="J532" i="1" s="1"/>
  <c r="Q546" i="1"/>
  <c r="Q548" i="1"/>
  <c r="J2750" i="4"/>
  <c r="I1959" i="4"/>
  <c r="J2048" i="4"/>
  <c r="J2011" i="4"/>
  <c r="I1986" i="4"/>
  <c r="J542" i="1" s="1"/>
  <c r="I1993" i="4"/>
  <c r="J1987" i="4"/>
  <c r="J1857" i="4"/>
  <c r="K1855" i="4"/>
  <c r="J1838" i="4"/>
  <c r="I1834" i="4"/>
  <c r="I1833" i="4"/>
  <c r="K1836" i="4"/>
  <c r="I1836" i="4" s="1"/>
  <c r="K1827" i="4"/>
  <c r="I1828" i="4"/>
  <c r="I1826" i="4" s="1"/>
  <c r="I1821" i="4"/>
  <c r="I1820" i="4"/>
  <c r="K1816" i="4"/>
  <c r="K1814" i="4"/>
  <c r="J1814" i="4"/>
  <c r="I1813" i="4"/>
  <c r="K1815" i="4"/>
  <c r="J1815" i="4"/>
  <c r="J1799" i="4"/>
  <c r="J1797" i="4"/>
  <c r="J1782" i="4"/>
  <c r="J1781" i="4"/>
  <c r="K1763" i="4"/>
  <c r="I1763" i="4" s="1"/>
  <c r="J1754" i="4"/>
  <c r="K1752" i="4"/>
  <c r="K1751" i="4" s="1"/>
  <c r="I1747" i="4"/>
  <c r="I1746" i="4"/>
  <c r="J1746" i="4" s="1"/>
  <c r="J1739" i="4"/>
  <c r="J1734" i="4"/>
  <c r="K1730" i="4"/>
  <c r="I1730" i="4" s="1"/>
  <c r="I1729" i="4"/>
  <c r="J471" i="1" s="1"/>
  <c r="N471" i="1" s="1"/>
  <c r="J1714" i="4"/>
  <c r="I1709" i="4"/>
  <c r="I1707" i="4"/>
  <c r="I1705" i="4"/>
  <c r="I1703" i="4"/>
  <c r="K1691" i="4"/>
  <c r="I1682" i="4"/>
  <c r="I1663" i="4"/>
  <c r="I1661" i="4"/>
  <c r="I1659" i="4"/>
  <c r="I1657" i="4"/>
  <c r="K1641" i="4"/>
  <c r="I1623" i="4"/>
  <c r="K1614" i="4"/>
  <c r="I1614" i="4" s="1"/>
  <c r="I1605" i="4"/>
  <c r="I1604" i="4"/>
  <c r="J1604" i="4" s="1"/>
  <c r="I1603" i="4"/>
  <c r="I1602" i="4"/>
  <c r="K1601" i="4"/>
  <c r="K1589" i="4"/>
  <c r="K1588" i="4" s="1"/>
  <c r="I1580" i="4"/>
  <c r="K1564" i="4"/>
  <c r="I1564" i="4" s="1"/>
  <c r="I1562" i="4"/>
  <c r="I1551" i="4"/>
  <c r="I1549" i="4" s="1"/>
  <c r="I1548" i="4"/>
  <c r="I1546" i="4" s="1"/>
  <c r="I1545" i="4"/>
  <c r="K1542" i="4"/>
  <c r="K1613" i="4" l="1"/>
  <c r="K1729" i="4"/>
  <c r="K1835" i="4"/>
  <c r="N789" i="1"/>
  <c r="P789" i="1"/>
  <c r="P821" i="1"/>
  <c r="N821" i="1"/>
  <c r="N767" i="1"/>
  <c r="P767" i="1"/>
  <c r="N749" i="1"/>
  <c r="P749" i="1"/>
  <c r="Q532" i="1"/>
  <c r="J1944" i="4"/>
  <c r="J1943" i="4" s="1"/>
  <c r="K1563" i="4"/>
  <c r="Q423" i="1" s="1"/>
  <c r="I2003" i="4"/>
  <c r="I1589" i="4"/>
  <c r="I1601" i="4"/>
  <c r="J1603" i="4"/>
  <c r="K1690" i="4"/>
  <c r="Q471" i="1"/>
  <c r="Q477" i="1"/>
  <c r="Q496" i="1"/>
  <c r="P542" i="1"/>
  <c r="N542" i="1"/>
  <c r="N548" i="1"/>
  <c r="P548" i="1"/>
  <c r="J554" i="1"/>
  <c r="Q432" i="1"/>
  <c r="Q436" i="1"/>
  <c r="Q438" i="1"/>
  <c r="I1752" i="4"/>
  <c r="J1752" i="4" s="1"/>
  <c r="K1854" i="4"/>
  <c r="P471" i="1"/>
  <c r="N532" i="1"/>
  <c r="P532" i="1"/>
  <c r="J2010" i="4"/>
  <c r="J2003" i="4"/>
  <c r="J2047" i="4"/>
  <c r="I1613" i="4"/>
  <c r="I1835" i="4"/>
  <c r="J1986" i="4"/>
  <c r="I1691" i="4"/>
  <c r="I1690" i="4" s="1"/>
  <c r="K1762" i="4"/>
  <c r="I1855" i="4"/>
  <c r="I1854" i="4" s="1"/>
  <c r="K1541" i="4"/>
  <c r="J1602" i="4"/>
  <c r="J1605" i="4"/>
  <c r="I1563" i="4"/>
  <c r="J423" i="1" s="1"/>
  <c r="I1762" i="4"/>
  <c r="J480" i="1" s="1"/>
  <c r="J1836" i="4"/>
  <c r="J1763" i="4"/>
  <c r="J1730" i="4"/>
  <c r="J1614" i="4"/>
  <c r="J1564" i="4"/>
  <c r="I1542" i="4"/>
  <c r="J1542" i="4"/>
  <c r="O138" i="1"/>
  <c r="M138" i="1"/>
  <c r="L138" i="1"/>
  <c r="K138" i="1"/>
  <c r="I138" i="1"/>
  <c r="H138" i="1"/>
  <c r="G138" i="1"/>
  <c r="D347" i="4"/>
  <c r="J926" i="4"/>
  <c r="J923" i="4"/>
  <c r="J920" i="4"/>
  <c r="J914" i="4"/>
  <c r="I925" i="4"/>
  <c r="I922" i="4"/>
  <c r="J908" i="4"/>
  <c r="J906" i="4"/>
  <c r="J904" i="4"/>
  <c r="J902" i="4"/>
  <c r="J896" i="4"/>
  <c r="J892" i="4"/>
  <c r="J890" i="4"/>
  <c r="J888" i="4"/>
  <c r="I900" i="4"/>
  <c r="I894" i="4"/>
  <c r="J882" i="4"/>
  <c r="J876" i="4"/>
  <c r="J873" i="4"/>
  <c r="J872" i="4"/>
  <c r="K871" i="4"/>
  <c r="J871" i="4"/>
  <c r="I871" i="4"/>
  <c r="J869" i="4"/>
  <c r="K2612" i="4"/>
  <c r="J2612" i="4"/>
  <c r="I2611" i="4"/>
  <c r="I864" i="4"/>
  <c r="K863" i="4"/>
  <c r="I863" i="4"/>
  <c r="I859" i="4"/>
  <c r="K858" i="4"/>
  <c r="I858" i="4"/>
  <c r="K857" i="4"/>
  <c r="I857" i="4"/>
  <c r="K856" i="4"/>
  <c r="I856" i="4"/>
  <c r="I855" i="4"/>
  <c r="J215" i="1" s="1"/>
  <c r="J853" i="4"/>
  <c r="I852" i="4"/>
  <c r="I849" i="4"/>
  <c r="K841" i="4"/>
  <c r="J841" i="4"/>
  <c r="I835" i="4"/>
  <c r="I833" i="4"/>
  <c r="I831" i="4"/>
  <c r="I149" i="4"/>
  <c r="I146" i="4"/>
  <c r="K855" i="4" l="1"/>
  <c r="J1589" i="4"/>
  <c r="J1588" i="4" s="1"/>
  <c r="J546" i="1"/>
  <c r="N480" i="1"/>
  <c r="P480" i="1"/>
  <c r="Q480" i="1"/>
  <c r="J496" i="1"/>
  <c r="J438" i="1"/>
  <c r="Q500" i="1"/>
  <c r="Q459" i="1"/>
  <c r="J436" i="1"/>
  <c r="N423" i="1"/>
  <c r="P423" i="1"/>
  <c r="Q414" i="1"/>
  <c r="J500" i="1"/>
  <c r="J459" i="1"/>
  <c r="I1751" i="4"/>
  <c r="N554" i="1"/>
  <c r="P554" i="1"/>
  <c r="I1588" i="4"/>
  <c r="J1855" i="4"/>
  <c r="J1691" i="4"/>
  <c r="J1751" i="4"/>
  <c r="J1835" i="4"/>
  <c r="J1563" i="4"/>
  <c r="J1613" i="4"/>
  <c r="J1729" i="4"/>
  <c r="J1762" i="4"/>
  <c r="J1601" i="4"/>
  <c r="Q215" i="1"/>
  <c r="Q218" i="1"/>
  <c r="Q221" i="1"/>
  <c r="J1541" i="4"/>
  <c r="I1541" i="4"/>
  <c r="J414" i="1" s="1"/>
  <c r="P215" i="1"/>
  <c r="N215" i="1"/>
  <c r="J859" i="4"/>
  <c r="J864" i="4"/>
  <c r="J216" i="1"/>
  <c r="N216" i="1" s="1"/>
  <c r="Q216" i="1"/>
  <c r="J218" i="1"/>
  <c r="N218" i="1" s="1"/>
  <c r="J221" i="1"/>
  <c r="J856" i="4"/>
  <c r="J857" i="4"/>
  <c r="J825" i="4"/>
  <c r="J824" i="4"/>
  <c r="K823" i="4"/>
  <c r="I823" i="4"/>
  <c r="J821" i="4"/>
  <c r="I815" i="4"/>
  <c r="J823" i="4" l="1"/>
  <c r="J1690" i="4"/>
  <c r="J1854" i="4"/>
  <c r="N546" i="1"/>
  <c r="P546" i="1"/>
  <c r="N414" i="1"/>
  <c r="P414" i="1"/>
  <c r="J477" i="1"/>
  <c r="N459" i="1"/>
  <c r="P459" i="1"/>
  <c r="N500" i="1"/>
  <c r="P500" i="1"/>
  <c r="J432" i="1"/>
  <c r="N436" i="1"/>
  <c r="P436" i="1"/>
  <c r="N438" i="1"/>
  <c r="P438" i="1"/>
  <c r="N496" i="1"/>
  <c r="P496" i="1"/>
  <c r="P218" i="1"/>
  <c r="Q204" i="1"/>
  <c r="J204" i="1"/>
  <c r="J863" i="4"/>
  <c r="P216" i="1"/>
  <c r="P221" i="1"/>
  <c r="N221" i="1"/>
  <c r="J858" i="4"/>
  <c r="J855" i="4"/>
  <c r="K790" i="4"/>
  <c r="J790" i="4"/>
  <c r="I789" i="4"/>
  <c r="I782" i="4"/>
  <c r="I779" i="4"/>
  <c r="I764" i="4"/>
  <c r="I1485" i="4"/>
  <c r="D1400" i="4"/>
  <c r="K293" i="4"/>
  <c r="I294" i="4"/>
  <c r="J1486" i="4"/>
  <c r="J1485" i="4"/>
  <c r="K1484" i="4"/>
  <c r="Q402" i="1" s="1"/>
  <c r="I1484" i="4"/>
  <c r="N477" i="1" l="1"/>
  <c r="P477" i="1"/>
  <c r="N432" i="1"/>
  <c r="P432" i="1"/>
  <c r="N204" i="1"/>
  <c r="P204" i="1"/>
  <c r="J197" i="1"/>
  <c r="I293" i="4"/>
  <c r="J789" i="4"/>
  <c r="K789" i="4"/>
  <c r="J402" i="1"/>
  <c r="J1484" i="4"/>
  <c r="J749" i="4"/>
  <c r="J748" i="4"/>
  <c r="K747" i="4"/>
  <c r="I747" i="4"/>
  <c r="J183" i="1" s="1"/>
  <c r="K745" i="4"/>
  <c r="J745" i="4"/>
  <c r="I715" i="4"/>
  <c r="K714" i="4"/>
  <c r="I714" i="4"/>
  <c r="J712" i="4"/>
  <c r="I706" i="4"/>
  <c r="I698" i="4"/>
  <c r="K699" i="4"/>
  <c r="J699" i="4"/>
  <c r="J675" i="4"/>
  <c r="I672" i="4"/>
  <c r="J661" i="4"/>
  <c r="J659" i="4"/>
  <c r="J646" i="4"/>
  <c r="J642" i="4"/>
  <c r="J639" i="4"/>
  <c r="J636" i="4"/>
  <c r="I644" i="4"/>
  <c r="I596" i="4"/>
  <c r="K595" i="4"/>
  <c r="I595" i="4"/>
  <c r="J590" i="4"/>
  <c r="J587" i="4"/>
  <c r="I586" i="4"/>
  <c r="I567" i="4"/>
  <c r="J562" i="4"/>
  <c r="J559" i="4"/>
  <c r="J551" i="4"/>
  <c r="I550" i="4"/>
  <c r="I547" i="4"/>
  <c r="Q148" i="1" l="1"/>
  <c r="Q174" i="1"/>
  <c r="Q183" i="1"/>
  <c r="Q197" i="1"/>
  <c r="J148" i="1"/>
  <c r="J174" i="1"/>
  <c r="N183" i="1"/>
  <c r="P183" i="1"/>
  <c r="N197" i="1"/>
  <c r="P197" i="1"/>
  <c r="J596" i="4"/>
  <c r="J747" i="4"/>
  <c r="P402" i="1"/>
  <c r="N402" i="1"/>
  <c r="J715" i="4"/>
  <c r="J522" i="4"/>
  <c r="I524" i="4"/>
  <c r="J519" i="4"/>
  <c r="J517" i="4"/>
  <c r="J512" i="4"/>
  <c r="J509" i="4"/>
  <c r="J505" i="4"/>
  <c r="J487" i="4"/>
  <c r="J484" i="4"/>
  <c r="J480" i="4"/>
  <c r="J452" i="4"/>
  <c r="I445" i="4"/>
  <c r="I444" i="4"/>
  <c r="K441" i="4"/>
  <c r="J412" i="4"/>
  <c r="J418" i="4"/>
  <c r="J421" i="4"/>
  <c r="I416" i="4"/>
  <c r="I415" i="4"/>
  <c r="J384" i="4"/>
  <c r="I386" i="4"/>
  <c r="J374" i="4"/>
  <c r="J368" i="4"/>
  <c r="J361" i="4"/>
  <c r="I352" i="4"/>
  <c r="I350" i="4"/>
  <c r="A666" i="1"/>
  <c r="A667" i="1" s="1"/>
  <c r="A668" i="1" s="1"/>
  <c r="A669" i="1" s="1"/>
  <c r="D2416" i="4"/>
  <c r="K2432" i="4"/>
  <c r="K2431" i="4"/>
  <c r="K2429" i="4"/>
  <c r="K2428" i="4"/>
  <c r="I2426" i="4"/>
  <c r="I2425" i="4"/>
  <c r="J2425" i="4" s="1"/>
  <c r="K2424" i="4"/>
  <c r="I2424" i="4" s="1"/>
  <c r="I2422" i="4"/>
  <c r="J2422" i="4" s="1"/>
  <c r="I2421" i="4"/>
  <c r="K2420" i="4"/>
  <c r="Q666" i="1" s="1"/>
  <c r="A2420" i="4"/>
  <c r="A2423" i="4" s="1"/>
  <c r="A2427" i="4" s="1"/>
  <c r="A2430" i="4" s="1"/>
  <c r="I2419" i="4"/>
  <c r="I2418" i="4"/>
  <c r="K2417" i="4"/>
  <c r="Q665" i="1" s="1"/>
  <c r="A310" i="1"/>
  <c r="D1137" i="4"/>
  <c r="K1141" i="4"/>
  <c r="K1139" i="4"/>
  <c r="A1140" i="4"/>
  <c r="A13" i="1"/>
  <c r="J15" i="4"/>
  <c r="I14" i="4"/>
  <c r="I12" i="4"/>
  <c r="D6" i="4"/>
  <c r="A12" i="4"/>
  <c r="N174" i="1" l="1"/>
  <c r="P174" i="1"/>
  <c r="P148" i="1"/>
  <c r="N148" i="1"/>
  <c r="J595" i="4"/>
  <c r="K1138" i="4"/>
  <c r="Q309" i="1" s="1"/>
  <c r="K1140" i="4"/>
  <c r="Q310" i="1" s="1"/>
  <c r="K2430" i="4"/>
  <c r="J714" i="4"/>
  <c r="I1139" i="4"/>
  <c r="I1141" i="4"/>
  <c r="K2427" i="4"/>
  <c r="Q668" i="1" s="1"/>
  <c r="K2423" i="4"/>
  <c r="I2428" i="4"/>
  <c r="I2429" i="4"/>
  <c r="J2429" i="4" s="1"/>
  <c r="I2431" i="4"/>
  <c r="I2432" i="4"/>
  <c r="J2418" i="4"/>
  <c r="I2423" i="4"/>
  <c r="I2417" i="4"/>
  <c r="J2419" i="4"/>
  <c r="J2421" i="4"/>
  <c r="J2426" i="4"/>
  <c r="I2420" i="4"/>
  <c r="J2424" i="4"/>
  <c r="J843" i="1"/>
  <c r="N843" i="1" s="1"/>
  <c r="D3064" i="4"/>
  <c r="I3116" i="4"/>
  <c r="I3115" i="4"/>
  <c r="J3115" i="4" s="1"/>
  <c r="I3114" i="4"/>
  <c r="I3113" i="4"/>
  <c r="J3113" i="4" s="1"/>
  <c r="K3112" i="4"/>
  <c r="I3105" i="4"/>
  <c r="I3104" i="4"/>
  <c r="J3104" i="4" s="1"/>
  <c r="I3103" i="4"/>
  <c r="I3102" i="4"/>
  <c r="J3102" i="4" s="1"/>
  <c r="K3101" i="4"/>
  <c r="I3085" i="4"/>
  <c r="I3084" i="4"/>
  <c r="J3084" i="4" s="1"/>
  <c r="I3083" i="4"/>
  <c r="I3082" i="4"/>
  <c r="J3082" i="4" s="1"/>
  <c r="K3081" i="4"/>
  <c r="D2140" i="4"/>
  <c r="I2226" i="4"/>
  <c r="I2221" i="4"/>
  <c r="K2219" i="4"/>
  <c r="K2218" i="4"/>
  <c r="K2212" i="4"/>
  <c r="K2211" i="4"/>
  <c r="I2209" i="4"/>
  <c r="I2203" i="4"/>
  <c r="J2193" i="4"/>
  <c r="I2198" i="4"/>
  <c r="I2197" i="4" s="1"/>
  <c r="I2196" i="4"/>
  <c r="I2195" i="4" s="1"/>
  <c r="I2194" i="4"/>
  <c r="I2192" i="4" s="1"/>
  <c r="I2191" i="4"/>
  <c r="I2189" i="4" s="1"/>
  <c r="I2188" i="4"/>
  <c r="I2185" i="4"/>
  <c r="J2181" i="4"/>
  <c r="I2182" i="4"/>
  <c r="J2175" i="4"/>
  <c r="J2173" i="4"/>
  <c r="I2176" i="4"/>
  <c r="I2174" i="4"/>
  <c r="I2171" i="4"/>
  <c r="I2166" i="4"/>
  <c r="K2161" i="4"/>
  <c r="K2160" i="4"/>
  <c r="I2158" i="4"/>
  <c r="D972" i="4"/>
  <c r="I982" i="4"/>
  <c r="I981" i="4"/>
  <c r="J1141" i="4" l="1"/>
  <c r="J2428" i="4"/>
  <c r="Q669" i="1"/>
  <c r="J2432" i="4"/>
  <c r="J1139" i="4"/>
  <c r="I1140" i="4"/>
  <c r="J2431" i="4"/>
  <c r="I1138" i="4"/>
  <c r="Q667" i="1"/>
  <c r="I2430" i="4"/>
  <c r="I2427" i="4"/>
  <c r="J666" i="1"/>
  <c r="J2417" i="4"/>
  <c r="J667" i="1"/>
  <c r="K2159" i="4"/>
  <c r="J2423" i="4"/>
  <c r="J2420" i="4"/>
  <c r="J665" i="1"/>
  <c r="J1140" i="4"/>
  <c r="Q843" i="1"/>
  <c r="J3085" i="4"/>
  <c r="Q849" i="1"/>
  <c r="K2210" i="4"/>
  <c r="J3105" i="4"/>
  <c r="I3112" i="4"/>
  <c r="J852" i="1" s="1"/>
  <c r="J3114" i="4"/>
  <c r="Q852" i="1"/>
  <c r="P843" i="1"/>
  <c r="I2186" i="4"/>
  <c r="J3083" i="4"/>
  <c r="I3081" i="4"/>
  <c r="J3103" i="4"/>
  <c r="I3101" i="4"/>
  <c r="J849" i="1" s="1"/>
  <c r="N849" i="1" s="1"/>
  <c r="K2217" i="4"/>
  <c r="J3116" i="4"/>
  <c r="I2211" i="4"/>
  <c r="J2211" i="4" s="1"/>
  <c r="I2212" i="4"/>
  <c r="I2218" i="4"/>
  <c r="I2219" i="4"/>
  <c r="J2219" i="4" s="1"/>
  <c r="J2218" i="4"/>
  <c r="J2212" i="4"/>
  <c r="I2160" i="4"/>
  <c r="J2160" i="4" s="1"/>
  <c r="I2161" i="4"/>
  <c r="J2161" i="4" s="1"/>
  <c r="Q585" i="1" l="1"/>
  <c r="J2427" i="4"/>
  <c r="J1138" i="4"/>
  <c r="J2430" i="4"/>
  <c r="I2416" i="4"/>
  <c r="J310" i="1"/>
  <c r="Q603" i="1"/>
  <c r="I1137" i="4"/>
  <c r="J309" i="1"/>
  <c r="J669" i="1"/>
  <c r="J668" i="1"/>
  <c r="N665" i="1"/>
  <c r="P665" i="1"/>
  <c r="N667" i="1"/>
  <c r="P667" i="1"/>
  <c r="P666" i="1"/>
  <c r="N666" i="1"/>
  <c r="P849" i="1"/>
  <c r="J3081" i="4"/>
  <c r="P852" i="1"/>
  <c r="N852" i="1"/>
  <c r="Q606" i="1"/>
  <c r="J3101" i="4"/>
  <c r="J3112" i="4"/>
  <c r="I2217" i="4"/>
  <c r="J606" i="1" s="1"/>
  <c r="I2210" i="4"/>
  <c r="J603" i="1" s="1"/>
  <c r="J2217" i="4"/>
  <c r="J2210" i="4"/>
  <c r="I2159" i="4"/>
  <c r="J585" i="1" s="1"/>
  <c r="J2159" i="4"/>
  <c r="J664" i="1" l="1"/>
  <c r="P309" i="1"/>
  <c r="N309" i="1"/>
  <c r="N310" i="1"/>
  <c r="P310" i="1"/>
  <c r="N668" i="1"/>
  <c r="P668" i="1"/>
  <c r="N669" i="1"/>
  <c r="P669" i="1"/>
  <c r="N603" i="1"/>
  <c r="P603" i="1"/>
  <c r="N585" i="1"/>
  <c r="P585" i="1"/>
  <c r="N606" i="1"/>
  <c r="P606" i="1"/>
  <c r="N664" i="1" l="1"/>
  <c r="O872" i="1"/>
  <c r="M872" i="1"/>
  <c r="L872" i="1"/>
  <c r="K872" i="1"/>
  <c r="I872" i="1"/>
  <c r="H872" i="1"/>
  <c r="G872" i="1"/>
  <c r="K3176" i="4"/>
  <c r="K3175" i="4" s="1"/>
  <c r="Q873" i="1" s="1"/>
  <c r="D3174" i="4"/>
  <c r="A896" i="1"/>
  <c r="A897" i="1" s="1"/>
  <c r="D3266" i="4"/>
  <c r="K3278" i="4"/>
  <c r="K3276" i="4"/>
  <c r="K3274" i="4"/>
  <c r="I3272" i="4"/>
  <c r="I3271" i="4"/>
  <c r="K3270" i="4"/>
  <c r="Q896" i="1" s="1"/>
  <c r="A3270" i="4"/>
  <c r="A3273" i="4" s="1"/>
  <c r="A3275" i="4" s="1"/>
  <c r="A3277" i="4" s="1"/>
  <c r="O658" i="1"/>
  <c r="M658" i="1"/>
  <c r="L658" i="1"/>
  <c r="K658" i="1"/>
  <c r="I658" i="1"/>
  <c r="H658" i="1"/>
  <c r="G658" i="1"/>
  <c r="I2410" i="4"/>
  <c r="D2407" i="4"/>
  <c r="K2414" i="4"/>
  <c r="J3272" i="4" l="1"/>
  <c r="K3273" i="4"/>
  <c r="K3275" i="4"/>
  <c r="Q898" i="1" s="1"/>
  <c r="K3277" i="4"/>
  <c r="K2413" i="4"/>
  <c r="I3274" i="4"/>
  <c r="I3276" i="4"/>
  <c r="I3278" i="4"/>
  <c r="Q661" i="1"/>
  <c r="I2414" i="4"/>
  <c r="I3176" i="4"/>
  <c r="I3175" i="4" s="1"/>
  <c r="J3271" i="4"/>
  <c r="A898" i="1"/>
  <c r="I3270" i="4"/>
  <c r="J3274" i="4" l="1"/>
  <c r="J2414" i="4"/>
  <c r="J2413" i="4" s="1"/>
  <c r="J3276" i="4"/>
  <c r="J3275" i="4" s="1"/>
  <c r="J3278" i="4"/>
  <c r="J3277" i="4" s="1"/>
  <c r="Q897" i="1"/>
  <c r="Q899" i="1"/>
  <c r="I3277" i="4"/>
  <c r="I3273" i="4"/>
  <c r="I3275" i="4"/>
  <c r="J873" i="1"/>
  <c r="J3176" i="4"/>
  <c r="I2413" i="4"/>
  <c r="I3174" i="4"/>
  <c r="J3270" i="4"/>
  <c r="J896" i="1"/>
  <c r="J3273" i="4"/>
  <c r="A899" i="1"/>
  <c r="D3177" i="4"/>
  <c r="K3247" i="4"/>
  <c r="K3246" i="4"/>
  <c r="I3246" i="4" s="1"/>
  <c r="K3245" i="4"/>
  <c r="K3236" i="4"/>
  <c r="K3235" i="4"/>
  <c r="K3234" i="4"/>
  <c r="K3232" i="4"/>
  <c r="K3231" i="4"/>
  <c r="I3231" i="4" s="1"/>
  <c r="K3230" i="4"/>
  <c r="K3228" i="4"/>
  <c r="K3226" i="4"/>
  <c r="I3224" i="4"/>
  <c r="I3223" i="4"/>
  <c r="J3223" i="4" s="1"/>
  <c r="K3222" i="4"/>
  <c r="K3227" i="4" l="1"/>
  <c r="K3244" i="4"/>
  <c r="J898" i="1"/>
  <c r="J897" i="1"/>
  <c r="J899" i="1"/>
  <c r="J3175" i="4"/>
  <c r="N873" i="1"/>
  <c r="J872" i="1"/>
  <c r="P873" i="1"/>
  <c r="K3233" i="4"/>
  <c r="I3245" i="4"/>
  <c r="I3247" i="4"/>
  <c r="J661" i="1"/>
  <c r="N896" i="1"/>
  <c r="P896" i="1"/>
  <c r="Q883" i="1"/>
  <c r="I3222" i="4"/>
  <c r="J883" i="1" s="1"/>
  <c r="N883" i="1" s="1"/>
  <c r="J3224" i="4"/>
  <c r="K3225" i="4"/>
  <c r="I3228" i="4"/>
  <c r="I3227" i="4" s="1"/>
  <c r="K3229" i="4"/>
  <c r="I3234" i="4"/>
  <c r="I3235" i="4"/>
  <c r="I3236" i="4"/>
  <c r="J3246" i="4"/>
  <c r="J3231" i="4"/>
  <c r="I3226" i="4"/>
  <c r="I3230" i="4"/>
  <c r="I3232" i="4"/>
  <c r="O628" i="1"/>
  <c r="D2278" i="4"/>
  <c r="J2389" i="4"/>
  <c r="J2382" i="4"/>
  <c r="I2394" i="4"/>
  <c r="I2392" i="4"/>
  <c r="I2390" i="4"/>
  <c r="I2387" i="4"/>
  <c r="I2385" i="4"/>
  <c r="I2383" i="4"/>
  <c r="I2355" i="4"/>
  <c r="I2354" i="4"/>
  <c r="K2351" i="4"/>
  <c r="I2351" i="4" s="1"/>
  <c r="J2344" i="4"/>
  <c r="I2349" i="4"/>
  <c r="I2347" i="4"/>
  <c r="I2345" i="4"/>
  <c r="I2342" i="4"/>
  <c r="I2340" i="4"/>
  <c r="I2338" i="4"/>
  <c r="J2308" i="4"/>
  <c r="I2313" i="4"/>
  <c r="I2311" i="4"/>
  <c r="I2309" i="4"/>
  <c r="I2298" i="4"/>
  <c r="I2296" i="4"/>
  <c r="I2294" i="4"/>
  <c r="I2291" i="4"/>
  <c r="I2289" i="4"/>
  <c r="I2287" i="4"/>
  <c r="O865" i="1"/>
  <c r="M865" i="1"/>
  <c r="L865" i="1"/>
  <c r="K865" i="1"/>
  <c r="I865" i="1"/>
  <c r="H865" i="1"/>
  <c r="G865" i="1"/>
  <c r="A867" i="1"/>
  <c r="A868" i="1" s="1"/>
  <c r="D3149" i="4"/>
  <c r="I3168" i="4"/>
  <c r="I3167" i="4"/>
  <c r="J3167" i="4" s="1"/>
  <c r="I3166" i="4"/>
  <c r="I3165" i="4"/>
  <c r="J3165" i="4" s="1"/>
  <c r="K3164" i="4"/>
  <c r="I3163" i="4"/>
  <c r="J3163" i="4" s="1"/>
  <c r="I3162" i="4"/>
  <c r="I3161" i="4"/>
  <c r="I3160" i="4"/>
  <c r="K3159" i="4"/>
  <c r="Q869" i="1" s="1"/>
  <c r="K3158" i="4"/>
  <c r="I3158" i="4" s="1"/>
  <c r="K3157" i="4"/>
  <c r="I3155" i="4"/>
  <c r="I3154" i="4"/>
  <c r="K3153" i="4"/>
  <c r="Q867" i="1" s="1"/>
  <c r="K3152" i="4"/>
  <c r="I3152" i="4" s="1"/>
  <c r="K3151" i="4"/>
  <c r="A3150" i="4"/>
  <c r="A3153" i="4" s="1"/>
  <c r="A3156" i="4" s="1"/>
  <c r="A3159" i="4" s="1"/>
  <c r="A3164" i="4" s="1"/>
  <c r="A3169" i="4" s="1"/>
  <c r="G622" i="1"/>
  <c r="A624" i="1"/>
  <c r="A625" i="1" s="1"/>
  <c r="A626" i="1" s="1"/>
  <c r="D2263" i="4"/>
  <c r="K2274" i="4"/>
  <c r="I2274" i="4" s="1"/>
  <c r="K2273" i="4"/>
  <c r="K2271" i="4"/>
  <c r="K2270" i="4"/>
  <c r="K2268" i="4"/>
  <c r="I2268" i="4" s="1"/>
  <c r="A2267" i="4"/>
  <c r="A2269" i="4" s="1"/>
  <c r="A2272" i="4" s="1"/>
  <c r="A2275" i="4" s="1"/>
  <c r="O862" i="1"/>
  <c r="M862" i="1"/>
  <c r="L862" i="1"/>
  <c r="K862" i="1"/>
  <c r="I862" i="1"/>
  <c r="H862" i="1"/>
  <c r="G862" i="1"/>
  <c r="D3142" i="4"/>
  <c r="A3146" i="4"/>
  <c r="K3148" i="4"/>
  <c r="K3147" i="4"/>
  <c r="I3145" i="4"/>
  <c r="I3144" i="4"/>
  <c r="J3144" i="4" s="1"/>
  <c r="K3143" i="4"/>
  <c r="O618" i="1"/>
  <c r="M618" i="1"/>
  <c r="L618" i="1"/>
  <c r="K618" i="1"/>
  <c r="I618" i="1"/>
  <c r="H618" i="1"/>
  <c r="G618" i="1"/>
  <c r="A620" i="1"/>
  <c r="A621" i="1" s="1"/>
  <c r="J2254" i="4"/>
  <c r="J2261" i="4"/>
  <c r="I2260" i="4"/>
  <c r="Q885" i="1" l="1"/>
  <c r="Q889" i="1"/>
  <c r="J3245" i="4"/>
  <c r="N899" i="1"/>
  <c r="P899" i="1"/>
  <c r="N897" i="1"/>
  <c r="P897" i="1"/>
  <c r="P898" i="1"/>
  <c r="N898" i="1"/>
  <c r="N661" i="1"/>
  <c r="P661" i="1"/>
  <c r="N872" i="1"/>
  <c r="K2269" i="4"/>
  <c r="J3247" i="4"/>
  <c r="Q887" i="1"/>
  <c r="I3244" i="4"/>
  <c r="J3235" i="4"/>
  <c r="P883" i="1"/>
  <c r="I2292" i="4"/>
  <c r="J2355" i="4"/>
  <c r="J3222" i="4"/>
  <c r="J885" i="1"/>
  <c r="J3228" i="4"/>
  <c r="Q886" i="1"/>
  <c r="Q884" i="1"/>
  <c r="I3233" i="4"/>
  <c r="J887" i="1" s="1"/>
  <c r="K3146" i="4"/>
  <c r="Q864" i="1" s="1"/>
  <c r="K2267" i="4"/>
  <c r="Q624" i="1" s="1"/>
  <c r="I2270" i="4"/>
  <c r="J2270" i="4" s="1"/>
  <c r="I2271" i="4"/>
  <c r="I2388" i="4"/>
  <c r="J3236" i="4"/>
  <c r="J3234" i="4"/>
  <c r="I2267" i="4"/>
  <c r="J3232" i="4"/>
  <c r="J3226" i="4"/>
  <c r="I3225" i="4"/>
  <c r="J884" i="1" s="1"/>
  <c r="I3147" i="4"/>
  <c r="I3148" i="4"/>
  <c r="J3230" i="4"/>
  <c r="I3229" i="4"/>
  <c r="J886" i="1" s="1"/>
  <c r="I2273" i="4"/>
  <c r="I3151" i="4"/>
  <c r="J3151" i="4" s="1"/>
  <c r="J3155" i="4"/>
  <c r="I3157" i="4"/>
  <c r="J3161" i="4"/>
  <c r="K2272" i="4"/>
  <c r="Q626" i="1" s="1"/>
  <c r="K3150" i="4"/>
  <c r="J3154" i="4"/>
  <c r="K3156" i="4"/>
  <c r="J3160" i="4"/>
  <c r="I2343" i="4"/>
  <c r="I2350" i="4"/>
  <c r="J643" i="1" s="1"/>
  <c r="P643" i="1" s="1"/>
  <c r="J2354" i="4"/>
  <c r="I2352" i="4"/>
  <c r="K2350" i="4"/>
  <c r="J2351" i="4"/>
  <c r="Q863" i="1"/>
  <c r="J3168" i="4"/>
  <c r="Q870" i="1"/>
  <c r="J3162" i="4"/>
  <c r="I3164" i="4"/>
  <c r="J3166" i="4"/>
  <c r="A869" i="1"/>
  <c r="A870" i="1" s="1"/>
  <c r="A627" i="1"/>
  <c r="J3152" i="4"/>
  <c r="I3153" i="4"/>
  <c r="J3158" i="4"/>
  <c r="I3159" i="4"/>
  <c r="J2268" i="4"/>
  <c r="J2274" i="4"/>
  <c r="I3143" i="4"/>
  <c r="J3145" i="4"/>
  <c r="D2250" i="4"/>
  <c r="A2253" i="4"/>
  <c r="K2252" i="4"/>
  <c r="J1055" i="4"/>
  <c r="J1050" i="4"/>
  <c r="I1052" i="4"/>
  <c r="I1051" i="4"/>
  <c r="J3153" i="4" l="1"/>
  <c r="J3244" i="4"/>
  <c r="Q625" i="1"/>
  <c r="J889" i="1"/>
  <c r="J2273" i="4"/>
  <c r="J3227" i="4"/>
  <c r="N887" i="1"/>
  <c r="P887" i="1"/>
  <c r="N885" i="1"/>
  <c r="P885" i="1"/>
  <c r="J3147" i="4"/>
  <c r="P886" i="1"/>
  <c r="N886" i="1"/>
  <c r="J2271" i="4"/>
  <c r="P884" i="1"/>
  <c r="N884" i="1"/>
  <c r="I2269" i="4"/>
  <c r="Q866" i="1"/>
  <c r="J624" i="1"/>
  <c r="N624" i="1" s="1"/>
  <c r="J3233" i="4"/>
  <c r="K2251" i="4"/>
  <c r="Q619" i="1" s="1"/>
  <c r="J3148" i="4"/>
  <c r="Q643" i="1"/>
  <c r="N643" i="1"/>
  <c r="J3229" i="4"/>
  <c r="I3146" i="4"/>
  <c r="J3225" i="4"/>
  <c r="Q868" i="1"/>
  <c r="I3156" i="4"/>
  <c r="I3150" i="4"/>
  <c r="I2272" i="4"/>
  <c r="J3157" i="4"/>
  <c r="J3156" i="4" s="1"/>
  <c r="J3164" i="4"/>
  <c r="J2350" i="4"/>
  <c r="J863" i="1"/>
  <c r="I3142" i="4"/>
  <c r="J2267" i="4"/>
  <c r="J869" i="1"/>
  <c r="J3143" i="4"/>
  <c r="J867" i="1"/>
  <c r="J870" i="1"/>
  <c r="J3159" i="4"/>
  <c r="A871" i="1"/>
  <c r="J3150" i="4"/>
  <c r="I2252" i="4"/>
  <c r="J2252" i="4" s="1"/>
  <c r="J2272" i="4" l="1"/>
  <c r="N889" i="1"/>
  <c r="P889" i="1"/>
  <c r="J3146" i="4"/>
  <c r="J2269" i="4"/>
  <c r="P624" i="1"/>
  <c r="J625" i="1"/>
  <c r="J864" i="1"/>
  <c r="J626" i="1"/>
  <c r="J866" i="1"/>
  <c r="J868" i="1"/>
  <c r="P869" i="1"/>
  <c r="N869" i="1"/>
  <c r="P870" i="1"/>
  <c r="N870" i="1"/>
  <c r="P867" i="1"/>
  <c r="N867" i="1"/>
  <c r="N863" i="1"/>
  <c r="P863" i="1"/>
  <c r="J862" i="1"/>
  <c r="J2251" i="4"/>
  <c r="I2251" i="4"/>
  <c r="N625" i="1" l="1"/>
  <c r="P625" i="1"/>
  <c r="N864" i="1"/>
  <c r="N862" i="1" s="1"/>
  <c r="P864" i="1"/>
  <c r="N868" i="1"/>
  <c r="P868" i="1"/>
  <c r="N866" i="1"/>
  <c r="P866" i="1"/>
  <c r="N626" i="1"/>
  <c r="P626" i="1"/>
  <c r="J619" i="1"/>
  <c r="N619" i="1" l="1"/>
  <c r="P619" i="1"/>
  <c r="G614" i="1" l="1"/>
  <c r="A617" i="1"/>
  <c r="J2239" i="4"/>
  <c r="I2242" i="4"/>
  <c r="I2240" i="4"/>
  <c r="D2237" i="4"/>
  <c r="A2245" i="4"/>
  <c r="K2244" i="4"/>
  <c r="A857" i="1"/>
  <c r="A858" i="1" s="1"/>
  <c r="D3123" i="4"/>
  <c r="I3130" i="4"/>
  <c r="J3129" i="4"/>
  <c r="K3128" i="4"/>
  <c r="I3128" i="4"/>
  <c r="J858" i="1" s="1"/>
  <c r="N858" i="1" s="1"/>
  <c r="K3127" i="4"/>
  <c r="A3126" i="4"/>
  <c r="A3128" i="4" s="1"/>
  <c r="A3131" i="4" s="1"/>
  <c r="K3125" i="4"/>
  <c r="I3125" i="4" s="1"/>
  <c r="A612" i="1"/>
  <c r="A613" i="1" s="1"/>
  <c r="I2232" i="4"/>
  <c r="I2230" i="4"/>
  <c r="D2227" i="4"/>
  <c r="K2234" i="4"/>
  <c r="J1036" i="4"/>
  <c r="J1033" i="4"/>
  <c r="J1025" i="4"/>
  <c r="J1020" i="4"/>
  <c r="I1037" i="4"/>
  <c r="I1032" i="4"/>
  <c r="I1027" i="4"/>
  <c r="I1022" i="4"/>
  <c r="D1018" i="4"/>
  <c r="A837" i="1"/>
  <c r="D3055" i="4"/>
  <c r="I3063" i="4"/>
  <c r="I3061" i="4" s="1"/>
  <c r="J3062" i="4"/>
  <c r="K3061" i="4"/>
  <c r="Q837" i="1" s="1"/>
  <c r="A3061" i="4"/>
  <c r="I2138" i="4"/>
  <c r="I2132" i="4"/>
  <c r="D2124" i="4"/>
  <c r="I2134" i="4"/>
  <c r="K2133" i="4"/>
  <c r="Q576" i="1" s="1"/>
  <c r="J956" i="4"/>
  <c r="I3054" i="4"/>
  <c r="I3053" i="4"/>
  <c r="A568" i="1"/>
  <c r="A569" i="1" s="1"/>
  <c r="A570" i="1" s="1"/>
  <c r="A572" i="1" s="1"/>
  <c r="D2102" i="4"/>
  <c r="J2122" i="4"/>
  <c r="I2123" i="4"/>
  <c r="I2121" i="4"/>
  <c r="J2110" i="4"/>
  <c r="I2115" i="4"/>
  <c r="I2113" i="4"/>
  <c r="I2112" i="4"/>
  <c r="I2111" i="4"/>
  <c r="I2107" i="4"/>
  <c r="I2104" i="4"/>
  <c r="A2106" i="4"/>
  <c r="A2109" i="4" s="1"/>
  <c r="A2114" i="4" s="1"/>
  <c r="A2116" i="4" s="1"/>
  <c r="A2119" i="4" s="1"/>
  <c r="K2118" i="4"/>
  <c r="K2117" i="4"/>
  <c r="I2133" i="4" l="1"/>
  <c r="K3124" i="4"/>
  <c r="K2243" i="4"/>
  <c r="Q616" i="1" s="1"/>
  <c r="I2244" i="4"/>
  <c r="K2233" i="4"/>
  <c r="Q612" i="1" s="1"/>
  <c r="K3126" i="4"/>
  <c r="Q857" i="1" s="1"/>
  <c r="I3124" i="4"/>
  <c r="J856" i="1" s="1"/>
  <c r="I2234" i="4"/>
  <c r="I2233" i="4" s="1"/>
  <c r="I3127" i="4"/>
  <c r="J3125" i="4"/>
  <c r="J3130" i="4"/>
  <c r="Q858" i="1"/>
  <c r="I2105" i="4"/>
  <c r="I2103" i="4" s="1"/>
  <c r="I1035" i="4"/>
  <c r="K2116" i="4"/>
  <c r="Q571" i="1" s="1"/>
  <c r="A859" i="1"/>
  <c r="P858" i="1"/>
  <c r="J3127" i="4"/>
  <c r="J3063" i="4"/>
  <c r="J837" i="1"/>
  <c r="N837" i="1" s="1"/>
  <c r="I2118" i="4"/>
  <c r="J576" i="1"/>
  <c r="I2117" i="4"/>
  <c r="J2134" i="4"/>
  <c r="I2108" i="4"/>
  <c r="J2107" i="4"/>
  <c r="J2104" i="4"/>
  <c r="J2244" i="4" l="1"/>
  <c r="Q856" i="1"/>
  <c r="N856" i="1"/>
  <c r="I2243" i="4"/>
  <c r="P856" i="1"/>
  <c r="J2234" i="4"/>
  <c r="J2233" i="4" s="1"/>
  <c r="J612" i="1"/>
  <c r="N612" i="1" s="1"/>
  <c r="I3126" i="4"/>
  <c r="P612" i="1"/>
  <c r="J2117" i="4"/>
  <c r="J3128" i="4"/>
  <c r="J3124" i="4"/>
  <c r="J3126" i="4"/>
  <c r="J2243" i="4"/>
  <c r="N576" i="1"/>
  <c r="J3061" i="4"/>
  <c r="P837" i="1"/>
  <c r="P576" i="1"/>
  <c r="J2133" i="4"/>
  <c r="J2118" i="4"/>
  <c r="I2116" i="4"/>
  <c r="O566" i="1"/>
  <c r="J616" i="1" l="1"/>
  <c r="J2116" i="4"/>
  <c r="J857" i="1"/>
  <c r="J571" i="1"/>
  <c r="N616" i="1" l="1"/>
  <c r="P616" i="1"/>
  <c r="N857" i="1"/>
  <c r="P857" i="1"/>
  <c r="N571" i="1"/>
  <c r="P571" i="1"/>
  <c r="D2643" i="4" l="1"/>
  <c r="K2723" i="4"/>
  <c r="I2723" i="4"/>
  <c r="K2722" i="4"/>
  <c r="I2722" i="4"/>
  <c r="K2721" i="4"/>
  <c r="I2721" i="4"/>
  <c r="K2720" i="4"/>
  <c r="I2720" i="4"/>
  <c r="K2719" i="4"/>
  <c r="I2719" i="4"/>
  <c r="K2718" i="4"/>
  <c r="I2718" i="4"/>
  <c r="K2717" i="4"/>
  <c r="I2717" i="4"/>
  <c r="K2716" i="4"/>
  <c r="I2716" i="4"/>
  <c r="K2711" i="4"/>
  <c r="J2711" i="4"/>
  <c r="K2710" i="4"/>
  <c r="I2710" i="4"/>
  <c r="K2709" i="4"/>
  <c r="I2709" i="4"/>
  <c r="K2708" i="4"/>
  <c r="I2708" i="4"/>
  <c r="K2707" i="4"/>
  <c r="I2707" i="4"/>
  <c r="I2705" i="4"/>
  <c r="I2704" i="4"/>
  <c r="K2703" i="4"/>
  <c r="K2702" i="4"/>
  <c r="I2702" i="4"/>
  <c r="K2701" i="4"/>
  <c r="I2701" i="4"/>
  <c r="K2699" i="4"/>
  <c r="I2676" i="4"/>
  <c r="I2675" i="4"/>
  <c r="I2674" i="4"/>
  <c r="I2673" i="4"/>
  <c r="I2672" i="4"/>
  <c r="I2671" i="4"/>
  <c r="I2670" i="4"/>
  <c r="I2669" i="4"/>
  <c r="K2668" i="4"/>
  <c r="K1488" i="4"/>
  <c r="I1480" i="4"/>
  <c r="I1479" i="4"/>
  <c r="I1478" i="4"/>
  <c r="I1477" i="4"/>
  <c r="I1476" i="4"/>
  <c r="I1475" i="4"/>
  <c r="I1474" i="4"/>
  <c r="I1473" i="4"/>
  <c r="K1472" i="4"/>
  <c r="K1471" i="4"/>
  <c r="J1470" i="4"/>
  <c r="K1470" i="4"/>
  <c r="K1455" i="4"/>
  <c r="J1454" i="4"/>
  <c r="K1454" i="4"/>
  <c r="K1446" i="4"/>
  <c r="K1445" i="4"/>
  <c r="K1444" i="4"/>
  <c r="K1443" i="4"/>
  <c r="J1402" i="4"/>
  <c r="I2699" i="4" l="1"/>
  <c r="J2669" i="4"/>
  <c r="J2671" i="4"/>
  <c r="J2673" i="4"/>
  <c r="J2675" i="4"/>
  <c r="J2704" i="4"/>
  <c r="I1443" i="4"/>
  <c r="I1445" i="4"/>
  <c r="J1445" i="4" s="1"/>
  <c r="I2700" i="4"/>
  <c r="I1471" i="4"/>
  <c r="J1473" i="4"/>
  <c r="J1475" i="4"/>
  <c r="J1477" i="4"/>
  <c r="J1479" i="4"/>
  <c r="I1488" i="4"/>
  <c r="K2700" i="4"/>
  <c r="I2715" i="4"/>
  <c r="I2706" i="4"/>
  <c r="K2715" i="4"/>
  <c r="J2716" i="4"/>
  <c r="J2717" i="4"/>
  <c r="J2718" i="4"/>
  <c r="J2719" i="4"/>
  <c r="J2720" i="4"/>
  <c r="J2721" i="4"/>
  <c r="J743" i="1"/>
  <c r="Q734" i="1"/>
  <c r="Q740" i="1"/>
  <c r="Q743" i="1"/>
  <c r="J2723" i="4"/>
  <c r="J2707" i="4"/>
  <c r="J2708" i="4"/>
  <c r="J2709" i="4"/>
  <c r="J2710" i="4"/>
  <c r="K1442" i="4"/>
  <c r="J1480" i="4"/>
  <c r="K1487" i="4"/>
  <c r="J2672" i="4"/>
  <c r="K2698" i="4"/>
  <c r="I2703" i="4"/>
  <c r="J2705" i="4"/>
  <c r="I1455" i="4"/>
  <c r="I1451" i="4" s="1"/>
  <c r="J1476" i="4"/>
  <c r="J2676" i="4"/>
  <c r="I1444" i="4"/>
  <c r="I1446" i="4"/>
  <c r="J1474" i="4"/>
  <c r="I1472" i="4"/>
  <c r="J1478" i="4"/>
  <c r="Q400" i="1"/>
  <c r="J2674" i="4"/>
  <c r="J2701" i="4"/>
  <c r="J2702" i="4"/>
  <c r="J2670" i="4"/>
  <c r="I2668" i="4"/>
  <c r="I2698" i="4"/>
  <c r="J2699" i="4"/>
  <c r="J1443" i="4"/>
  <c r="J333" i="4"/>
  <c r="J330" i="4"/>
  <c r="J327" i="4"/>
  <c r="I344" i="4"/>
  <c r="I341" i="4"/>
  <c r="I338" i="4"/>
  <c r="I335" i="4"/>
  <c r="I332" i="4"/>
  <c r="I329" i="4"/>
  <c r="I326" i="4"/>
  <c r="J310" i="4"/>
  <c r="J304" i="4"/>
  <c r="J305" i="4"/>
  <c r="I309" i="4"/>
  <c r="I306" i="4"/>
  <c r="I280" i="4"/>
  <c r="I279" i="4"/>
  <c r="J279" i="4" s="1"/>
  <c r="I278" i="4"/>
  <c r="I277" i="4"/>
  <c r="J277" i="4" s="1"/>
  <c r="I1467" i="4" l="1"/>
  <c r="J739" i="1"/>
  <c r="N739" i="1" s="1"/>
  <c r="J1471" i="4"/>
  <c r="I1487" i="4"/>
  <c r="J734" i="1"/>
  <c r="Q739" i="1"/>
  <c r="J1488" i="4"/>
  <c r="J740" i="1"/>
  <c r="N740" i="1" s="1"/>
  <c r="J1444" i="4"/>
  <c r="J1446" i="4"/>
  <c r="J742" i="1"/>
  <c r="N742" i="1" s="1"/>
  <c r="Q742" i="1"/>
  <c r="J2715" i="4"/>
  <c r="J1455" i="4"/>
  <c r="N743" i="1"/>
  <c r="P743" i="1"/>
  <c r="J738" i="1"/>
  <c r="Q738" i="1"/>
  <c r="P734" i="1"/>
  <c r="Q393" i="1"/>
  <c r="J2668" i="4"/>
  <c r="Q403" i="1"/>
  <c r="J2703" i="4"/>
  <c r="J2722" i="4"/>
  <c r="I1442" i="4"/>
  <c r="J1472" i="4"/>
  <c r="J2698" i="4"/>
  <c r="J1487" i="4"/>
  <c r="J2700" i="4"/>
  <c r="J400" i="1"/>
  <c r="P739" i="1" l="1"/>
  <c r="J403" i="1"/>
  <c r="P403" i="1" s="1"/>
  <c r="N734" i="1"/>
  <c r="J1442" i="4"/>
  <c r="P740" i="1"/>
  <c r="P742" i="1"/>
  <c r="N738" i="1"/>
  <c r="P738" i="1"/>
  <c r="J393" i="1"/>
  <c r="N403" i="1"/>
  <c r="N400" i="1"/>
  <c r="P400" i="1"/>
  <c r="P393" i="1" l="1"/>
  <c r="N393" i="1"/>
  <c r="I257" i="4"/>
  <c r="J257" i="4" s="1"/>
  <c r="D2502" i="4" l="1"/>
  <c r="K2636" i="4"/>
  <c r="J2642" i="4"/>
  <c r="I2641" i="4"/>
  <c r="K2613" i="4"/>
  <c r="J2613" i="4"/>
  <c r="J721" i="1"/>
  <c r="N721" i="1" s="1"/>
  <c r="K2610" i="4"/>
  <c r="K2608" i="4"/>
  <c r="K2606" i="4"/>
  <c r="K2611" i="4" l="1"/>
  <c r="J2611" i="4"/>
  <c r="J2641" i="4"/>
  <c r="P721" i="1"/>
  <c r="J2590" i="4"/>
  <c r="I2589" i="4"/>
  <c r="K2588" i="4"/>
  <c r="I2588" i="4"/>
  <c r="K2578" i="4"/>
  <c r="I2578" i="4"/>
  <c r="K2577" i="4"/>
  <c r="I2577" i="4"/>
  <c r="J2573" i="4"/>
  <c r="I2572" i="4"/>
  <c r="K2571" i="4"/>
  <c r="I2571" i="4"/>
  <c r="I2561" i="4"/>
  <c r="I2560" i="4"/>
  <c r="K2559" i="4"/>
  <c r="K2533" i="4"/>
  <c r="K2535" i="4"/>
  <c r="K2536" i="4"/>
  <c r="J2536" i="4"/>
  <c r="K2537" i="4"/>
  <c r="K2539" i="4"/>
  <c r="K2546" i="4"/>
  <c r="K2549" i="4"/>
  <c r="I2549" i="4"/>
  <c r="K2548" i="4"/>
  <c r="I2548" i="4"/>
  <c r="K2547" i="4"/>
  <c r="I2547" i="4"/>
  <c r="K2544" i="4"/>
  <c r="I2544" i="4"/>
  <c r="K2543" i="4"/>
  <c r="I2543" i="4"/>
  <c r="K2542" i="4"/>
  <c r="I2542" i="4"/>
  <c r="K2541" i="4"/>
  <c r="I2541" i="4"/>
  <c r="K2540" i="4"/>
  <c r="I2540" i="4"/>
  <c r="K2530" i="4"/>
  <c r="K2527" i="4"/>
  <c r="I2527" i="4"/>
  <c r="K2526" i="4"/>
  <c r="I2526" i="4"/>
  <c r="K2525" i="4"/>
  <c r="I2525" i="4"/>
  <c r="J2515" i="4"/>
  <c r="I2514" i="4"/>
  <c r="K2513" i="4"/>
  <c r="I2513" i="4"/>
  <c r="D1207" i="4"/>
  <c r="I1394" i="4"/>
  <c r="K1393" i="4"/>
  <c r="K1384" i="4"/>
  <c r="K1374" i="4"/>
  <c r="I1371" i="4"/>
  <c r="I1370" i="4"/>
  <c r="I1369" i="4"/>
  <c r="I1368" i="4"/>
  <c r="I1367" i="4"/>
  <c r="K1364" i="4"/>
  <c r="I1357" i="4"/>
  <c r="K1344" i="4"/>
  <c r="K1342" i="4"/>
  <c r="K1340" i="4"/>
  <c r="K1338" i="4"/>
  <c r="I1330" i="4"/>
  <c r="K1316" i="4"/>
  <c r="K1314" i="4"/>
  <c r="K1291" i="4"/>
  <c r="I1291" i="4" s="1"/>
  <c r="K1280" i="4"/>
  <c r="K1263" i="4"/>
  <c r="K1257" i="4"/>
  <c r="K1251" i="4"/>
  <c r="K1249" i="4"/>
  <c r="K1247" i="4"/>
  <c r="K1246" i="4"/>
  <c r="K1243" i="4"/>
  <c r="K1252" i="4"/>
  <c r="K1250" i="4"/>
  <c r="K1248" i="4"/>
  <c r="K1245" i="4"/>
  <c r="J1251" i="4"/>
  <c r="J1249" i="4"/>
  <c r="J1247" i="4"/>
  <c r="K1242" i="4"/>
  <c r="J1242" i="4"/>
  <c r="J1238" i="4"/>
  <c r="J1239" i="4"/>
  <c r="J1240" i="4"/>
  <c r="J1241" i="4"/>
  <c r="K1238" i="4"/>
  <c r="K1239" i="4"/>
  <c r="K1240" i="4"/>
  <c r="K1241" i="4"/>
  <c r="K1227" i="4"/>
  <c r="Q721" i="1" l="1"/>
  <c r="Q697" i="1"/>
  <c r="J701" i="1"/>
  <c r="Q707" i="1"/>
  <c r="Q711" i="1"/>
  <c r="J713" i="1"/>
  <c r="J716" i="1"/>
  <c r="J697" i="1"/>
  <c r="Q701" i="1"/>
  <c r="J2560" i="4"/>
  <c r="J711" i="1"/>
  <c r="Q713" i="1"/>
  <c r="Q716" i="1"/>
  <c r="K1262" i="4"/>
  <c r="K1279" i="4"/>
  <c r="Q355" i="1" s="1"/>
  <c r="I2559" i="4"/>
  <c r="I1263" i="4"/>
  <c r="J1263" i="4" s="1"/>
  <c r="I1280" i="4"/>
  <c r="J1280" i="4" s="1"/>
  <c r="K1290" i="4"/>
  <c r="I1393" i="4"/>
  <c r="J2514" i="4"/>
  <c r="J2561" i="4"/>
  <c r="J2589" i="4"/>
  <c r="J2578" i="4"/>
  <c r="J2572" i="4"/>
  <c r="Q359" i="1"/>
  <c r="J2547" i="4"/>
  <c r="J2548" i="4"/>
  <c r="J2549" i="4"/>
  <c r="I2531" i="4"/>
  <c r="J2540" i="4"/>
  <c r="J2541" i="4"/>
  <c r="J2542" i="4"/>
  <c r="J2543" i="4"/>
  <c r="J2544" i="4"/>
  <c r="J2526" i="4"/>
  <c r="J2527" i="4"/>
  <c r="J1394" i="4"/>
  <c r="I1290" i="4"/>
  <c r="J1291" i="4"/>
  <c r="K1219" i="4"/>
  <c r="D61" i="4"/>
  <c r="J240" i="4"/>
  <c r="K231" i="4"/>
  <c r="J231" i="4"/>
  <c r="I226" i="4"/>
  <c r="J226" i="4" s="1"/>
  <c r="J217" i="4"/>
  <c r="J215" i="4"/>
  <c r="J211" i="4"/>
  <c r="J209" i="4"/>
  <c r="I207" i="4"/>
  <c r="K200" i="4"/>
  <c r="K197" i="4"/>
  <c r="K194" i="4"/>
  <c r="J200" i="4"/>
  <c r="J197" i="4"/>
  <c r="J194" i="4"/>
  <c r="J164" i="4"/>
  <c r="I163" i="4"/>
  <c r="J143" i="4"/>
  <c r="J140" i="4"/>
  <c r="J137" i="4"/>
  <c r="J134" i="4"/>
  <c r="J131" i="4"/>
  <c r="J128" i="4"/>
  <c r="J121" i="4"/>
  <c r="K90" i="4"/>
  <c r="K89" i="4"/>
  <c r="J89" i="4"/>
  <c r="J85" i="4"/>
  <c r="K85" i="4"/>
  <c r="K84" i="4"/>
  <c r="J84" i="4"/>
  <c r="I88" i="4"/>
  <c r="K82" i="4"/>
  <c r="K81" i="4"/>
  <c r="K79" i="4"/>
  <c r="K78" i="4"/>
  <c r="J74" i="4"/>
  <c r="O690" i="1"/>
  <c r="M690" i="1"/>
  <c r="L690" i="1"/>
  <c r="K690" i="1"/>
  <c r="I690" i="1"/>
  <c r="H690" i="1"/>
  <c r="G690" i="1"/>
  <c r="D2495" i="4"/>
  <c r="I2498" i="4"/>
  <c r="I2497" i="4"/>
  <c r="J2497" i="4" s="1"/>
  <c r="K2496" i="4"/>
  <c r="Q691" i="1" s="1"/>
  <c r="O331" i="1"/>
  <c r="M331" i="1"/>
  <c r="L331" i="1"/>
  <c r="K331" i="1"/>
  <c r="I331" i="1"/>
  <c r="H331" i="1"/>
  <c r="G331" i="1"/>
  <c r="A333" i="1"/>
  <c r="J1201" i="4"/>
  <c r="I1204" i="4"/>
  <c r="I1202" i="4"/>
  <c r="D1199" i="4"/>
  <c r="K1206" i="4"/>
  <c r="A1205" i="4"/>
  <c r="J59" i="4"/>
  <c r="J1393" i="4" l="1"/>
  <c r="Q349" i="1"/>
  <c r="N711" i="1"/>
  <c r="P711" i="1"/>
  <c r="J707" i="1"/>
  <c r="N697" i="1"/>
  <c r="P697" i="1"/>
  <c r="N716" i="1"/>
  <c r="P716" i="1"/>
  <c r="N713" i="1"/>
  <c r="P713" i="1"/>
  <c r="N701" i="1"/>
  <c r="P701" i="1"/>
  <c r="J2559" i="4"/>
  <c r="J2571" i="4"/>
  <c r="J2588" i="4"/>
  <c r="I1279" i="4"/>
  <c r="J2577" i="4"/>
  <c r="J2513" i="4"/>
  <c r="I1262" i="4"/>
  <c r="K1218" i="4"/>
  <c r="J359" i="1"/>
  <c r="J2525" i="4"/>
  <c r="J1279" i="4"/>
  <c r="J1262" i="4"/>
  <c r="I1219" i="4"/>
  <c r="I1218" i="4" s="1"/>
  <c r="J1290" i="4"/>
  <c r="K1205" i="4"/>
  <c r="I2496" i="4"/>
  <c r="J2498" i="4"/>
  <c r="I1206" i="4"/>
  <c r="J1206" i="4" s="1"/>
  <c r="A689" i="1"/>
  <c r="N707" i="1" l="1"/>
  <c r="P707" i="1"/>
  <c r="J349" i="1"/>
  <c r="J355" i="1"/>
  <c r="J337" i="1"/>
  <c r="J1219" i="4"/>
  <c r="N359" i="1"/>
  <c r="P359" i="1"/>
  <c r="Q337" i="1"/>
  <c r="Q333" i="1"/>
  <c r="J2496" i="4"/>
  <c r="I2495" i="4"/>
  <c r="J691" i="1"/>
  <c r="I1205" i="4"/>
  <c r="J1205" i="4"/>
  <c r="D2489" i="4"/>
  <c r="A2492" i="4"/>
  <c r="K2491" i="4"/>
  <c r="I1196" i="4"/>
  <c r="A1162" i="4"/>
  <c r="A1165" i="4" s="1"/>
  <c r="A1167" i="4" s="1"/>
  <c r="A1169" i="4" s="1"/>
  <c r="A672" i="1"/>
  <c r="A673" i="1" s="1"/>
  <c r="A674" i="1" s="1"/>
  <c r="D2433" i="4"/>
  <c r="I2488" i="4"/>
  <c r="I2487" i="4"/>
  <c r="K2486" i="4"/>
  <c r="K2485" i="4"/>
  <c r="K2484" i="4"/>
  <c r="K2479" i="4"/>
  <c r="K2478" i="4"/>
  <c r="I2478" i="4" s="1"/>
  <c r="K2477" i="4"/>
  <c r="K2475" i="4"/>
  <c r="K2474" i="4"/>
  <c r="K2473" i="4"/>
  <c r="I2471" i="4"/>
  <c r="I2470" i="4"/>
  <c r="J2470" i="4" s="1"/>
  <c r="K2469" i="4"/>
  <c r="Q681" i="1" s="1"/>
  <c r="K2465" i="4"/>
  <c r="K2464" i="4"/>
  <c r="K2462" i="4"/>
  <c r="K2461" i="4"/>
  <c r="K2460" i="4"/>
  <c r="I2460" i="4" s="1"/>
  <c r="K2444" i="4"/>
  <c r="K2443" i="4"/>
  <c r="K2441" i="4"/>
  <c r="K2440" i="4"/>
  <c r="A2439" i="4"/>
  <c r="A2442" i="4" s="1"/>
  <c r="A2445" i="4" s="1"/>
  <c r="J1182" i="4"/>
  <c r="D1142" i="4"/>
  <c r="K1192" i="4"/>
  <c r="I1192" i="4" s="1"/>
  <c r="I1191" i="4" s="1"/>
  <c r="K1168" i="4"/>
  <c r="J39" i="4"/>
  <c r="N355" i="1" l="1"/>
  <c r="P355" i="1"/>
  <c r="N349" i="1"/>
  <c r="P349" i="1"/>
  <c r="J1218" i="4"/>
  <c r="N337" i="1"/>
  <c r="P337" i="1"/>
  <c r="K2439" i="4"/>
  <c r="Q672" i="1" s="1"/>
  <c r="K2442" i="4"/>
  <c r="Q673" i="1" s="1"/>
  <c r="K2490" i="4"/>
  <c r="Q688" i="1" s="1"/>
  <c r="I2440" i="4"/>
  <c r="I2441" i="4"/>
  <c r="I2443" i="4"/>
  <c r="I2444" i="4"/>
  <c r="I2461" i="4"/>
  <c r="I2462" i="4"/>
  <c r="K2476" i="4"/>
  <c r="Q683" i="1" s="1"/>
  <c r="N691" i="1"/>
  <c r="P691" i="1"/>
  <c r="J690" i="1"/>
  <c r="K2472" i="4"/>
  <c r="Q682" i="1" s="1"/>
  <c r="K2483" i="4"/>
  <c r="Q685" i="1" s="1"/>
  <c r="I2491" i="4"/>
  <c r="J333" i="1"/>
  <c r="K1167" i="4"/>
  <c r="Q320" i="1" s="1"/>
  <c r="K1191" i="4"/>
  <c r="Q327" i="1" s="1"/>
  <c r="I2473" i="4"/>
  <c r="I2474" i="4"/>
  <c r="I2475" i="4"/>
  <c r="I2477" i="4"/>
  <c r="I2479" i="4"/>
  <c r="I2484" i="4"/>
  <c r="I2485" i="4"/>
  <c r="K2463" i="4"/>
  <c r="Q679" i="1" s="1"/>
  <c r="I2464" i="4"/>
  <c r="I1168" i="4"/>
  <c r="J1168" i="4" s="1"/>
  <c r="K2459" i="4"/>
  <c r="Q678" i="1" s="1"/>
  <c r="I2465" i="4"/>
  <c r="I2486" i="4"/>
  <c r="J686" i="1" s="1"/>
  <c r="J2487" i="4"/>
  <c r="J327" i="1"/>
  <c r="J2471" i="4"/>
  <c r="Q686" i="1"/>
  <c r="J2488" i="4"/>
  <c r="J2478" i="4"/>
  <c r="I2469" i="4"/>
  <c r="J2460" i="4"/>
  <c r="J1192" i="4"/>
  <c r="J2462" i="4" l="1"/>
  <c r="J2441" i="4"/>
  <c r="J2443" i="4"/>
  <c r="J2440" i="4"/>
  <c r="J2464" i="4"/>
  <c r="J2461" i="4"/>
  <c r="J2473" i="4"/>
  <c r="I2483" i="4"/>
  <c r="J685" i="1" s="1"/>
  <c r="I2439" i="4"/>
  <c r="J672" i="1" s="1"/>
  <c r="J2491" i="4"/>
  <c r="J2444" i="4"/>
  <c r="I2459" i="4"/>
  <c r="N327" i="1"/>
  <c r="I2442" i="4"/>
  <c r="J2475" i="4"/>
  <c r="J2479" i="4"/>
  <c r="J2485" i="4"/>
  <c r="N690" i="1"/>
  <c r="J2474" i="4"/>
  <c r="J2477" i="4"/>
  <c r="J2484" i="4"/>
  <c r="I2490" i="4"/>
  <c r="J2465" i="4"/>
  <c r="I2463" i="4"/>
  <c r="I2472" i="4"/>
  <c r="I2476" i="4"/>
  <c r="N333" i="1"/>
  <c r="P333" i="1"/>
  <c r="I1167" i="4"/>
  <c r="J2490" i="4"/>
  <c r="N686" i="1"/>
  <c r="P686" i="1"/>
  <c r="J2469" i="4"/>
  <c r="P327" i="1"/>
  <c r="J1191" i="4"/>
  <c r="J681" i="1"/>
  <c r="J1167" i="4"/>
  <c r="J2486" i="4"/>
  <c r="J2439" i="4" l="1"/>
  <c r="J2442" i="4"/>
  <c r="J683" i="1"/>
  <c r="J682" i="1"/>
  <c r="N682" i="1" s="1"/>
  <c r="J2476" i="4"/>
  <c r="J2459" i="4"/>
  <c r="J678" i="1"/>
  <c r="N678" i="1" s="1"/>
  <c r="J2472" i="4"/>
  <c r="J2483" i="4"/>
  <c r="J2463" i="4"/>
  <c r="J673" i="1"/>
  <c r="J688" i="1"/>
  <c r="J679" i="1"/>
  <c r="N679" i="1" s="1"/>
  <c r="J320" i="1"/>
  <c r="P672" i="1"/>
  <c r="N672" i="1"/>
  <c r="P685" i="1"/>
  <c r="N685" i="1"/>
  <c r="N681" i="1"/>
  <c r="P681" i="1"/>
  <c r="K2081" i="4"/>
  <c r="J2081" i="4"/>
  <c r="K2080" i="4"/>
  <c r="K2079" i="4"/>
  <c r="J2079" i="4"/>
  <c r="K2078" i="4"/>
  <c r="J2078" i="4"/>
  <c r="K2076" i="4"/>
  <c r="J2076" i="4"/>
  <c r="K2075" i="4"/>
  <c r="K2074" i="4"/>
  <c r="J2074" i="4"/>
  <c r="K2073" i="4"/>
  <c r="J2073" i="4"/>
  <c r="I2072" i="4"/>
  <c r="K2009" i="4"/>
  <c r="J2009" i="4"/>
  <c r="K2008" i="4"/>
  <c r="K2007" i="4"/>
  <c r="J2007" i="4"/>
  <c r="K2006" i="4"/>
  <c r="I2005" i="4"/>
  <c r="K1996" i="4"/>
  <c r="K1985" i="4"/>
  <c r="K1984" i="4"/>
  <c r="K1983" i="4"/>
  <c r="K1982" i="4"/>
  <c r="J1982" i="4"/>
  <c r="K1981" i="4"/>
  <c r="K1980" i="4"/>
  <c r="K1933" i="4"/>
  <c r="J1933" i="4"/>
  <c r="K1932" i="4"/>
  <c r="J1932" i="4"/>
  <c r="K1931" i="4"/>
  <c r="J1931" i="4"/>
  <c r="K1930" i="4"/>
  <c r="J1930" i="4"/>
  <c r="K1913" i="4"/>
  <c r="J1913" i="4"/>
  <c r="K1912" i="4"/>
  <c r="K1875" i="4"/>
  <c r="J1875" i="4"/>
  <c r="K1874" i="4"/>
  <c r="J1874" i="4"/>
  <c r="K1873" i="4"/>
  <c r="J1873" i="4"/>
  <c r="K1872" i="4"/>
  <c r="I1871" i="4"/>
  <c r="K1825" i="4"/>
  <c r="J1825" i="4"/>
  <c r="K1824" i="4"/>
  <c r="J1824" i="4"/>
  <c r="K1823" i="4"/>
  <c r="J1823" i="4"/>
  <c r="K1822" i="4"/>
  <c r="J1822" i="4"/>
  <c r="K1800" i="4"/>
  <c r="J1800" i="4"/>
  <c r="K1799" i="4"/>
  <c r="K1798" i="4"/>
  <c r="J1798" i="4"/>
  <c r="K1797" i="4"/>
  <c r="I1796" i="4"/>
  <c r="K1792" i="4"/>
  <c r="J1792" i="4"/>
  <c r="K1791" i="4"/>
  <c r="J1791" i="4"/>
  <c r="K1790" i="4"/>
  <c r="J1790" i="4"/>
  <c r="K1789" i="4"/>
  <c r="J1789" i="4"/>
  <c r="K1788" i="4"/>
  <c r="J1788" i="4"/>
  <c r="K1787" i="4"/>
  <c r="J1787" i="4"/>
  <c r="K1786" i="4"/>
  <c r="J1786" i="4"/>
  <c r="K1785" i="4"/>
  <c r="J1785" i="4"/>
  <c r="K1784" i="4"/>
  <c r="J1784" i="4"/>
  <c r="K1783" i="4"/>
  <c r="J1783" i="4"/>
  <c r="K1685" i="4"/>
  <c r="K1681" i="4"/>
  <c r="J1681" i="4"/>
  <c r="K1680" i="4"/>
  <c r="J1680" i="4"/>
  <c r="K1679" i="4"/>
  <c r="J1679" i="4"/>
  <c r="K1678" i="4"/>
  <c r="J1678" i="4"/>
  <c r="K1677" i="4"/>
  <c r="J1677" i="4"/>
  <c r="K1676" i="4"/>
  <c r="J1676" i="4"/>
  <c r="K1675" i="4"/>
  <c r="J1675" i="4"/>
  <c r="K1674" i="4"/>
  <c r="J1674" i="4"/>
  <c r="I1673" i="4"/>
  <c r="K926" i="4"/>
  <c r="K923" i="4"/>
  <c r="K853" i="4"/>
  <c r="J757" i="4"/>
  <c r="K590" i="4"/>
  <c r="K522" i="4"/>
  <c r="K519" i="4"/>
  <c r="K517" i="4"/>
  <c r="P682" i="1" l="1"/>
  <c r="N683" i="1"/>
  <c r="P683" i="1"/>
  <c r="P678" i="1"/>
  <c r="N673" i="1"/>
  <c r="P673" i="1"/>
  <c r="P679" i="1"/>
  <c r="N688" i="1"/>
  <c r="P688" i="1"/>
  <c r="P320" i="1"/>
  <c r="N320" i="1"/>
  <c r="J1685" i="4"/>
  <c r="J492" i="1"/>
  <c r="K2072" i="4"/>
  <c r="J2072" i="4"/>
  <c r="J2077" i="4"/>
  <c r="J556" i="1"/>
  <c r="P556" i="1" s="1"/>
  <c r="J486" i="1"/>
  <c r="N486" i="1" s="1"/>
  <c r="J505" i="1"/>
  <c r="N505" i="1" s="1"/>
  <c r="J529" i="1"/>
  <c r="J557" i="1"/>
  <c r="K2077" i="4"/>
  <c r="J521" i="1"/>
  <c r="N521" i="1" s="1"/>
  <c r="J547" i="1"/>
  <c r="P547" i="1" s="1"/>
  <c r="J1911" i="4"/>
  <c r="K1911" i="4"/>
  <c r="J456" i="1"/>
  <c r="N456" i="1" s="1"/>
  <c r="J1683" i="4"/>
  <c r="J1929" i="4"/>
  <c r="K1929" i="4"/>
  <c r="J1989" i="4"/>
  <c r="K1673" i="4"/>
  <c r="J1840" i="4"/>
  <c r="J1983" i="4"/>
  <c r="J2005" i="4"/>
  <c r="K2005" i="4"/>
  <c r="K1979" i="4"/>
  <c r="I1979" i="4"/>
  <c r="J1981" i="4"/>
  <c r="J1985" i="4"/>
  <c r="J1673" i="4"/>
  <c r="K1780" i="4"/>
  <c r="J1796" i="4"/>
  <c r="K1796" i="4"/>
  <c r="J1821" i="4"/>
  <c r="K1821" i="4"/>
  <c r="J1871" i="4"/>
  <c r="K1871" i="4"/>
  <c r="N687" i="1" l="1"/>
  <c r="P557" i="1"/>
  <c r="N492" i="1"/>
  <c r="P492" i="1"/>
  <c r="Q556" i="1"/>
  <c r="P529" i="1"/>
  <c r="N557" i="1"/>
  <c r="N529" i="1"/>
  <c r="J541" i="1"/>
  <c r="N541" i="1" s="1"/>
  <c r="P486" i="1"/>
  <c r="N556" i="1"/>
  <c r="P505" i="1"/>
  <c r="Q505" i="1"/>
  <c r="Q492" i="1"/>
  <c r="Q486" i="1"/>
  <c r="Q547" i="1"/>
  <c r="Q529" i="1"/>
  <c r="Q541" i="1"/>
  <c r="Q456" i="1"/>
  <c r="P456" i="1"/>
  <c r="P521" i="1"/>
  <c r="Q521" i="1"/>
  <c r="N547" i="1"/>
  <c r="Q557" i="1"/>
  <c r="J1979" i="4"/>
  <c r="I1301" i="4"/>
  <c r="K1285" i="4"/>
  <c r="J1285" i="4"/>
  <c r="K1284" i="4"/>
  <c r="J1284" i="4"/>
  <c r="I1283" i="4"/>
  <c r="P541" i="1" l="1"/>
  <c r="J1374" i="4"/>
  <c r="K1283" i="4"/>
  <c r="J357" i="1"/>
  <c r="J1283" i="4"/>
  <c r="K1956" i="4"/>
  <c r="K1560" i="4"/>
  <c r="J837" i="4"/>
  <c r="K836" i="4"/>
  <c r="J836" i="4"/>
  <c r="K834" i="4"/>
  <c r="Q357" i="1" l="1"/>
  <c r="Q536" i="1"/>
  <c r="K835" i="4"/>
  <c r="Q422" i="1"/>
  <c r="K833" i="4"/>
  <c r="J1958" i="4"/>
  <c r="I1560" i="4"/>
  <c r="J1561" i="4"/>
  <c r="J1562" i="4"/>
  <c r="J838" i="4"/>
  <c r="J834" i="4" l="1"/>
  <c r="Q209" i="1"/>
  <c r="J209" i="1"/>
  <c r="J536" i="1"/>
  <c r="J422" i="1"/>
  <c r="Q208" i="1"/>
  <c r="J1956" i="4"/>
  <c r="J1560" i="4"/>
  <c r="J835" i="4"/>
  <c r="O816" i="1"/>
  <c r="M816" i="1"/>
  <c r="L816" i="1"/>
  <c r="K816" i="1"/>
  <c r="I816" i="1"/>
  <c r="H816" i="1"/>
  <c r="G816" i="1"/>
  <c r="O773" i="1"/>
  <c r="M773" i="1"/>
  <c r="L773" i="1"/>
  <c r="K773" i="1"/>
  <c r="I773" i="1"/>
  <c r="H773" i="1"/>
  <c r="G773" i="1"/>
  <c r="O746" i="1"/>
  <c r="M746" i="1"/>
  <c r="L746" i="1"/>
  <c r="K746" i="1"/>
  <c r="I746" i="1"/>
  <c r="H746" i="1"/>
  <c r="G746" i="1"/>
  <c r="I3044" i="4"/>
  <c r="I3043" i="4"/>
  <c r="K3042" i="4"/>
  <c r="I3041" i="4"/>
  <c r="I3040" i="4"/>
  <c r="K3039" i="4"/>
  <c r="K3038" i="4"/>
  <c r="J3038" i="4"/>
  <c r="K3037" i="4"/>
  <c r="J3037" i="4"/>
  <c r="K3036" i="4"/>
  <c r="J3036" i="4"/>
  <c r="K3035" i="4"/>
  <c r="J3035" i="4"/>
  <c r="K3034" i="4"/>
  <c r="J3034" i="4"/>
  <c r="K3033" i="4"/>
  <c r="J3033" i="4"/>
  <c r="I3032" i="4"/>
  <c r="K3031" i="4"/>
  <c r="J3031" i="4"/>
  <c r="K3029" i="4"/>
  <c r="J3029" i="4"/>
  <c r="I3027" i="4"/>
  <c r="K3011" i="4"/>
  <c r="J3011" i="4"/>
  <c r="K3010" i="4"/>
  <c r="J3010" i="4"/>
  <c r="K3009" i="4"/>
  <c r="J3009" i="4"/>
  <c r="K3008" i="4"/>
  <c r="J3008" i="4"/>
  <c r="K3007" i="4"/>
  <c r="J3007" i="4"/>
  <c r="K3006" i="4"/>
  <c r="J3006" i="4"/>
  <c r="K3005" i="4"/>
  <c r="J3005" i="4"/>
  <c r="K3004" i="4"/>
  <c r="J3004" i="4"/>
  <c r="K3003" i="4"/>
  <c r="J3003" i="4"/>
  <c r="K3002" i="4"/>
  <c r="J3002" i="4"/>
  <c r="K3001" i="4"/>
  <c r="J3001" i="4"/>
  <c r="K3000" i="4"/>
  <c r="J3000" i="4"/>
  <c r="I2999" i="4"/>
  <c r="K2995" i="4"/>
  <c r="J2995" i="4"/>
  <c r="K2994" i="4"/>
  <c r="J2994" i="4"/>
  <c r="K2993" i="4"/>
  <c r="J2993" i="4"/>
  <c r="K2992" i="4"/>
  <c r="J2992" i="4"/>
  <c r="K2991" i="4"/>
  <c r="J2991" i="4"/>
  <c r="I2989" i="4"/>
  <c r="I2988" i="4"/>
  <c r="I2987" i="4"/>
  <c r="K2986" i="4"/>
  <c r="K2982" i="4"/>
  <c r="J2982" i="4"/>
  <c r="K2981" i="4"/>
  <c r="J2981" i="4"/>
  <c r="I2980" i="4"/>
  <c r="I2976" i="4"/>
  <c r="I2975" i="4"/>
  <c r="K2974" i="4"/>
  <c r="I2973" i="4"/>
  <c r="I2972" i="4"/>
  <c r="K2971" i="4"/>
  <c r="I2970" i="4"/>
  <c r="I2969" i="4"/>
  <c r="K2968" i="4"/>
  <c r="I2967" i="4"/>
  <c r="I2966" i="4"/>
  <c r="K2965" i="4"/>
  <c r="I2964" i="4"/>
  <c r="I2963" i="4"/>
  <c r="K2962" i="4"/>
  <c r="I2961" i="4"/>
  <c r="I2960" i="4"/>
  <c r="K2959" i="4"/>
  <c r="I2958" i="4"/>
  <c r="I2957" i="4"/>
  <c r="K2956" i="4"/>
  <c r="I2955" i="4"/>
  <c r="I2954" i="4"/>
  <c r="K2953" i="4"/>
  <c r="I2952" i="4"/>
  <c r="I2951" i="4"/>
  <c r="K2950" i="4"/>
  <c r="I2949" i="4"/>
  <c r="I2948" i="4"/>
  <c r="K2947" i="4"/>
  <c r="K2936" i="4"/>
  <c r="J2936" i="4"/>
  <c r="K2935" i="4"/>
  <c r="J2935" i="4"/>
  <c r="K2934" i="4"/>
  <c r="J2934" i="4"/>
  <c r="K2933" i="4"/>
  <c r="J2933" i="4"/>
  <c r="I2932" i="4"/>
  <c r="K2931" i="4"/>
  <c r="J2931" i="4"/>
  <c r="K2930" i="4"/>
  <c r="J2930" i="4"/>
  <c r="K2929" i="4"/>
  <c r="J2929" i="4"/>
  <c r="K2928" i="4"/>
  <c r="J2928" i="4"/>
  <c r="K2927" i="4"/>
  <c r="J2927" i="4"/>
  <c r="K2926" i="4"/>
  <c r="J2926" i="4"/>
  <c r="I2925" i="4"/>
  <c r="K2915" i="4"/>
  <c r="J2915" i="4"/>
  <c r="K2914" i="4"/>
  <c r="J2914" i="4"/>
  <c r="K2913" i="4"/>
  <c r="J2913" i="4"/>
  <c r="K2912" i="4"/>
  <c r="J2912" i="4"/>
  <c r="K2911" i="4"/>
  <c r="J2911" i="4"/>
  <c r="K2910" i="4"/>
  <c r="J2910" i="4"/>
  <c r="K2909" i="4"/>
  <c r="J2909" i="4"/>
  <c r="K2908" i="4"/>
  <c r="J2908" i="4"/>
  <c r="K2907" i="4"/>
  <c r="J2907" i="4"/>
  <c r="K2906" i="4"/>
  <c r="J2906" i="4"/>
  <c r="I2905" i="4"/>
  <c r="I2904" i="4"/>
  <c r="I2903" i="4"/>
  <c r="K2902" i="4"/>
  <c r="K2891" i="4"/>
  <c r="J2891" i="4"/>
  <c r="K2890" i="4"/>
  <c r="J2890" i="4"/>
  <c r="K2889" i="4"/>
  <c r="J2889" i="4"/>
  <c r="K2888" i="4"/>
  <c r="J2888" i="4"/>
  <c r="K2887" i="4"/>
  <c r="J2887" i="4"/>
  <c r="K2886" i="4"/>
  <c r="J2886" i="4"/>
  <c r="I2885" i="4"/>
  <c r="K2881" i="4"/>
  <c r="J2881" i="4"/>
  <c r="K2880" i="4"/>
  <c r="J2880" i="4"/>
  <c r="K2879" i="4"/>
  <c r="J2879" i="4"/>
  <c r="K2878" i="4"/>
  <c r="J2878" i="4"/>
  <c r="K2877" i="4"/>
  <c r="J2877" i="4"/>
  <c r="K2876" i="4"/>
  <c r="J2876" i="4"/>
  <c r="I2875" i="4"/>
  <c r="I2871" i="4"/>
  <c r="I2870" i="4"/>
  <c r="K2869" i="4"/>
  <c r="I2853" i="4"/>
  <c r="I2852" i="4"/>
  <c r="K2851" i="4"/>
  <c r="K2844" i="4"/>
  <c r="J2844" i="4"/>
  <c r="K2843" i="4"/>
  <c r="J2843" i="4"/>
  <c r="K2842" i="4"/>
  <c r="J2842" i="4"/>
  <c r="K2841" i="4"/>
  <c r="J2841" i="4"/>
  <c r="K2840" i="4"/>
  <c r="J2840" i="4"/>
  <c r="K2839" i="4"/>
  <c r="J2839" i="4"/>
  <c r="K2838" i="4"/>
  <c r="J2838" i="4"/>
  <c r="K2837" i="4"/>
  <c r="J2837" i="4"/>
  <c r="I2836" i="4"/>
  <c r="K2828" i="4"/>
  <c r="J2828" i="4"/>
  <c r="K2827" i="4"/>
  <c r="J2827" i="4"/>
  <c r="K2826" i="4"/>
  <c r="J2826" i="4"/>
  <c r="K2825" i="4"/>
  <c r="J2825" i="4"/>
  <c r="K2824" i="4"/>
  <c r="J2824" i="4"/>
  <c r="K2823" i="4"/>
  <c r="J2823" i="4"/>
  <c r="I2822" i="4"/>
  <c r="I2821" i="4"/>
  <c r="I2820" i="4"/>
  <c r="K2819" i="4"/>
  <c r="I2818" i="4"/>
  <c r="I2817" i="4"/>
  <c r="K2816" i="4"/>
  <c r="I2815" i="4"/>
  <c r="I2814" i="4"/>
  <c r="K2813" i="4"/>
  <c r="I2812" i="4"/>
  <c r="I2811" i="4"/>
  <c r="K2810" i="4"/>
  <c r="I2809" i="4"/>
  <c r="I2808" i="4"/>
  <c r="K2807" i="4"/>
  <c r="I2794" i="4"/>
  <c r="I2793" i="4"/>
  <c r="K2792" i="4"/>
  <c r="I2791" i="4"/>
  <c r="I2790" i="4"/>
  <c r="K2789" i="4"/>
  <c r="I2785" i="4"/>
  <c r="I2784" i="4"/>
  <c r="K2783" i="4"/>
  <c r="I2782" i="4"/>
  <c r="I2781" i="4"/>
  <c r="K2780" i="4"/>
  <c r="I2779" i="4"/>
  <c r="I2778" i="4"/>
  <c r="K2777" i="4"/>
  <c r="I2776" i="4"/>
  <c r="I2775" i="4"/>
  <c r="K2774" i="4"/>
  <c r="I2764" i="4"/>
  <c r="I2763" i="4"/>
  <c r="K2762" i="4"/>
  <c r="I2761" i="4"/>
  <c r="I2760" i="4"/>
  <c r="K2759" i="4"/>
  <c r="I2758" i="4"/>
  <c r="I2757" i="4"/>
  <c r="K2756" i="4"/>
  <c r="I2755" i="4"/>
  <c r="I2754" i="4"/>
  <c r="K2753" i="4"/>
  <c r="J208" i="1" l="1"/>
  <c r="N208" i="1" s="1"/>
  <c r="J833" i="4"/>
  <c r="J2754" i="4"/>
  <c r="J2758" i="4"/>
  <c r="J2760" i="4"/>
  <c r="J2764" i="4"/>
  <c r="J2809" i="4"/>
  <c r="J2811" i="4"/>
  <c r="J2815" i="4"/>
  <c r="J2817" i="4"/>
  <c r="J2821" i="4"/>
  <c r="J2852" i="4"/>
  <c r="Q786" i="1"/>
  <c r="Q829" i="1"/>
  <c r="Q779" i="1"/>
  <c r="J2870" i="4"/>
  <c r="Q794" i="1"/>
  <c r="J2904" i="4"/>
  <c r="Q805" i="1"/>
  <c r="J2955" i="4"/>
  <c r="J2957" i="4"/>
  <c r="Q807" i="1"/>
  <c r="J2961" i="4"/>
  <c r="J2963" i="4"/>
  <c r="Q809" i="1"/>
  <c r="J2967" i="4"/>
  <c r="J2969" i="4"/>
  <c r="Q811" i="1"/>
  <c r="J2973" i="4"/>
  <c r="J2975" i="4"/>
  <c r="J2987" i="4"/>
  <c r="J818" i="1"/>
  <c r="J826" i="1"/>
  <c r="J3041" i="4"/>
  <c r="P209" i="1"/>
  <c r="N209" i="1"/>
  <c r="P536" i="1"/>
  <c r="N536" i="1"/>
  <c r="P422" i="1"/>
  <c r="N422" i="1"/>
  <c r="J2905" i="4"/>
  <c r="K2925" i="4"/>
  <c r="J2925" i="4"/>
  <c r="K2932" i="4"/>
  <c r="J2964" i="4"/>
  <c r="K2999" i="4"/>
  <c r="J3027" i="4"/>
  <c r="J3032" i="4"/>
  <c r="K3032" i="4"/>
  <c r="J3040" i="4"/>
  <c r="I3042" i="4"/>
  <c r="J3044" i="4"/>
  <c r="J2960" i="4"/>
  <c r="Q772" i="1"/>
  <c r="I2962" i="4"/>
  <c r="Q804" i="1"/>
  <c r="Q812" i="1"/>
  <c r="J2948" i="4"/>
  <c r="I2950" i="4"/>
  <c r="J2952" i="4"/>
  <c r="J2972" i="4"/>
  <c r="I2974" i="4"/>
  <c r="J2976" i="4"/>
  <c r="K2980" i="4"/>
  <c r="Q808" i="1"/>
  <c r="J820" i="1"/>
  <c r="J2875" i="4"/>
  <c r="J2885" i="4"/>
  <c r="J2903" i="4"/>
  <c r="J788" i="1"/>
  <c r="N788" i="1" s="1"/>
  <c r="Q750" i="1"/>
  <c r="Q758" i="1"/>
  <c r="Q759" i="1"/>
  <c r="Q762" i="1"/>
  <c r="Q769" i="1"/>
  <c r="Q771" i="1"/>
  <c r="J774" i="1"/>
  <c r="J776" i="1"/>
  <c r="P776" i="1" s="1"/>
  <c r="J790" i="1"/>
  <c r="P790" i="1" s="1"/>
  <c r="J795" i="1"/>
  <c r="J799" i="1"/>
  <c r="P799" i="1" s="1"/>
  <c r="J2932" i="4"/>
  <c r="J2966" i="4"/>
  <c r="Q810" i="1"/>
  <c r="J2970" i="4"/>
  <c r="I2968" i="4"/>
  <c r="Q817" i="1"/>
  <c r="J2988" i="4"/>
  <c r="I2986" i="4"/>
  <c r="K2989" i="4"/>
  <c r="J2989" i="4"/>
  <c r="Q828" i="1"/>
  <c r="J3043" i="4"/>
  <c r="Q752" i="1"/>
  <c r="Q751" i="1"/>
  <c r="Q753" i="1"/>
  <c r="Q757" i="1"/>
  <c r="J2775" i="4"/>
  <c r="I2777" i="4"/>
  <c r="J2779" i="4"/>
  <c r="Q763" i="1"/>
  <c r="Q770" i="1"/>
  <c r="K2822" i="4"/>
  <c r="I2851" i="4"/>
  <c r="J2853" i="4"/>
  <c r="I2869" i="4"/>
  <c r="J2871" i="4"/>
  <c r="K2875" i="4"/>
  <c r="K2885" i="4"/>
  <c r="K2905" i="4"/>
  <c r="J800" i="1"/>
  <c r="N800" i="1" s="1"/>
  <c r="Q803" i="1"/>
  <c r="J2951" i="4"/>
  <c r="J2954" i="4"/>
  <c r="Q806" i="1"/>
  <c r="J2958" i="4"/>
  <c r="I2956" i="4"/>
  <c r="J827" i="1"/>
  <c r="Q760" i="1"/>
  <c r="Q768" i="1"/>
  <c r="J2949" i="4"/>
  <c r="J814" i="1"/>
  <c r="J2980" i="4"/>
  <c r="J2999" i="4"/>
  <c r="K3027" i="4"/>
  <c r="I3039" i="4"/>
  <c r="I2947" i="4"/>
  <c r="I2953" i="4"/>
  <c r="I2959" i="4"/>
  <c r="I2965" i="4"/>
  <c r="I2971" i="4"/>
  <c r="I2902" i="4"/>
  <c r="J2757" i="4"/>
  <c r="I2759" i="4"/>
  <c r="J2761" i="4"/>
  <c r="J2790" i="4"/>
  <c r="I2792" i="4"/>
  <c r="J2794" i="4"/>
  <c r="J2814" i="4"/>
  <c r="I2816" i="4"/>
  <c r="J2818" i="4"/>
  <c r="K2836" i="4"/>
  <c r="J2778" i="4"/>
  <c r="J2782" i="4"/>
  <c r="J2793" i="4"/>
  <c r="J2820" i="4"/>
  <c r="I2753" i="4"/>
  <c r="J2755" i="4"/>
  <c r="J2763" i="4"/>
  <c r="J2776" i="4"/>
  <c r="J2781" i="4"/>
  <c r="I2783" i="4"/>
  <c r="J2784" i="4"/>
  <c r="J2785" i="4"/>
  <c r="J2791" i="4"/>
  <c r="J2808" i="4"/>
  <c r="J2812" i="4"/>
  <c r="I2810" i="4"/>
  <c r="J2822" i="4"/>
  <c r="J2836" i="4"/>
  <c r="I2807" i="4"/>
  <c r="I2813" i="4"/>
  <c r="I2819" i="4"/>
  <c r="I2774" i="4"/>
  <c r="I2780" i="4"/>
  <c r="I2789" i="4"/>
  <c r="I2756" i="4"/>
  <c r="I2762" i="4"/>
  <c r="P208" i="1" l="1"/>
  <c r="P826" i="1"/>
  <c r="P818" i="1"/>
  <c r="J812" i="1"/>
  <c r="N812" i="1" s="1"/>
  <c r="J2956" i="4"/>
  <c r="N818" i="1"/>
  <c r="N826" i="1"/>
  <c r="Q820" i="1"/>
  <c r="J751" i="1"/>
  <c r="P751" i="1" s="1"/>
  <c r="J762" i="1"/>
  <c r="J757" i="1"/>
  <c r="J770" i="1"/>
  <c r="N770" i="1" s="1"/>
  <c r="J750" i="1"/>
  <c r="P750" i="1" s="1"/>
  <c r="Q827" i="1"/>
  <c r="Q800" i="1"/>
  <c r="J753" i="1"/>
  <c r="J759" i="1"/>
  <c r="P759" i="1" s="1"/>
  <c r="J772" i="1"/>
  <c r="P772" i="1" s="1"/>
  <c r="J768" i="1"/>
  <c r="P768" i="1" s="1"/>
  <c r="J769" i="1"/>
  <c r="N769" i="1" s="1"/>
  <c r="J760" i="1"/>
  <c r="P760" i="1" s="1"/>
  <c r="J771" i="1"/>
  <c r="N771" i="1" s="1"/>
  <c r="Q799" i="1"/>
  <c r="J2902" i="4"/>
  <c r="J829" i="1"/>
  <c r="P829" i="1" s="1"/>
  <c r="J3039" i="4"/>
  <c r="J2986" i="4"/>
  <c r="J2971" i="4"/>
  <c r="J2974" i="4"/>
  <c r="J2962" i="4"/>
  <c r="P795" i="1"/>
  <c r="N774" i="1"/>
  <c r="P788" i="1"/>
  <c r="N776" i="1"/>
  <c r="N795" i="1"/>
  <c r="P820" i="1"/>
  <c r="J2959" i="4"/>
  <c r="Q814" i="1"/>
  <c r="J808" i="1"/>
  <c r="N808" i="1" s="1"/>
  <c r="N799" i="1"/>
  <c r="N820" i="1"/>
  <c r="J2965" i="4"/>
  <c r="J2810" i="4"/>
  <c r="N790" i="1"/>
  <c r="J2968" i="4"/>
  <c r="J804" i="1"/>
  <c r="N804" i="1" s="1"/>
  <c r="J2869" i="4"/>
  <c r="J2851" i="4"/>
  <c r="J763" i="1"/>
  <c r="J809" i="1"/>
  <c r="J805" i="1"/>
  <c r="Q826" i="1"/>
  <c r="J2947" i="4"/>
  <c r="N827" i="1"/>
  <c r="P827" i="1"/>
  <c r="Q788" i="1"/>
  <c r="Q774" i="1"/>
  <c r="J758" i="1"/>
  <c r="J817" i="1"/>
  <c r="J810" i="1"/>
  <c r="J2819" i="4"/>
  <c r="J2756" i="4"/>
  <c r="J2753" i="4"/>
  <c r="Q776" i="1"/>
  <c r="J752" i="1"/>
  <c r="J794" i="1"/>
  <c r="J811" i="1"/>
  <c r="J807" i="1"/>
  <c r="J803" i="1"/>
  <c r="J828" i="1"/>
  <c r="P774" i="1"/>
  <c r="N814" i="1"/>
  <c r="P814" i="1"/>
  <c r="J806" i="1"/>
  <c r="J2950" i="4"/>
  <c r="P800" i="1"/>
  <c r="Q795" i="1"/>
  <c r="Q790" i="1"/>
  <c r="J786" i="1"/>
  <c r="J779" i="1"/>
  <c r="J3042" i="4"/>
  <c r="Q818" i="1"/>
  <c r="J2953" i="4"/>
  <c r="J2813" i="4"/>
  <c r="J2816" i="4"/>
  <c r="J2762" i="4"/>
  <c r="J2759" i="4"/>
  <c r="J2789" i="4"/>
  <c r="J2783" i="4"/>
  <c r="J2774" i="4"/>
  <c r="J2807" i="4"/>
  <c r="J2792" i="4"/>
  <c r="J2780" i="4"/>
  <c r="J2777" i="4"/>
  <c r="N772" i="1" l="1"/>
  <c r="P757" i="1"/>
  <c r="P812" i="1"/>
  <c r="N760" i="1"/>
  <c r="N829" i="1"/>
  <c r="P753" i="1"/>
  <c r="P771" i="1"/>
  <c r="N759" i="1"/>
  <c r="N753" i="1"/>
  <c r="P769" i="1"/>
  <c r="P770" i="1"/>
  <c r="N768" i="1"/>
  <c r="N757" i="1"/>
  <c r="N762" i="1"/>
  <c r="N751" i="1"/>
  <c r="P762" i="1"/>
  <c r="N750" i="1"/>
  <c r="P808" i="1"/>
  <c r="P804" i="1"/>
  <c r="N779" i="1"/>
  <c r="P779" i="1"/>
  <c r="N828" i="1"/>
  <c r="P828" i="1"/>
  <c r="P807" i="1"/>
  <c r="N807" i="1"/>
  <c r="P794" i="1"/>
  <c r="N794" i="1"/>
  <c r="P752" i="1"/>
  <c r="N752" i="1"/>
  <c r="P810" i="1"/>
  <c r="N810" i="1"/>
  <c r="P817" i="1"/>
  <c r="N817" i="1"/>
  <c r="P758" i="1"/>
  <c r="N758" i="1"/>
  <c r="P809" i="1"/>
  <c r="N809" i="1"/>
  <c r="P763" i="1"/>
  <c r="N763" i="1"/>
  <c r="N786" i="1"/>
  <c r="P786" i="1"/>
  <c r="P806" i="1"/>
  <c r="N806" i="1"/>
  <c r="P803" i="1"/>
  <c r="N803" i="1"/>
  <c r="P811" i="1"/>
  <c r="N811" i="1"/>
  <c r="P805" i="1"/>
  <c r="N805" i="1"/>
  <c r="O526" i="1" l="1"/>
  <c r="M526" i="1"/>
  <c r="L526" i="1"/>
  <c r="K526" i="1"/>
  <c r="I526" i="1"/>
  <c r="H526" i="1"/>
  <c r="G526" i="1"/>
  <c r="G468" i="1"/>
  <c r="O448" i="1" l="1"/>
  <c r="M448" i="1"/>
  <c r="L448" i="1"/>
  <c r="K448" i="1"/>
  <c r="I448" i="1"/>
  <c r="O408" i="1"/>
  <c r="M408" i="1"/>
  <c r="L408" i="1"/>
  <c r="K408" i="1"/>
  <c r="I408" i="1"/>
  <c r="H408" i="1"/>
  <c r="G408" i="1"/>
  <c r="K2092" i="4"/>
  <c r="K2090" i="4"/>
  <c r="K2088" i="4"/>
  <c r="I2088" i="4"/>
  <c r="K2087" i="4"/>
  <c r="I2087" i="4"/>
  <c r="K2086" i="4"/>
  <c r="I2086" i="4"/>
  <c r="K2084" i="4"/>
  <c r="I2084" i="4"/>
  <c r="I2083" i="4"/>
  <c r="K2071" i="4"/>
  <c r="J2071" i="4"/>
  <c r="K2070" i="4"/>
  <c r="J2070" i="4"/>
  <c r="K2069" i="4"/>
  <c r="J2069" i="4"/>
  <c r="K2067" i="4"/>
  <c r="J2067" i="4"/>
  <c r="K2066" i="4"/>
  <c r="J2066" i="4"/>
  <c r="K2065" i="4"/>
  <c r="J2065" i="4"/>
  <c r="K2063" i="4"/>
  <c r="J2063" i="4"/>
  <c r="K2062" i="4"/>
  <c r="J2062" i="4"/>
  <c r="K2061" i="4"/>
  <c r="J2061" i="4"/>
  <c r="K2059" i="4"/>
  <c r="J2059" i="4"/>
  <c r="K2058" i="4"/>
  <c r="J2058" i="4"/>
  <c r="K2057" i="4"/>
  <c r="J2057" i="4"/>
  <c r="K2055" i="4"/>
  <c r="J2055" i="4"/>
  <c r="K2054" i="4"/>
  <c r="J2054" i="4"/>
  <c r="K2053" i="4"/>
  <c r="J2053" i="4"/>
  <c r="K2051" i="4"/>
  <c r="J2051" i="4"/>
  <c r="K2050" i="4"/>
  <c r="J2050" i="4"/>
  <c r="I2049" i="4"/>
  <c r="K2046" i="4"/>
  <c r="J2046" i="4"/>
  <c r="K2045" i="4"/>
  <c r="J2045" i="4"/>
  <c r="K2044" i="4"/>
  <c r="J2044" i="4"/>
  <c r="K2043" i="4"/>
  <c r="J2043" i="4"/>
  <c r="K2042" i="4"/>
  <c r="J2042" i="4"/>
  <c r="K2041" i="4"/>
  <c r="J2041" i="4"/>
  <c r="K2040" i="4"/>
  <c r="J2040" i="4"/>
  <c r="K2039" i="4"/>
  <c r="J2039" i="4"/>
  <c r="K2038" i="4"/>
  <c r="J2038" i="4"/>
  <c r="K2037" i="4"/>
  <c r="J2037" i="4"/>
  <c r="I2036" i="4"/>
  <c r="K2035" i="4"/>
  <c r="J2035" i="4"/>
  <c r="K2034" i="4"/>
  <c r="J2034" i="4"/>
  <c r="K2033" i="4"/>
  <c r="J2033" i="4"/>
  <c r="K2032" i="4"/>
  <c r="J2032" i="4"/>
  <c r="K2031" i="4"/>
  <c r="J2031" i="4"/>
  <c r="K2030" i="4"/>
  <c r="J2030" i="4"/>
  <c r="K2029" i="4"/>
  <c r="J2029" i="4"/>
  <c r="K2028" i="4"/>
  <c r="J2028" i="4"/>
  <c r="K2027" i="4"/>
  <c r="J2027" i="4"/>
  <c r="K2026" i="4"/>
  <c r="J2026" i="4"/>
  <c r="K2025" i="4"/>
  <c r="J2025" i="4"/>
  <c r="K2024" i="4"/>
  <c r="J2024" i="4"/>
  <c r="K2023" i="4"/>
  <c r="J2023" i="4"/>
  <c r="K2022" i="4"/>
  <c r="J2022" i="4"/>
  <c r="I2021" i="4"/>
  <c r="I2016" i="4"/>
  <c r="J2001" i="4"/>
  <c r="K1997" i="4"/>
  <c r="J1997" i="4"/>
  <c r="K1995" i="4"/>
  <c r="J1995" i="4"/>
  <c r="K1994" i="4"/>
  <c r="K1992" i="4"/>
  <c r="J1992" i="4"/>
  <c r="K1991" i="4"/>
  <c r="K1990" i="4"/>
  <c r="J1990" i="4"/>
  <c r="K1989" i="4"/>
  <c r="K1978" i="4"/>
  <c r="I1978" i="4"/>
  <c r="K1977" i="4"/>
  <c r="I1977" i="4"/>
  <c r="K1976" i="4"/>
  <c r="I1976" i="4"/>
  <c r="K1975" i="4"/>
  <c r="I1975" i="4"/>
  <c r="K1974" i="4"/>
  <c r="I1974" i="4"/>
  <c r="K1973" i="4"/>
  <c r="I1973" i="4"/>
  <c r="J1967" i="4"/>
  <c r="I1968" i="4"/>
  <c r="I1966" i="4"/>
  <c r="I1964" i="4"/>
  <c r="J1951" i="4"/>
  <c r="J1949" i="4"/>
  <c r="I1952" i="4"/>
  <c r="I1950" i="4"/>
  <c r="K1947" i="4"/>
  <c r="J1947" i="4"/>
  <c r="K1946" i="4"/>
  <c r="K1942" i="4"/>
  <c r="J1942" i="4"/>
  <c r="K1941" i="4"/>
  <c r="J1941" i="4"/>
  <c r="K1940" i="4"/>
  <c r="J1940" i="4"/>
  <c r="K1939" i="4"/>
  <c r="J1939" i="4"/>
  <c r="I1938" i="4"/>
  <c r="K1937" i="4"/>
  <c r="I1937" i="4"/>
  <c r="I1936" i="4"/>
  <c r="K1935" i="4"/>
  <c r="I1935" i="4"/>
  <c r="K1925" i="4"/>
  <c r="K1921" i="4"/>
  <c r="I1921" i="4"/>
  <c r="J1915" i="4"/>
  <c r="I1919" i="4"/>
  <c r="I1916" i="4"/>
  <c r="K1910" i="4"/>
  <c r="J1910" i="4"/>
  <c r="K1909" i="4"/>
  <c r="K1907" i="4"/>
  <c r="K1905" i="4"/>
  <c r="K1903" i="4"/>
  <c r="K1901" i="4"/>
  <c r="K1899" i="4"/>
  <c r="K1897" i="4"/>
  <c r="I1895" i="4"/>
  <c r="I1894" i="4"/>
  <c r="K1893" i="4"/>
  <c r="K1892" i="4"/>
  <c r="I1890" i="4"/>
  <c r="I1889" i="4"/>
  <c r="K1888" i="4"/>
  <c r="K1887" i="4"/>
  <c r="K1885" i="4"/>
  <c r="K1883" i="4"/>
  <c r="I1881" i="4"/>
  <c r="I1880" i="4"/>
  <c r="K1879" i="4"/>
  <c r="I1878" i="4"/>
  <c r="I1877" i="4"/>
  <c r="K1876" i="4"/>
  <c r="K1870" i="4"/>
  <c r="I1870" i="4"/>
  <c r="K1869" i="4"/>
  <c r="I1869" i="4"/>
  <c r="K1867" i="4"/>
  <c r="I1867" i="4"/>
  <c r="K1866" i="4"/>
  <c r="I1866" i="4"/>
  <c r="K1865" i="4"/>
  <c r="I1865" i="4"/>
  <c r="K1863" i="4"/>
  <c r="J1863" i="4"/>
  <c r="K1862" i="4"/>
  <c r="J1862" i="4"/>
  <c r="K1861" i="4"/>
  <c r="J1861" i="4"/>
  <c r="K1860" i="4"/>
  <c r="J1860" i="4"/>
  <c r="I1859" i="4"/>
  <c r="I1853" i="4"/>
  <c r="I1851" i="4"/>
  <c r="I1849" i="4"/>
  <c r="I1847" i="4"/>
  <c r="K1841" i="4"/>
  <c r="J1841" i="4"/>
  <c r="K1840" i="4"/>
  <c r="K1839" i="4"/>
  <c r="J1839" i="4"/>
  <c r="K1838" i="4"/>
  <c r="K1828" i="4"/>
  <c r="J1828" i="4"/>
  <c r="K1820" i="4"/>
  <c r="J1820" i="4"/>
  <c r="K1819" i="4"/>
  <c r="I1818" i="4"/>
  <c r="K1817" i="4"/>
  <c r="J1817" i="4"/>
  <c r="J1816" i="4"/>
  <c r="J1806" i="4"/>
  <c r="I1807" i="4"/>
  <c r="K1812" i="4"/>
  <c r="I1812" i="4"/>
  <c r="K1811" i="4"/>
  <c r="I1811" i="4"/>
  <c r="K1810" i="4"/>
  <c r="I1810" i="4"/>
  <c r="K1809" i="4"/>
  <c r="I1809" i="4"/>
  <c r="K1808" i="4"/>
  <c r="I1808" i="4"/>
  <c r="J2083" i="4" l="1"/>
  <c r="J1936" i="4"/>
  <c r="J1813" i="4"/>
  <c r="K1813" i="4"/>
  <c r="I1868" i="4"/>
  <c r="J1889" i="4"/>
  <c r="J1894" i="4"/>
  <c r="I2017" i="4"/>
  <c r="I2090" i="4"/>
  <c r="J502" i="1"/>
  <c r="J1877" i="4"/>
  <c r="J1881" i="4"/>
  <c r="K1884" i="4"/>
  <c r="K1896" i="4"/>
  <c r="K1898" i="4"/>
  <c r="K1904" i="4"/>
  <c r="I1885" i="4"/>
  <c r="K1886" i="4"/>
  <c r="I1864" i="4"/>
  <c r="I1897" i="4"/>
  <c r="I1899" i="4"/>
  <c r="K1900" i="4"/>
  <c r="I1905" i="4"/>
  <c r="K1906" i="4"/>
  <c r="I1988" i="4"/>
  <c r="I2085" i="4"/>
  <c r="K1882" i="4"/>
  <c r="K1891" i="4"/>
  <c r="I1934" i="4"/>
  <c r="I1972" i="4"/>
  <c r="I2082" i="4"/>
  <c r="K2089" i="4"/>
  <c r="K2091" i="4"/>
  <c r="K1864" i="4"/>
  <c r="I1883" i="4"/>
  <c r="I1892" i="4"/>
  <c r="I1901" i="4"/>
  <c r="K1902" i="4"/>
  <c r="I1920" i="4"/>
  <c r="J1935" i="4"/>
  <c r="J1937" i="4"/>
  <c r="I1945" i="4"/>
  <c r="J1946" i="4"/>
  <c r="K1972" i="4"/>
  <c r="J1973" i="4"/>
  <c r="J1974" i="4"/>
  <c r="J1975" i="4"/>
  <c r="J1976" i="4"/>
  <c r="J1977" i="4"/>
  <c r="J1978" i="4"/>
  <c r="K2082" i="4"/>
  <c r="J2084" i="4"/>
  <c r="I2092" i="4"/>
  <c r="K1868" i="4"/>
  <c r="K2085" i="4"/>
  <c r="K2049" i="4"/>
  <c r="J531" i="1"/>
  <c r="J553" i="1"/>
  <c r="K1988" i="4"/>
  <c r="J552" i="1"/>
  <c r="J555" i="1"/>
  <c r="Q506" i="1"/>
  <c r="Q511" i="1"/>
  <c r="Q507" i="1"/>
  <c r="Q513" i="1"/>
  <c r="J2021" i="4"/>
  <c r="K2036" i="4"/>
  <c r="J2036" i="4"/>
  <c r="K1837" i="4"/>
  <c r="J1890" i="4"/>
  <c r="J1938" i="4"/>
  <c r="K1938" i="4"/>
  <c r="K1945" i="4"/>
  <c r="K1993" i="4"/>
  <c r="J493" i="1"/>
  <c r="K1934" i="4"/>
  <c r="J491" i="1"/>
  <c r="I1888" i="4"/>
  <c r="K1920" i="4"/>
  <c r="J490" i="1"/>
  <c r="J1818" i="4"/>
  <c r="K1826" i="4"/>
  <c r="K2021" i="4"/>
  <c r="J2049" i="4"/>
  <c r="J2086" i="4"/>
  <c r="J2087" i="4"/>
  <c r="J2088" i="4"/>
  <c r="J1994" i="4"/>
  <c r="J1826" i="4"/>
  <c r="I1837" i="4"/>
  <c r="J1865" i="4"/>
  <c r="J1866" i="4"/>
  <c r="J1867" i="4"/>
  <c r="K1924" i="4"/>
  <c r="J1921" i="4"/>
  <c r="K1805" i="4"/>
  <c r="K1859" i="4"/>
  <c r="I1879" i="4"/>
  <c r="J1880" i="4"/>
  <c r="I1887" i="4"/>
  <c r="I1805" i="4"/>
  <c r="K1818" i="4"/>
  <c r="J1859" i="4"/>
  <c r="J1878" i="4"/>
  <c r="I1903" i="4"/>
  <c r="I1907" i="4"/>
  <c r="I1908" i="4"/>
  <c r="K1908" i="4"/>
  <c r="I1893" i="4"/>
  <c r="J1895" i="4"/>
  <c r="J1869" i="4"/>
  <c r="J1870" i="4"/>
  <c r="I1876" i="4"/>
  <c r="J1808" i="4"/>
  <c r="J1809" i="4"/>
  <c r="J1810" i="4"/>
  <c r="J1811" i="4"/>
  <c r="J1812" i="4"/>
  <c r="O198" i="1"/>
  <c r="M198" i="1"/>
  <c r="L198" i="1"/>
  <c r="K198" i="1"/>
  <c r="I198" i="1"/>
  <c r="H198" i="1"/>
  <c r="G198" i="1"/>
  <c r="J540" i="1" l="1"/>
  <c r="J533" i="1"/>
  <c r="N490" i="1"/>
  <c r="N493" i="1"/>
  <c r="J2090" i="4"/>
  <c r="J1892" i="4"/>
  <c r="P502" i="1"/>
  <c r="J1885" i="4"/>
  <c r="J1925" i="4"/>
  <c r="J1899" i="4"/>
  <c r="J1898" i="4" s="1"/>
  <c r="I1924" i="4"/>
  <c r="J1905" i="4"/>
  <c r="N502" i="1"/>
  <c r="J503" i="1"/>
  <c r="Q515" i="1"/>
  <c r="Q509" i="1"/>
  <c r="I1904" i="4"/>
  <c r="Q517" i="1"/>
  <c r="Q555" i="1"/>
  <c r="J543" i="1"/>
  <c r="I2089" i="4"/>
  <c r="Q512" i="1"/>
  <c r="Q560" i="1"/>
  <c r="J506" i="1"/>
  <c r="J1907" i="4"/>
  <c r="J507" i="1"/>
  <c r="Q504" i="1"/>
  <c r="Q540" i="1"/>
  <c r="J524" i="1"/>
  <c r="J1883" i="4"/>
  <c r="J560" i="1"/>
  <c r="Q519" i="1"/>
  <c r="Q516" i="1"/>
  <c r="Q510" i="1"/>
  <c r="Q514" i="1"/>
  <c r="J513" i="1"/>
  <c r="J520" i="1"/>
  <c r="J1903" i="4"/>
  <c r="J511" i="1"/>
  <c r="Q518" i="1"/>
  <c r="Q559" i="1"/>
  <c r="Q503" i="1"/>
  <c r="I1884" i="4"/>
  <c r="J504" i="1"/>
  <c r="J559" i="1"/>
  <c r="I1896" i="4"/>
  <c r="J1897" i="4"/>
  <c r="I1898" i="4"/>
  <c r="J1901" i="4"/>
  <c r="Q497" i="1"/>
  <c r="Q508" i="1"/>
  <c r="J2092" i="4"/>
  <c r="Q558" i="1"/>
  <c r="Q561" i="1"/>
  <c r="J558" i="1"/>
  <c r="J530" i="1"/>
  <c r="J1945" i="4"/>
  <c r="I1882" i="4"/>
  <c r="I1900" i="4"/>
  <c r="J2082" i="4"/>
  <c r="J1972" i="4"/>
  <c r="J1934" i="4"/>
  <c r="I1891" i="4"/>
  <c r="I2091" i="4"/>
  <c r="Q527" i="1"/>
  <c r="Q552" i="1"/>
  <c r="Q524" i="1"/>
  <c r="Q530" i="1"/>
  <c r="Q531" i="1"/>
  <c r="Q553" i="1"/>
  <c r="N555" i="1"/>
  <c r="P555" i="1"/>
  <c r="P552" i="1"/>
  <c r="N552" i="1"/>
  <c r="Q543" i="1"/>
  <c r="P553" i="1"/>
  <c r="N553" i="1"/>
  <c r="N540" i="1"/>
  <c r="N531" i="1"/>
  <c r="P531" i="1"/>
  <c r="Q533" i="1"/>
  <c r="J1888" i="4"/>
  <c r="P490" i="1"/>
  <c r="P493" i="1"/>
  <c r="P491" i="1"/>
  <c r="N491" i="1"/>
  <c r="Q520" i="1"/>
  <c r="Q502" i="1"/>
  <c r="Q491" i="1"/>
  <c r="J497" i="1"/>
  <c r="Q493" i="1"/>
  <c r="Q490" i="1"/>
  <c r="J1988" i="4"/>
  <c r="J2085" i="4"/>
  <c r="J1920" i="4"/>
  <c r="J1864" i="4"/>
  <c r="J1893" i="4"/>
  <c r="I1902" i="4"/>
  <c r="J1876" i="4"/>
  <c r="J1879" i="4"/>
  <c r="J1837" i="4"/>
  <c r="J1908" i="4"/>
  <c r="I1906" i="4"/>
  <c r="J1887" i="4"/>
  <c r="I1886" i="4"/>
  <c r="J1868" i="4"/>
  <c r="K1804" i="4"/>
  <c r="I1802" i="4"/>
  <c r="K1779" i="4"/>
  <c r="J1779" i="4"/>
  <c r="K1778" i="4"/>
  <c r="J1778" i="4"/>
  <c r="K1777" i="4"/>
  <c r="J1777" i="4"/>
  <c r="K1776" i="4"/>
  <c r="J1776" i="4"/>
  <c r="K1775" i="4"/>
  <c r="J1775" i="4"/>
  <c r="K1774" i="4"/>
  <c r="J1774" i="4"/>
  <c r="K1773" i="4"/>
  <c r="J1773" i="4"/>
  <c r="K1772" i="4"/>
  <c r="J1772" i="4"/>
  <c r="I1771" i="4"/>
  <c r="K1770" i="4"/>
  <c r="I1770" i="4"/>
  <c r="K1769" i="4"/>
  <c r="I1769" i="4"/>
  <c r="K1768" i="4"/>
  <c r="I1768" i="4"/>
  <c r="J1765" i="4"/>
  <c r="I1766" i="4"/>
  <c r="K1761" i="4"/>
  <c r="I1761" i="4"/>
  <c r="K1760" i="4"/>
  <c r="I1760" i="4"/>
  <c r="K1759" i="4"/>
  <c r="I1759" i="4"/>
  <c r="K1757" i="4"/>
  <c r="J1757" i="4"/>
  <c r="K1756" i="4"/>
  <c r="K1755" i="4"/>
  <c r="J1755" i="4"/>
  <c r="K1754" i="4"/>
  <c r="K1744" i="4"/>
  <c r="J1744" i="4"/>
  <c r="K1743" i="4"/>
  <c r="K1742" i="4"/>
  <c r="J1742" i="4"/>
  <c r="K1741" i="4"/>
  <c r="K1732" i="4"/>
  <c r="K1728" i="4"/>
  <c r="J1728" i="4"/>
  <c r="K1727" i="4"/>
  <c r="J1727" i="4"/>
  <c r="I1726" i="4"/>
  <c r="I1735" i="4"/>
  <c r="P540" i="1" l="1"/>
  <c r="N533" i="1"/>
  <c r="P533" i="1"/>
  <c r="I1767" i="4"/>
  <c r="K1767" i="4"/>
  <c r="K1758" i="4"/>
  <c r="J2089" i="4"/>
  <c r="P503" i="1"/>
  <c r="P560" i="1"/>
  <c r="P507" i="1"/>
  <c r="N503" i="1"/>
  <c r="I1758" i="4"/>
  <c r="J1891" i="4"/>
  <c r="J527" i="1"/>
  <c r="P520" i="1"/>
  <c r="J1884" i="4"/>
  <c r="J1924" i="4"/>
  <c r="J518" i="1"/>
  <c r="J1904" i="4"/>
  <c r="J1906" i="4"/>
  <c r="N507" i="1"/>
  <c r="N524" i="1"/>
  <c r="P506" i="1"/>
  <c r="P543" i="1"/>
  <c r="P524" i="1"/>
  <c r="N506" i="1"/>
  <c r="N560" i="1"/>
  <c r="N543" i="1"/>
  <c r="N513" i="1"/>
  <c r="N520" i="1"/>
  <c r="N559" i="1"/>
  <c r="P511" i="1"/>
  <c r="P513" i="1"/>
  <c r="P559" i="1"/>
  <c r="J519" i="1"/>
  <c r="J1896" i="4"/>
  <c r="N504" i="1"/>
  <c r="P504" i="1"/>
  <c r="J509" i="1"/>
  <c r="J483" i="1"/>
  <c r="J510" i="1"/>
  <c r="J1902" i="4"/>
  <c r="J517" i="1"/>
  <c r="N511" i="1"/>
  <c r="P558" i="1"/>
  <c r="J1900" i="4"/>
  <c r="J1882" i="4"/>
  <c r="J514" i="1"/>
  <c r="J516" i="1"/>
  <c r="J515" i="1"/>
  <c r="N530" i="1"/>
  <c r="J2091" i="4"/>
  <c r="N558" i="1"/>
  <c r="P530" i="1"/>
  <c r="J508" i="1"/>
  <c r="K1803" i="4"/>
  <c r="J561" i="1"/>
  <c r="J512" i="1"/>
  <c r="J470" i="1"/>
  <c r="J1726" i="4"/>
  <c r="P497" i="1"/>
  <c r="N497" i="1"/>
  <c r="K1731" i="4"/>
  <c r="J1771" i="4"/>
  <c r="J1886" i="4"/>
  <c r="K1771" i="4"/>
  <c r="I1804" i="4"/>
  <c r="J1743" i="4"/>
  <c r="K1736" i="4"/>
  <c r="K1753" i="4"/>
  <c r="J1768" i="4"/>
  <c r="J1769" i="4"/>
  <c r="J1770" i="4"/>
  <c r="K1726" i="4"/>
  <c r="I1753" i="4"/>
  <c r="J1756" i="4"/>
  <c r="J1759" i="4"/>
  <c r="J1760" i="4"/>
  <c r="J1761" i="4"/>
  <c r="J1741" i="4"/>
  <c r="I1718" i="4"/>
  <c r="I1715" i="4"/>
  <c r="I1712" i="4"/>
  <c r="K1701" i="4"/>
  <c r="I1695" i="4"/>
  <c r="K1693" i="4"/>
  <c r="K1689" i="4"/>
  <c r="J1689" i="4"/>
  <c r="K1688" i="4"/>
  <c r="J1688" i="4"/>
  <c r="I1687" i="4"/>
  <c r="K1686" i="4"/>
  <c r="J1686" i="4"/>
  <c r="K1684" i="4"/>
  <c r="J1684" i="4"/>
  <c r="K1683" i="4"/>
  <c r="J1665" i="4"/>
  <c r="I1670" i="4"/>
  <c r="I1668" i="4"/>
  <c r="I1666" i="4"/>
  <c r="K1655" i="4"/>
  <c r="K1654" i="4"/>
  <c r="I1654" i="4"/>
  <c r="K1653" i="4"/>
  <c r="I1653" i="4"/>
  <c r="K1652" i="4"/>
  <c r="I1652" i="4"/>
  <c r="K1651" i="4"/>
  <c r="I1651" i="4"/>
  <c r="I1649" i="4"/>
  <c r="K1642" i="4"/>
  <c r="I1642" i="4"/>
  <c r="I1641" i="4"/>
  <c r="K1640" i="4"/>
  <c r="I1640" i="4"/>
  <c r="K1638" i="4"/>
  <c r="K1636" i="4"/>
  <c r="K1634" i="4"/>
  <c r="J1634" i="4"/>
  <c r="K1633" i="4"/>
  <c r="J1633" i="4"/>
  <c r="K1632" i="4"/>
  <c r="J1632" i="4"/>
  <c r="K1631" i="4"/>
  <c r="J1631" i="4"/>
  <c r="I1630" i="4"/>
  <c r="K1629" i="4"/>
  <c r="K1627" i="4"/>
  <c r="K1625" i="4"/>
  <c r="K1621" i="4"/>
  <c r="I1620" i="4"/>
  <c r="I1617" i="4"/>
  <c r="I1616" i="4"/>
  <c r="K1615" i="4"/>
  <c r="K1606" i="4"/>
  <c r="I1611" i="4"/>
  <c r="I1610" i="4"/>
  <c r="J1609" i="4"/>
  <c r="I1607" i="4"/>
  <c r="K1600" i="4"/>
  <c r="K1598" i="4"/>
  <c r="I1596" i="4"/>
  <c r="I1594" i="4"/>
  <c r="I1592" i="4"/>
  <c r="J1582" i="4"/>
  <c r="I1587" i="4"/>
  <c r="I1585" i="4"/>
  <c r="I1583" i="4"/>
  <c r="K1577" i="4"/>
  <c r="K1575" i="4"/>
  <c r="K1573" i="4"/>
  <c r="K1571" i="4"/>
  <c r="J1568" i="4"/>
  <c r="I1569" i="4"/>
  <c r="K1559" i="4"/>
  <c r="K1557" i="4"/>
  <c r="K1555" i="4"/>
  <c r="K1553" i="4"/>
  <c r="K1549" i="4"/>
  <c r="K1546" i="4"/>
  <c r="K1543" i="4"/>
  <c r="J1539" i="4"/>
  <c r="J1532" i="4"/>
  <c r="I1540" i="4"/>
  <c r="I1538" i="4"/>
  <c r="I1536" i="4"/>
  <c r="I1533" i="4"/>
  <c r="I1531" i="4"/>
  <c r="I1529" i="4"/>
  <c r="K1650" i="4" l="1"/>
  <c r="J482" i="1"/>
  <c r="P482" i="1" s="1"/>
  <c r="Q482" i="1"/>
  <c r="Q437" i="1"/>
  <c r="Q479" i="1"/>
  <c r="J1641" i="4"/>
  <c r="K1639" i="4"/>
  <c r="J479" i="1"/>
  <c r="N518" i="1"/>
  <c r="P510" i="1"/>
  <c r="I1639" i="4"/>
  <c r="P527" i="1"/>
  <c r="N527" i="1"/>
  <c r="P518" i="1"/>
  <c r="I1650" i="4"/>
  <c r="N483" i="1"/>
  <c r="P519" i="1"/>
  <c r="P483" i="1"/>
  <c r="N519" i="1"/>
  <c r="N510" i="1"/>
  <c r="J1804" i="4"/>
  <c r="N517" i="1"/>
  <c r="I1608" i="4"/>
  <c r="J1610" i="4"/>
  <c r="J1616" i="4"/>
  <c r="J1622" i="4"/>
  <c r="J1658" i="4"/>
  <c r="J1662" i="4"/>
  <c r="J1702" i="4"/>
  <c r="J1704" i="4"/>
  <c r="J1706" i="4"/>
  <c r="J1708" i="4"/>
  <c r="I1716" i="4"/>
  <c r="P509" i="1"/>
  <c r="N509" i="1"/>
  <c r="J1545" i="4"/>
  <c r="J1547" i="4"/>
  <c r="J1551" i="4"/>
  <c r="J1611" i="4"/>
  <c r="I1713" i="4"/>
  <c r="J478" i="1"/>
  <c r="P517" i="1"/>
  <c r="Q488" i="1"/>
  <c r="N516" i="1"/>
  <c r="K1597" i="4"/>
  <c r="P516" i="1"/>
  <c r="N515" i="1"/>
  <c r="P515" i="1"/>
  <c r="N514" i="1"/>
  <c r="P514" i="1"/>
  <c r="K1682" i="4"/>
  <c r="N508" i="1"/>
  <c r="P508" i="1"/>
  <c r="K1558" i="4"/>
  <c r="K1635" i="4"/>
  <c r="K1637" i="4"/>
  <c r="J1732" i="4"/>
  <c r="K1552" i="4"/>
  <c r="K1554" i="4"/>
  <c r="I1559" i="4"/>
  <c r="K1572" i="4"/>
  <c r="K1574" i="4"/>
  <c r="K1576" i="4"/>
  <c r="I1598" i="4"/>
  <c r="K1626" i="4"/>
  <c r="I1636" i="4"/>
  <c r="I1638" i="4"/>
  <c r="N512" i="1"/>
  <c r="P512" i="1"/>
  <c r="N561" i="1"/>
  <c r="P561" i="1"/>
  <c r="Q439" i="1"/>
  <c r="J445" i="1"/>
  <c r="Q452" i="1"/>
  <c r="Q453" i="1"/>
  <c r="J458" i="1"/>
  <c r="Q464" i="1"/>
  <c r="Q483" i="1"/>
  <c r="P470" i="1"/>
  <c r="N470" i="1"/>
  <c r="Q415" i="1"/>
  <c r="Q417" i="1"/>
  <c r="Q416" i="1"/>
  <c r="Q441" i="1"/>
  <c r="I1655" i="4"/>
  <c r="J1687" i="4"/>
  <c r="K1687" i="4"/>
  <c r="Q470" i="1"/>
  <c r="Q478" i="1"/>
  <c r="Q472" i="1"/>
  <c r="J1550" i="4"/>
  <c r="I1553" i="4"/>
  <c r="I1555" i="4"/>
  <c r="K1556" i="4"/>
  <c r="K1570" i="4"/>
  <c r="I1575" i="4"/>
  <c r="I1577" i="4"/>
  <c r="K1624" i="4"/>
  <c r="I1627" i="4"/>
  <c r="K1628" i="4"/>
  <c r="K1692" i="4"/>
  <c r="I1571" i="4"/>
  <c r="K1599" i="4"/>
  <c r="J1630" i="4"/>
  <c r="I1693" i="4"/>
  <c r="I1701" i="4"/>
  <c r="I1803" i="4"/>
  <c r="I1731" i="4"/>
  <c r="I1557" i="4"/>
  <c r="I1600" i="4"/>
  <c r="J1607" i="4"/>
  <c r="I1615" i="4"/>
  <c r="J1617" i="4"/>
  <c r="I1625" i="4"/>
  <c r="I1629" i="4"/>
  <c r="K1630" i="4"/>
  <c r="J1544" i="4"/>
  <c r="J1548" i="4"/>
  <c r="J1623" i="4"/>
  <c r="J1657" i="4"/>
  <c r="J1661" i="4"/>
  <c r="J1703" i="4"/>
  <c r="J1707" i="4"/>
  <c r="J1753" i="4"/>
  <c r="J1767" i="4"/>
  <c r="J1651" i="4"/>
  <c r="J1652" i="4"/>
  <c r="J1653" i="4"/>
  <c r="J1654" i="4"/>
  <c r="J1659" i="4"/>
  <c r="J1663" i="4"/>
  <c r="J1705" i="4"/>
  <c r="J1709" i="4"/>
  <c r="J1758" i="4"/>
  <c r="I1621" i="4"/>
  <c r="J1640" i="4"/>
  <c r="J1642" i="4"/>
  <c r="I1612" i="4"/>
  <c r="I1543" i="4"/>
  <c r="N482" i="1" l="1"/>
  <c r="Q449" i="1"/>
  <c r="P479" i="1"/>
  <c r="J449" i="1"/>
  <c r="N449" i="1" s="1"/>
  <c r="J452" i="1"/>
  <c r="N479" i="1"/>
  <c r="N478" i="1"/>
  <c r="I1558" i="4"/>
  <c r="J1803" i="4"/>
  <c r="J415" i="1"/>
  <c r="N415" i="1" s="1"/>
  <c r="I1606" i="4"/>
  <c r="J1625" i="4"/>
  <c r="J439" i="1"/>
  <c r="N439" i="1" s="1"/>
  <c r="J472" i="1"/>
  <c r="J488" i="1"/>
  <c r="J1627" i="4"/>
  <c r="J1573" i="4"/>
  <c r="Q428" i="1"/>
  <c r="J1731" i="4"/>
  <c r="J457" i="1"/>
  <c r="N457" i="1" s="1"/>
  <c r="Q446" i="1"/>
  <c r="J417" i="1"/>
  <c r="P417" i="1" s="1"/>
  <c r="J441" i="1"/>
  <c r="J416" i="1"/>
  <c r="J1629" i="4"/>
  <c r="J1600" i="4"/>
  <c r="J1557" i="4"/>
  <c r="J1693" i="4"/>
  <c r="P478" i="1"/>
  <c r="J1638" i="4"/>
  <c r="Q443" i="1"/>
  <c r="Q429" i="1"/>
  <c r="Q427" i="1"/>
  <c r="Q447" i="1"/>
  <c r="Q457" i="1"/>
  <c r="Q434" i="1"/>
  <c r="J1608" i="4"/>
  <c r="Q421" i="1"/>
  <c r="Q419" i="1"/>
  <c r="J1553" i="4"/>
  <c r="J1636" i="4"/>
  <c r="J1598" i="4"/>
  <c r="I1597" i="4"/>
  <c r="Q418" i="1"/>
  <c r="J1559" i="4"/>
  <c r="I1635" i="4"/>
  <c r="I1637" i="4"/>
  <c r="J1577" i="4"/>
  <c r="J464" i="1"/>
  <c r="Q435" i="1"/>
  <c r="Q444" i="1"/>
  <c r="Q442" i="1"/>
  <c r="Q426" i="1"/>
  <c r="Q458" i="1"/>
  <c r="J453" i="1"/>
  <c r="P458" i="1"/>
  <c r="N458" i="1"/>
  <c r="N445" i="1"/>
  <c r="P445" i="1"/>
  <c r="Q445" i="1"/>
  <c r="Q460" i="1"/>
  <c r="Q420" i="1"/>
  <c r="I1574" i="4"/>
  <c r="I1554" i="4"/>
  <c r="J1555" i="4"/>
  <c r="J1549" i="4"/>
  <c r="J1546" i="4"/>
  <c r="J1615" i="4"/>
  <c r="J1575" i="4"/>
  <c r="I1626" i="4"/>
  <c r="I1576" i="4"/>
  <c r="I1572" i="4"/>
  <c r="I1552" i="4"/>
  <c r="I1570" i="4"/>
  <c r="J1571" i="4"/>
  <c r="I1692" i="4"/>
  <c r="J1682" i="4"/>
  <c r="J1650" i="4"/>
  <c r="J1701" i="4"/>
  <c r="J1655" i="4"/>
  <c r="I1628" i="4"/>
  <c r="I1556" i="4"/>
  <c r="J1621" i="4"/>
  <c r="I1624" i="4"/>
  <c r="I1599" i="4"/>
  <c r="J1543" i="4"/>
  <c r="J1639" i="4"/>
  <c r="J1612" i="4"/>
  <c r="J437" i="1" l="1"/>
  <c r="P452" i="1"/>
  <c r="P449" i="1"/>
  <c r="J1626" i="4"/>
  <c r="N452" i="1"/>
  <c r="J1599" i="4"/>
  <c r="J421" i="1"/>
  <c r="N472" i="1"/>
  <c r="J1556" i="4"/>
  <c r="N441" i="1"/>
  <c r="P415" i="1"/>
  <c r="P457" i="1"/>
  <c r="N488" i="1"/>
  <c r="P416" i="1"/>
  <c r="N416" i="1"/>
  <c r="N417" i="1"/>
  <c r="J1692" i="4"/>
  <c r="J1628" i="4"/>
  <c r="J1572" i="4"/>
  <c r="J1624" i="4"/>
  <c r="P439" i="1"/>
  <c r="P441" i="1"/>
  <c r="J1597" i="4"/>
  <c r="P488" i="1"/>
  <c r="P472" i="1"/>
  <c r="J1637" i="4"/>
  <c r="J1576" i="4"/>
  <c r="J442" i="1"/>
  <c r="P442" i="1" s="1"/>
  <c r="J420" i="1"/>
  <c r="J444" i="1"/>
  <c r="N444" i="1" s="1"/>
  <c r="J426" i="1"/>
  <c r="J1574" i="4"/>
  <c r="J435" i="1"/>
  <c r="P435" i="1" s="1"/>
  <c r="J460" i="1"/>
  <c r="N460" i="1" s="1"/>
  <c r="J418" i="1"/>
  <c r="J427" i="1"/>
  <c r="J429" i="1"/>
  <c r="J443" i="1"/>
  <c r="J419" i="1"/>
  <c r="N419" i="1" s="1"/>
  <c r="J428" i="1"/>
  <c r="P428" i="1" s="1"/>
  <c r="J1552" i="4"/>
  <c r="J1554" i="4"/>
  <c r="J1570" i="4"/>
  <c r="J1635" i="4"/>
  <c r="J434" i="1"/>
  <c r="J1558" i="4"/>
  <c r="J446" i="1"/>
  <c r="J447" i="1"/>
  <c r="P464" i="1"/>
  <c r="N464" i="1"/>
  <c r="P453" i="1"/>
  <c r="N453" i="1"/>
  <c r="J1606" i="4"/>
  <c r="J1525" i="4"/>
  <c r="J1521" i="4"/>
  <c r="I1526" i="4"/>
  <c r="I1524" i="4"/>
  <c r="I1522" i="4"/>
  <c r="J1518" i="4"/>
  <c r="I1519" i="4"/>
  <c r="I1517" i="4"/>
  <c r="I1515" i="4"/>
  <c r="J1511" i="4"/>
  <c r="J1509" i="4"/>
  <c r="I1512" i="4"/>
  <c r="I1510" i="4"/>
  <c r="P437" i="1" l="1"/>
  <c r="N437" i="1"/>
  <c r="N426" i="1"/>
  <c r="N421" i="1"/>
  <c r="P421" i="1"/>
  <c r="N420" i="1"/>
  <c r="P419" i="1"/>
  <c r="P427" i="1"/>
  <c r="N428" i="1"/>
  <c r="N429" i="1"/>
  <c r="P418" i="1"/>
  <c r="P444" i="1"/>
  <c r="P420" i="1"/>
  <c r="N442" i="1"/>
  <c r="N443" i="1"/>
  <c r="P429" i="1"/>
  <c r="N418" i="1"/>
  <c r="P426" i="1"/>
  <c r="P443" i="1"/>
  <c r="N427" i="1"/>
  <c r="P460" i="1"/>
  <c r="N435" i="1"/>
  <c r="N434" i="1"/>
  <c r="P434" i="1"/>
  <c r="N447" i="1"/>
  <c r="P447" i="1"/>
  <c r="P446" i="1"/>
  <c r="N446" i="1"/>
  <c r="O85" i="1" l="1"/>
  <c r="M85" i="1"/>
  <c r="L85" i="1"/>
  <c r="K85" i="1"/>
  <c r="I85" i="1"/>
  <c r="H85" i="1"/>
  <c r="G85" i="1"/>
  <c r="A87" i="1"/>
  <c r="A88" i="1" s="1"/>
  <c r="A89" i="1" l="1"/>
  <c r="A90" i="1" s="1"/>
  <c r="A91" i="1" l="1"/>
  <c r="K368" i="4"/>
  <c r="K927" i="4"/>
  <c r="K924" i="4"/>
  <c r="K921" i="4"/>
  <c r="K920" i="4"/>
  <c r="K919" i="4"/>
  <c r="K918" i="4"/>
  <c r="K917" i="4"/>
  <c r="J917" i="4"/>
  <c r="K916" i="4"/>
  <c r="K915" i="4"/>
  <c r="K914" i="4"/>
  <c r="K913" i="4"/>
  <c r="K911" i="4"/>
  <c r="K910" i="4"/>
  <c r="K909" i="4"/>
  <c r="K908" i="4"/>
  <c r="K907" i="4"/>
  <c r="K906" i="4"/>
  <c r="K905" i="4"/>
  <c r="K904" i="4"/>
  <c r="K903" i="4"/>
  <c r="K902" i="4"/>
  <c r="K901" i="4"/>
  <c r="K899" i="4"/>
  <c r="K898" i="4"/>
  <c r="K897" i="4"/>
  <c r="K896" i="4"/>
  <c r="K895" i="4"/>
  <c r="K893" i="4"/>
  <c r="K892" i="4"/>
  <c r="K891" i="4"/>
  <c r="K890" i="4"/>
  <c r="K889" i="4"/>
  <c r="K888" i="4"/>
  <c r="K887" i="4"/>
  <c r="K883" i="4"/>
  <c r="K882" i="4"/>
  <c r="K881" i="4"/>
  <c r="K880" i="4"/>
  <c r="K879" i="4"/>
  <c r="K878" i="4"/>
  <c r="K877" i="4"/>
  <c r="K876" i="4"/>
  <c r="K875" i="4"/>
  <c r="K900" i="4" l="1"/>
  <c r="K925" i="4"/>
  <c r="K922" i="4"/>
  <c r="K886" i="4"/>
  <c r="K894" i="4"/>
  <c r="I886" i="4"/>
  <c r="J895" i="4"/>
  <c r="J897" i="4"/>
  <c r="J898" i="4"/>
  <c r="J899" i="4"/>
  <c r="J913" i="4"/>
  <c r="J919" i="4"/>
  <c r="J924" i="4"/>
  <c r="K874" i="4"/>
  <c r="J918" i="4"/>
  <c r="K912" i="4"/>
  <c r="J887" i="4"/>
  <c r="J889" i="4"/>
  <c r="J891" i="4"/>
  <c r="J893" i="4"/>
  <c r="J901" i="4"/>
  <c r="J903" i="4"/>
  <c r="J905" i="4"/>
  <c r="J907" i="4"/>
  <c r="J909" i="4"/>
  <c r="J910" i="4"/>
  <c r="J911" i="4"/>
  <c r="I912" i="4"/>
  <c r="J915" i="4"/>
  <c r="J916" i="4"/>
  <c r="J921" i="4"/>
  <c r="J927" i="4"/>
  <c r="J875" i="4"/>
  <c r="J878" i="4"/>
  <c r="J879" i="4"/>
  <c r="J881" i="4"/>
  <c r="J226" i="1" l="1"/>
  <c r="Q226" i="1"/>
  <c r="Q225" i="1"/>
  <c r="J922" i="4"/>
  <c r="J925" i="4"/>
  <c r="Q224" i="1"/>
  <c r="J225" i="1"/>
  <c r="J227" i="1"/>
  <c r="J229" i="1"/>
  <c r="Q228" i="1"/>
  <c r="Q227" i="1"/>
  <c r="J894" i="4"/>
  <c r="J224" i="1"/>
  <c r="Q229" i="1"/>
  <c r="Q222" i="1"/>
  <c r="J228" i="1"/>
  <c r="J912" i="4"/>
  <c r="J900" i="4"/>
  <c r="J886" i="4"/>
  <c r="J880" i="4"/>
  <c r="J883" i="4"/>
  <c r="J877" i="4"/>
  <c r="I874" i="4"/>
  <c r="P226" i="1" l="1"/>
  <c r="N226" i="1"/>
  <c r="N225" i="1"/>
  <c r="P229" i="1"/>
  <c r="N229" i="1"/>
  <c r="N227" i="1"/>
  <c r="P227" i="1"/>
  <c r="P225" i="1"/>
  <c r="J222" i="1"/>
  <c r="P228" i="1"/>
  <c r="N228" i="1"/>
  <c r="P224" i="1"/>
  <c r="N224" i="1"/>
  <c r="J874" i="4"/>
  <c r="P222" i="1" l="1"/>
  <c r="N222" i="1"/>
  <c r="K862" i="4"/>
  <c r="K861" i="4"/>
  <c r="K854" i="4"/>
  <c r="K851" i="4"/>
  <c r="K850" i="4"/>
  <c r="K842" i="4"/>
  <c r="K840" i="4"/>
  <c r="K830" i="4"/>
  <c r="K828" i="4"/>
  <c r="K827" i="4"/>
  <c r="I826" i="4"/>
  <c r="J817" i="4"/>
  <c r="K814" i="4"/>
  <c r="K813" i="4"/>
  <c r="J804" i="4"/>
  <c r="J798" i="4"/>
  <c r="K788" i="4"/>
  <c r="K786" i="4"/>
  <c r="J781" i="4"/>
  <c r="J780" i="4"/>
  <c r="K782" i="4"/>
  <c r="J767" i="4"/>
  <c r="J771" i="4"/>
  <c r="K778" i="4"/>
  <c r="K776" i="4"/>
  <c r="K765" i="4"/>
  <c r="K763" i="4"/>
  <c r="I761" i="4"/>
  <c r="J760" i="4"/>
  <c r="K759" i="4"/>
  <c r="J754" i="4"/>
  <c r="K752" i="4"/>
  <c r="K751" i="4"/>
  <c r="K746" i="4"/>
  <c r="K826" i="4" l="1"/>
  <c r="I759" i="4"/>
  <c r="I860" i="4"/>
  <c r="K860" i="4"/>
  <c r="K852" i="4"/>
  <c r="K849" i="4"/>
  <c r="I839" i="4"/>
  <c r="K839" i="4"/>
  <c r="K829" i="4"/>
  <c r="I829" i="4"/>
  <c r="I812" i="4"/>
  <c r="K812" i="4"/>
  <c r="K787" i="4"/>
  <c r="I787" i="4"/>
  <c r="K785" i="4"/>
  <c r="I785" i="4"/>
  <c r="I750" i="4"/>
  <c r="K750" i="4"/>
  <c r="I845" i="4"/>
  <c r="I744" i="4"/>
  <c r="K762" i="4"/>
  <c r="K764" i="4"/>
  <c r="K777" i="4"/>
  <c r="K744" i="4"/>
  <c r="Q187" i="1"/>
  <c r="J205" i="1"/>
  <c r="K775" i="4"/>
  <c r="Q205" i="1"/>
  <c r="J854" i="4"/>
  <c r="J761" i="4"/>
  <c r="J850" i="4"/>
  <c r="J851" i="4"/>
  <c r="J861" i="4"/>
  <c r="J862" i="4"/>
  <c r="J840" i="4"/>
  <c r="J842" i="4"/>
  <c r="J830" i="4"/>
  <c r="J827" i="4"/>
  <c r="J828" i="4"/>
  <c r="J786" i="4"/>
  <c r="J746" i="4"/>
  <c r="J813" i="4"/>
  <c r="J814" i="4"/>
  <c r="J788" i="4"/>
  <c r="J751" i="4"/>
  <c r="J752" i="4"/>
  <c r="Q184" i="1" l="1"/>
  <c r="J184" i="1"/>
  <c r="J187" i="1"/>
  <c r="N187" i="1" s="1"/>
  <c r="Q206" i="1"/>
  <c r="J206" i="1"/>
  <c r="J213" i="1"/>
  <c r="J860" i="4"/>
  <c r="J852" i="4"/>
  <c r="J849" i="4"/>
  <c r="Q213" i="1"/>
  <c r="J839" i="4"/>
  <c r="J829" i="4"/>
  <c r="J812" i="4"/>
  <c r="J787" i="4"/>
  <c r="J785" i="4"/>
  <c r="J750" i="4"/>
  <c r="J196" i="1"/>
  <c r="P196" i="1" s="1"/>
  <c r="J182" i="1"/>
  <c r="P182" i="1" s="1"/>
  <c r="J201" i="1"/>
  <c r="P201" i="1" s="1"/>
  <c r="J765" i="4"/>
  <c r="I777" i="4"/>
  <c r="J210" i="1"/>
  <c r="Q182" i="1"/>
  <c r="Q192" i="1"/>
  <c r="Q195" i="1"/>
  <c r="Q188" i="1"/>
  <c r="J195" i="1"/>
  <c r="J763" i="4"/>
  <c r="I762" i="4"/>
  <c r="J778" i="4"/>
  <c r="J214" i="1"/>
  <c r="Q189" i="1"/>
  <c r="J217" i="1"/>
  <c r="Q217" i="1"/>
  <c r="Q210" i="1"/>
  <c r="Q214" i="1"/>
  <c r="Q191" i="1"/>
  <c r="Q196" i="1"/>
  <c r="Q201" i="1"/>
  <c r="P205" i="1"/>
  <c r="N205" i="1"/>
  <c r="J759" i="4"/>
  <c r="J826" i="4"/>
  <c r="J744" i="4"/>
  <c r="J776" i="4"/>
  <c r="I775" i="4"/>
  <c r="J736" i="4"/>
  <c r="K733" i="4"/>
  <c r="K732" i="4"/>
  <c r="J723" i="4"/>
  <c r="J709" i="4"/>
  <c r="K707" i="4"/>
  <c r="K705" i="4"/>
  <c r="K704" i="4"/>
  <c r="K702" i="4"/>
  <c r="K700" i="4"/>
  <c r="N184" i="1" l="1"/>
  <c r="P184" i="1"/>
  <c r="P187" i="1"/>
  <c r="K698" i="4"/>
  <c r="N213" i="1"/>
  <c r="N206" i="1"/>
  <c r="P206" i="1"/>
  <c r="P213" i="1"/>
  <c r="P217" i="1"/>
  <c r="P214" i="1"/>
  <c r="N196" i="1"/>
  <c r="I731" i="4"/>
  <c r="K731" i="4"/>
  <c r="K703" i="4"/>
  <c r="I703" i="4"/>
  <c r="N210" i="1"/>
  <c r="I701" i="4"/>
  <c r="N182" i="1"/>
  <c r="J764" i="4"/>
  <c r="J762" i="4"/>
  <c r="P210" i="1"/>
  <c r="J192" i="1"/>
  <c r="N201" i="1"/>
  <c r="J189" i="1"/>
  <c r="J191" i="1"/>
  <c r="N191" i="1" s="1"/>
  <c r="N195" i="1"/>
  <c r="P195" i="1"/>
  <c r="J188" i="1"/>
  <c r="J777" i="4"/>
  <c r="N214" i="1"/>
  <c r="K706" i="4"/>
  <c r="N217" i="1"/>
  <c r="J700" i="4"/>
  <c r="K701" i="4"/>
  <c r="J704" i="4"/>
  <c r="J705" i="4"/>
  <c r="J775" i="4"/>
  <c r="J732" i="4"/>
  <c r="J733" i="4"/>
  <c r="J702" i="4"/>
  <c r="J707" i="4"/>
  <c r="J698" i="4" l="1"/>
  <c r="P192" i="1"/>
  <c r="J169" i="1"/>
  <c r="P169" i="1" s="1"/>
  <c r="J731" i="4"/>
  <c r="J703" i="4"/>
  <c r="J178" i="1"/>
  <c r="N178" i="1" s="1"/>
  <c r="J168" i="1"/>
  <c r="N168" i="1" s="1"/>
  <c r="Q168" i="1"/>
  <c r="N192" i="1"/>
  <c r="Q178" i="1"/>
  <c r="P189" i="1"/>
  <c r="P191" i="1"/>
  <c r="N189" i="1"/>
  <c r="J171" i="1"/>
  <c r="P171" i="1" s="1"/>
  <c r="J170" i="1"/>
  <c r="P170" i="1" s="1"/>
  <c r="Q171" i="1"/>
  <c r="P188" i="1"/>
  <c r="N188" i="1"/>
  <c r="Q170" i="1"/>
  <c r="Q169" i="1"/>
  <c r="J701" i="4"/>
  <c r="J706" i="4"/>
  <c r="P178" i="1" l="1"/>
  <c r="P168" i="1"/>
  <c r="N169" i="1"/>
  <c r="N171" i="1"/>
  <c r="N170" i="1"/>
  <c r="J694" i="4"/>
  <c r="J688" i="4"/>
  <c r="J682" i="4"/>
  <c r="K681" i="4"/>
  <c r="I693" i="4"/>
  <c r="I690" i="4"/>
  <c r="I687" i="4"/>
  <c r="K674" i="4"/>
  <c r="K673" i="4"/>
  <c r="J670" i="4"/>
  <c r="K667" i="4"/>
  <c r="K666" i="4"/>
  <c r="K665" i="4"/>
  <c r="K664" i="4"/>
  <c r="K663" i="4"/>
  <c r="J650" i="4"/>
  <c r="J651" i="4"/>
  <c r="K648" i="4"/>
  <c r="K647" i="4"/>
  <c r="K646" i="4"/>
  <c r="K645" i="4"/>
  <c r="K643" i="4"/>
  <c r="J643" i="4"/>
  <c r="K642" i="4"/>
  <c r="K641" i="4"/>
  <c r="K640" i="4"/>
  <c r="J640" i="4"/>
  <c r="K639" i="4"/>
  <c r="K638" i="4"/>
  <c r="K637" i="4"/>
  <c r="J637" i="4"/>
  <c r="K636" i="4"/>
  <c r="K635" i="4"/>
  <c r="J632" i="4"/>
  <c r="J626" i="4"/>
  <c r="J623" i="4"/>
  <c r="I631" i="4"/>
  <c r="I628" i="4"/>
  <c r="K599" i="4"/>
  <c r="K598" i="4"/>
  <c r="K591" i="4"/>
  <c r="J578" i="4"/>
  <c r="K572" i="4"/>
  <c r="K568" i="4"/>
  <c r="K554" i="4"/>
  <c r="K553" i="4"/>
  <c r="K552" i="4"/>
  <c r="K551" i="4"/>
  <c r="J548" i="4"/>
  <c r="J537" i="4"/>
  <c r="J531" i="4"/>
  <c r="J528" i="4"/>
  <c r="K525" i="4"/>
  <c r="K523" i="4"/>
  <c r="K520" i="4"/>
  <c r="K518" i="4"/>
  <c r="K515" i="4"/>
  <c r="K514" i="4"/>
  <c r="K513" i="4"/>
  <c r="K512" i="4"/>
  <c r="J502" i="4"/>
  <c r="J495" i="4"/>
  <c r="J497" i="4"/>
  <c r="K481" i="4"/>
  <c r="K480" i="4"/>
  <c r="K478" i="4"/>
  <c r="J471" i="4"/>
  <c r="K450" i="4"/>
  <c r="J442" i="4"/>
  <c r="I443" i="4"/>
  <c r="J424" i="4"/>
  <c r="I441" i="4" l="1"/>
  <c r="K524" i="4"/>
  <c r="K644" i="4"/>
  <c r="I681" i="4"/>
  <c r="I658" i="4"/>
  <c r="K597" i="4"/>
  <c r="I597" i="4"/>
  <c r="I589" i="4"/>
  <c r="K589" i="4"/>
  <c r="I521" i="4"/>
  <c r="K521" i="4"/>
  <c r="I516" i="4"/>
  <c r="K516" i="4"/>
  <c r="J673" i="4"/>
  <c r="K511" i="4"/>
  <c r="J641" i="4"/>
  <c r="K477" i="4"/>
  <c r="I479" i="4"/>
  <c r="K479" i="4"/>
  <c r="K449" i="4"/>
  <c r="I634" i="4"/>
  <c r="J638" i="4"/>
  <c r="I450" i="4"/>
  <c r="K550" i="4"/>
  <c r="Q117" i="1"/>
  <c r="J523" i="4"/>
  <c r="J635" i="4"/>
  <c r="Q163" i="1"/>
  <c r="J674" i="4"/>
  <c r="K567" i="4"/>
  <c r="J683" i="4"/>
  <c r="K634" i="4"/>
  <c r="J663" i="4"/>
  <c r="J664" i="4"/>
  <c r="J665" i="4"/>
  <c r="J666" i="4"/>
  <c r="J667" i="4"/>
  <c r="J645" i="4"/>
  <c r="J647" i="4"/>
  <c r="J648" i="4"/>
  <c r="J598" i="4"/>
  <c r="J599" i="4"/>
  <c r="J591" i="4"/>
  <c r="J568" i="4"/>
  <c r="J518" i="4"/>
  <c r="J520" i="4"/>
  <c r="J525" i="4"/>
  <c r="J481" i="4"/>
  <c r="J127" i="1" l="1"/>
  <c r="N127" i="1" s="1"/>
  <c r="Q127" i="1"/>
  <c r="Q158" i="1"/>
  <c r="J146" i="1"/>
  <c r="P146" i="1" s="1"/>
  <c r="J158" i="1"/>
  <c r="P158" i="1" s="1"/>
  <c r="J163" i="1"/>
  <c r="J597" i="4"/>
  <c r="Q149" i="1"/>
  <c r="Q146" i="1"/>
  <c r="J589" i="4"/>
  <c r="J552" i="4"/>
  <c r="J521" i="4"/>
  <c r="J149" i="1"/>
  <c r="P149" i="1" s="1"/>
  <c r="J516" i="4"/>
  <c r="J125" i="1"/>
  <c r="J478" i="4"/>
  <c r="Q124" i="1"/>
  <c r="J514" i="4"/>
  <c r="Q133" i="1"/>
  <c r="Q112" i="1"/>
  <c r="Q118" i="1"/>
  <c r="J634" i="4"/>
  <c r="J139" i="1"/>
  <c r="J157" i="1"/>
  <c r="N157" i="1" s="1"/>
  <c r="J118" i="1"/>
  <c r="N118" i="1" s="1"/>
  <c r="I511" i="4"/>
  <c r="J450" i="4"/>
  <c r="J515" i="4"/>
  <c r="J513" i="4"/>
  <c r="I449" i="4"/>
  <c r="I477" i="4"/>
  <c r="J554" i="4"/>
  <c r="J553" i="4"/>
  <c r="Q139" i="1"/>
  <c r="Q126" i="1"/>
  <c r="Q157" i="1"/>
  <c r="Q125" i="1"/>
  <c r="J126" i="1"/>
  <c r="J681" i="4"/>
  <c r="J567" i="4"/>
  <c r="J524" i="4"/>
  <c r="J644" i="4"/>
  <c r="J479" i="4"/>
  <c r="K402" i="4"/>
  <c r="J377" i="4"/>
  <c r="I375" i="4"/>
  <c r="K359" i="4"/>
  <c r="K353" i="4"/>
  <c r="K351" i="4"/>
  <c r="A350" i="4"/>
  <c r="A352" i="4" s="1"/>
  <c r="A354" i="4" s="1"/>
  <c r="A358" i="4" s="1"/>
  <c r="A360" i="4" s="1"/>
  <c r="K349" i="4"/>
  <c r="P127" i="1" l="1"/>
  <c r="N139" i="1"/>
  <c r="P163" i="1"/>
  <c r="N146" i="1"/>
  <c r="N125" i="1"/>
  <c r="N158" i="1"/>
  <c r="N163" i="1"/>
  <c r="P125" i="1"/>
  <c r="J477" i="4"/>
  <c r="N149" i="1"/>
  <c r="J449" i="4"/>
  <c r="J112" i="1"/>
  <c r="P112" i="1" s="1"/>
  <c r="K348" i="4"/>
  <c r="P157" i="1"/>
  <c r="P118" i="1"/>
  <c r="P139" i="1"/>
  <c r="I359" i="4"/>
  <c r="J550" i="4"/>
  <c r="J124" i="1"/>
  <c r="J511" i="4"/>
  <c r="J117" i="1"/>
  <c r="K350" i="4"/>
  <c r="K358" i="4"/>
  <c r="P126" i="1"/>
  <c r="N126" i="1"/>
  <c r="J133" i="1"/>
  <c r="K352" i="4"/>
  <c r="J359" i="4" l="1"/>
  <c r="I358" i="4"/>
  <c r="N112" i="1"/>
  <c r="Q86" i="1"/>
  <c r="J353" i="4"/>
  <c r="Q87" i="1"/>
  <c r="J349" i="4"/>
  <c r="J351" i="4"/>
  <c r="I348" i="4"/>
  <c r="N124" i="1"/>
  <c r="P124" i="1"/>
  <c r="N117" i="1"/>
  <c r="P117" i="1"/>
  <c r="Q90" i="1"/>
  <c r="P133" i="1"/>
  <c r="N133" i="1"/>
  <c r="Q88" i="1"/>
  <c r="I3173" i="4"/>
  <c r="I3172" i="4"/>
  <c r="I3171" i="4"/>
  <c r="I3170" i="4"/>
  <c r="K3169" i="4"/>
  <c r="O622" i="1"/>
  <c r="M622" i="1"/>
  <c r="L622" i="1"/>
  <c r="K622" i="1"/>
  <c r="I622" i="1"/>
  <c r="H622" i="1"/>
  <c r="K2277" i="4"/>
  <c r="K2276" i="4"/>
  <c r="J358" i="4" l="1"/>
  <c r="Q871" i="1"/>
  <c r="I2276" i="4"/>
  <c r="J3170" i="4"/>
  <c r="J3172" i="4"/>
  <c r="J90" i="1"/>
  <c r="N90" i="1" s="1"/>
  <c r="J352" i="4"/>
  <c r="J348" i="4"/>
  <c r="J350" i="4"/>
  <c r="J88" i="1"/>
  <c r="P88" i="1" s="1"/>
  <c r="J86" i="1"/>
  <c r="J87" i="1"/>
  <c r="K2275" i="4"/>
  <c r="I2277" i="4"/>
  <c r="I3169" i="4"/>
  <c r="J3171" i="4"/>
  <c r="J3173" i="4"/>
  <c r="J2276" i="4"/>
  <c r="I3149" i="4" l="1"/>
  <c r="Q627" i="1"/>
  <c r="P90" i="1"/>
  <c r="N88" i="1"/>
  <c r="N86" i="1"/>
  <c r="P86" i="1"/>
  <c r="N87" i="1"/>
  <c r="P87" i="1"/>
  <c r="I2275" i="4"/>
  <c r="J2277" i="4"/>
  <c r="J871" i="1"/>
  <c r="J3169" i="4"/>
  <c r="J2275" i="4" l="1"/>
  <c r="P871" i="1"/>
  <c r="J865" i="1"/>
  <c r="J627" i="1"/>
  <c r="N871" i="1"/>
  <c r="N865" i="1" l="1"/>
  <c r="P627" i="1"/>
  <c r="N627" i="1"/>
  <c r="I3257" i="4" l="1"/>
  <c r="I3256" i="4"/>
  <c r="I3255" i="4"/>
  <c r="I3254" i="4"/>
  <c r="K3253" i="4"/>
  <c r="K3261" i="4"/>
  <c r="I3262" i="4"/>
  <c r="I3263" i="4"/>
  <c r="I3264" i="4"/>
  <c r="I3265" i="4"/>
  <c r="J1085" i="4"/>
  <c r="J3257" i="4" l="1"/>
  <c r="J3265" i="4"/>
  <c r="J3262" i="4"/>
  <c r="Q891" i="1"/>
  <c r="J3255" i="4"/>
  <c r="I3253" i="4"/>
  <c r="J3256" i="4"/>
  <c r="J3264" i="4"/>
  <c r="J3263" i="4"/>
  <c r="J3254" i="4"/>
  <c r="I3261" i="4"/>
  <c r="I2380" i="4"/>
  <c r="I2378" i="4"/>
  <c r="I2375" i="4"/>
  <c r="I2373" i="4"/>
  <c r="K2365" i="4"/>
  <c r="K2364" i="4"/>
  <c r="K2353" i="4"/>
  <c r="D1080" i="4"/>
  <c r="I1113" i="4"/>
  <c r="I1110" i="4"/>
  <c r="I1083" i="4"/>
  <c r="I2364" i="4" l="1"/>
  <c r="K2352" i="4"/>
  <c r="J3261" i="4"/>
  <c r="J891" i="1"/>
  <c r="J3253" i="4"/>
  <c r="K2363" i="4"/>
  <c r="I2365" i="4"/>
  <c r="J2364" i="4" l="1"/>
  <c r="N891" i="1"/>
  <c r="P891" i="1"/>
  <c r="J2365" i="4"/>
  <c r="I2363" i="4"/>
  <c r="J2363" i="4" l="1"/>
  <c r="I3122" i="4" l="1"/>
  <c r="I3121" i="4"/>
  <c r="K3120" i="4"/>
  <c r="I3100" i="4"/>
  <c r="I3099" i="4"/>
  <c r="K3098" i="4"/>
  <c r="I3097" i="4"/>
  <c r="I3096" i="4"/>
  <c r="K3095" i="4"/>
  <c r="I3091" i="4"/>
  <c r="I3090" i="4"/>
  <c r="K3089" i="4"/>
  <c r="I3088" i="4"/>
  <c r="I3087" i="4"/>
  <c r="K3086" i="4"/>
  <c r="I3080" i="4"/>
  <c r="I3079" i="4"/>
  <c r="K3078" i="4"/>
  <c r="I3077" i="4"/>
  <c r="I3076" i="4"/>
  <c r="I3075" i="4"/>
  <c r="I3074" i="4"/>
  <c r="K3073" i="4"/>
  <c r="J3121" i="4" l="1"/>
  <c r="J3075" i="4"/>
  <c r="J3077" i="4"/>
  <c r="J3079" i="4"/>
  <c r="J3088" i="4"/>
  <c r="J3090" i="4"/>
  <c r="J3097" i="4"/>
  <c r="J3099" i="4"/>
  <c r="Q841" i="1"/>
  <c r="Q844" i="1"/>
  <c r="Q842" i="1"/>
  <c r="Q848" i="1"/>
  <c r="Q854" i="1"/>
  <c r="I3120" i="4"/>
  <c r="J3122" i="4"/>
  <c r="Q847" i="1"/>
  <c r="Q845" i="1"/>
  <c r="J3096" i="4"/>
  <c r="I3098" i="4"/>
  <c r="J3100" i="4"/>
  <c r="I3095" i="4"/>
  <c r="J3076" i="4"/>
  <c r="I3078" i="4"/>
  <c r="J3080" i="4"/>
  <c r="J3074" i="4"/>
  <c r="J3087" i="4"/>
  <c r="I3089" i="4"/>
  <c r="J3091" i="4"/>
  <c r="I3073" i="4"/>
  <c r="I3086" i="4"/>
  <c r="K2223" i="4"/>
  <c r="K2216" i="4"/>
  <c r="K2203" i="4"/>
  <c r="J2200" i="4"/>
  <c r="K2198" i="4"/>
  <c r="K2196" i="4"/>
  <c r="I2216" i="4" l="1"/>
  <c r="I2223" i="4"/>
  <c r="J844" i="1"/>
  <c r="J2203" i="4"/>
  <c r="J2216" i="4"/>
  <c r="J841" i="1"/>
  <c r="N841" i="1" s="1"/>
  <c r="J845" i="1"/>
  <c r="J847" i="1"/>
  <c r="N847" i="1" s="1"/>
  <c r="J848" i="1"/>
  <c r="N848" i="1" s="1"/>
  <c r="J3120" i="4"/>
  <c r="J842" i="1"/>
  <c r="J854" i="1"/>
  <c r="J3098" i="4"/>
  <c r="J3095" i="4"/>
  <c r="J3086" i="4"/>
  <c r="J3078" i="4"/>
  <c r="J3089" i="4"/>
  <c r="J3073" i="4"/>
  <c r="K2195" i="4"/>
  <c r="J2196" i="4"/>
  <c r="J2223" i="4" l="1"/>
  <c r="P847" i="1"/>
  <c r="P841" i="1"/>
  <c r="P848" i="1"/>
  <c r="N842" i="1"/>
  <c r="P842" i="1"/>
  <c r="N854" i="1"/>
  <c r="P854" i="1"/>
  <c r="J597" i="1"/>
  <c r="Q597" i="1"/>
  <c r="J2195" i="4"/>
  <c r="N597" i="1" l="1"/>
  <c r="P597" i="1"/>
  <c r="J2178" i="4"/>
  <c r="I2179" i="4"/>
  <c r="K2171" i="4"/>
  <c r="K2166" i="4"/>
  <c r="I2164" i="4"/>
  <c r="K2158" i="4"/>
  <c r="I2177" i="4" l="1"/>
  <c r="K2165" i="4"/>
  <c r="Q587" i="1" l="1"/>
  <c r="J2166" i="4"/>
  <c r="I2165" i="4"/>
  <c r="J2165" i="4" l="1"/>
  <c r="J587" i="1"/>
  <c r="P587" i="1" l="1"/>
  <c r="N587" i="1"/>
  <c r="K2156" i="4"/>
  <c r="K2155" i="4"/>
  <c r="J2145" i="4"/>
  <c r="I988" i="4"/>
  <c r="J980" i="4"/>
  <c r="I979" i="4" l="1"/>
  <c r="J1163" i="4" l="1"/>
  <c r="I1164" i="4" l="1"/>
  <c r="K336" i="4" l="1"/>
  <c r="J336" i="4"/>
  <c r="K333" i="4"/>
  <c r="K314" i="4"/>
  <c r="J314" i="4"/>
  <c r="I291" i="4"/>
  <c r="J291" i="4" l="1"/>
  <c r="J2635" i="4"/>
  <c r="I2634" i="4"/>
  <c r="K2633" i="4"/>
  <c r="J2626" i="4"/>
  <c r="I2625" i="4"/>
  <c r="K2624" i="4"/>
  <c r="I2624" i="4"/>
  <c r="K2574" i="4"/>
  <c r="J2576" i="4"/>
  <c r="I2575" i="4"/>
  <c r="K2522" i="4"/>
  <c r="J2524" i="4"/>
  <c r="I2523" i="4"/>
  <c r="I2517" i="4"/>
  <c r="O334" i="1"/>
  <c r="M334" i="1"/>
  <c r="L334" i="1"/>
  <c r="K334" i="1"/>
  <c r="I334" i="1"/>
  <c r="H334" i="1"/>
  <c r="G334" i="1"/>
  <c r="K1387" i="4"/>
  <c r="K1379" i="4"/>
  <c r="J1362" i="4"/>
  <c r="I1361" i="4"/>
  <c r="K1346" i="4"/>
  <c r="K1348" i="4"/>
  <c r="I1354" i="4"/>
  <c r="I1352" i="4"/>
  <c r="I1350" i="4"/>
  <c r="I1348" i="4"/>
  <c r="I1346" i="4"/>
  <c r="I2633" i="4" l="1"/>
  <c r="J727" i="1" s="1"/>
  <c r="J1346" i="4"/>
  <c r="J1348" i="4"/>
  <c r="J724" i="1"/>
  <c r="Q727" i="1"/>
  <c r="I2522" i="4"/>
  <c r="J2575" i="4"/>
  <c r="J2625" i="4"/>
  <c r="Q724" i="1"/>
  <c r="J2634" i="4"/>
  <c r="I2574" i="4"/>
  <c r="J2523" i="4"/>
  <c r="J1361" i="4"/>
  <c r="I1334" i="4"/>
  <c r="I1333" i="4"/>
  <c r="J1335" i="4"/>
  <c r="I1327" i="4"/>
  <c r="J1328" i="4"/>
  <c r="I1323" i="4"/>
  <c r="J1324" i="4"/>
  <c r="I1319" i="4"/>
  <c r="J1320" i="4"/>
  <c r="K1302" i="4"/>
  <c r="K1293" i="4"/>
  <c r="K1282" i="4"/>
  <c r="I1281" i="4"/>
  <c r="K1278" i="4"/>
  <c r="I1269" i="4"/>
  <c r="J1270" i="4"/>
  <c r="K1233" i="4"/>
  <c r="J1233" i="4"/>
  <c r="K1231" i="4"/>
  <c r="K1230" i="4" s="1"/>
  <c r="I1230" i="4"/>
  <c r="K1221" i="4"/>
  <c r="I1217" i="4"/>
  <c r="K1377" i="4"/>
  <c r="J1377" i="4"/>
  <c r="K1376" i="4"/>
  <c r="J1376" i="4"/>
  <c r="K1375" i="4"/>
  <c r="J1375" i="4"/>
  <c r="A1373" i="4"/>
  <c r="N724" i="1" l="1"/>
  <c r="K1281" i="4"/>
  <c r="N727" i="1"/>
  <c r="P724" i="1"/>
  <c r="P727" i="1"/>
  <c r="J1330" i="4"/>
  <c r="J2574" i="4"/>
  <c r="J1269" i="4"/>
  <c r="I1317" i="4"/>
  <c r="I1325" i="4"/>
  <c r="J219" i="4"/>
  <c r="J1319" i="4"/>
  <c r="J2624" i="4"/>
  <c r="J2633" i="4"/>
  <c r="J2522" i="4"/>
  <c r="I1321" i="4"/>
  <c r="J1323" i="4"/>
  <c r="J1334" i="4"/>
  <c r="J1327" i="4"/>
  <c r="I1332" i="4"/>
  <c r="I1267" i="4"/>
  <c r="Q356" i="1"/>
  <c r="J356" i="1"/>
  <c r="J1282" i="4"/>
  <c r="Q342" i="1"/>
  <c r="J342" i="1"/>
  <c r="J1231" i="4"/>
  <c r="K1373" i="4"/>
  <c r="I1373" i="4"/>
  <c r="P342" i="1" l="1"/>
  <c r="P356" i="1"/>
  <c r="J378" i="1"/>
  <c r="Q378" i="1"/>
  <c r="J1281" i="4"/>
  <c r="N356" i="1"/>
  <c r="J1230" i="4"/>
  <c r="N342" i="1"/>
  <c r="J1373" i="4"/>
  <c r="N378" i="1" l="1"/>
  <c r="P378" i="1"/>
  <c r="K1355" i="4"/>
  <c r="J1355" i="4"/>
  <c r="K1354" i="4"/>
  <c r="J1354" i="4"/>
  <c r="K1353" i="4"/>
  <c r="J1353" i="4"/>
  <c r="K1352" i="4"/>
  <c r="J1352" i="4"/>
  <c r="K1351" i="4"/>
  <c r="J1351" i="4"/>
  <c r="K1350" i="4"/>
  <c r="J1350" i="4"/>
  <c r="K1349" i="4"/>
  <c r="J1349" i="4"/>
  <c r="K1347" i="4"/>
  <c r="J1347" i="4"/>
  <c r="K210" i="4"/>
  <c r="J210" i="4"/>
  <c r="J206" i="4"/>
  <c r="K206" i="4"/>
  <c r="K205" i="4" l="1"/>
  <c r="I205" i="4"/>
  <c r="I1345" i="4"/>
  <c r="K1345" i="4"/>
  <c r="J207" i="4"/>
  <c r="Q373" i="1" l="1"/>
  <c r="J373" i="1"/>
  <c r="J205" i="4"/>
  <c r="J1345" i="4"/>
  <c r="N373" i="1" l="1"/>
  <c r="P373" i="1"/>
  <c r="J1302" i="4"/>
  <c r="K1301" i="4"/>
  <c r="J1301" i="4"/>
  <c r="I1300" i="4"/>
  <c r="K174" i="4"/>
  <c r="J176" i="4"/>
  <c r="I172" i="4"/>
  <c r="K68" i="4"/>
  <c r="J175" i="4" l="1"/>
  <c r="J363" i="1"/>
  <c r="K1300" i="4"/>
  <c r="I174" i="4"/>
  <c r="J174" i="4" l="1"/>
  <c r="Q363" i="1"/>
  <c r="N363" i="1"/>
  <c r="P363" i="1"/>
  <c r="J1300" i="4"/>
  <c r="A2258" i="4" l="1"/>
  <c r="J2262" i="4"/>
  <c r="J2260" i="4"/>
  <c r="J2259" i="4"/>
  <c r="K2258" i="4"/>
  <c r="I2258" i="4"/>
  <c r="J2256" i="4"/>
  <c r="K2253" i="4"/>
  <c r="I2253" i="4"/>
  <c r="Q621" i="1" l="1"/>
  <c r="Q620" i="1"/>
  <c r="I2250" i="4"/>
  <c r="J621" i="1"/>
  <c r="N621" i="1" s="1"/>
  <c r="J620" i="1"/>
  <c r="J2258" i="4"/>
  <c r="J2255" i="4"/>
  <c r="J2257" i="4"/>
  <c r="J618" i="1" l="1"/>
  <c r="P621" i="1"/>
  <c r="N620" i="1"/>
  <c r="N618" i="1" s="1"/>
  <c r="P620" i="1"/>
  <c r="J2253" i="4"/>
  <c r="J1043" i="4" l="1"/>
  <c r="I3133" i="4"/>
  <c r="I3132" i="4"/>
  <c r="K3131" i="4"/>
  <c r="O610" i="1"/>
  <c r="M610" i="1"/>
  <c r="L610" i="1"/>
  <c r="K610" i="1"/>
  <c r="I610" i="1"/>
  <c r="H610" i="1"/>
  <c r="G610" i="1"/>
  <c r="K2236" i="4"/>
  <c r="Q859" i="1" l="1"/>
  <c r="A2235" i="4"/>
  <c r="A2233" i="4"/>
  <c r="J3132" i="4"/>
  <c r="I2236" i="4"/>
  <c r="K2235" i="4"/>
  <c r="I3131" i="4"/>
  <c r="J3133" i="4"/>
  <c r="J959" i="4"/>
  <c r="D3051" i="4"/>
  <c r="K2106" i="4"/>
  <c r="K2103" i="4"/>
  <c r="O729" i="1"/>
  <c r="M729" i="1"/>
  <c r="L729" i="1"/>
  <c r="K729" i="1"/>
  <c r="I729" i="1"/>
  <c r="H729" i="1"/>
  <c r="G729" i="1"/>
  <c r="K2738" i="4"/>
  <c r="J2738" i="4"/>
  <c r="K2737" i="4"/>
  <c r="J2737" i="4"/>
  <c r="K2736" i="4"/>
  <c r="J2736" i="4"/>
  <c r="K2735" i="4"/>
  <c r="J2735" i="4"/>
  <c r="K2734" i="4"/>
  <c r="J2734" i="4"/>
  <c r="K2733" i="4"/>
  <c r="J2733" i="4"/>
  <c r="K2732" i="4"/>
  <c r="J2732" i="4"/>
  <c r="K2731" i="4"/>
  <c r="J2731" i="4"/>
  <c r="K2730" i="4"/>
  <c r="J2730" i="4"/>
  <c r="K2729" i="4"/>
  <c r="J2729" i="4"/>
  <c r="K2728" i="4"/>
  <c r="J2728" i="4"/>
  <c r="K2727" i="4"/>
  <c r="J2727" i="4"/>
  <c r="K2726" i="4"/>
  <c r="J2726" i="4"/>
  <c r="K2725" i="4"/>
  <c r="J2725" i="4"/>
  <c r="I2724" i="4"/>
  <c r="K2714" i="4"/>
  <c r="J2714" i="4"/>
  <c r="K2713" i="4"/>
  <c r="J2713" i="4"/>
  <c r="K2712" i="4"/>
  <c r="J2712" i="4"/>
  <c r="O385" i="1"/>
  <c r="M385" i="1"/>
  <c r="L385" i="1"/>
  <c r="K385" i="1"/>
  <c r="I385" i="1"/>
  <c r="H385" i="1"/>
  <c r="G385" i="1"/>
  <c r="J404" i="1"/>
  <c r="K1506" i="4"/>
  <c r="I1506" i="4"/>
  <c r="K1505" i="4"/>
  <c r="I1505" i="4"/>
  <c r="K1504" i="4"/>
  <c r="I1504" i="4"/>
  <c r="K1503" i="4"/>
  <c r="I1503" i="4"/>
  <c r="K1502" i="4"/>
  <c r="I1502" i="4"/>
  <c r="K1501" i="4"/>
  <c r="I1501" i="4"/>
  <c r="K1500" i="4"/>
  <c r="I1500" i="4"/>
  <c r="K1498" i="4"/>
  <c r="J1498" i="4"/>
  <c r="K1497" i="4"/>
  <c r="J1497" i="4"/>
  <c r="K1496" i="4"/>
  <c r="J1496" i="4"/>
  <c r="K1495" i="4"/>
  <c r="J1495" i="4"/>
  <c r="K1494" i="4"/>
  <c r="J1494" i="4"/>
  <c r="K1493" i="4"/>
  <c r="J1493" i="4"/>
  <c r="I1492" i="4"/>
  <c r="K1491" i="4"/>
  <c r="I1491" i="4"/>
  <c r="K1490" i="4"/>
  <c r="I1490" i="4"/>
  <c r="J1428" i="4"/>
  <c r="I1437" i="4"/>
  <c r="I1409" i="4"/>
  <c r="I1403" i="4"/>
  <c r="K317" i="4"/>
  <c r="J317" i="4"/>
  <c r="K327" i="4"/>
  <c r="K330" i="4"/>
  <c r="D255" i="4"/>
  <c r="K298" i="4"/>
  <c r="I298" i="4"/>
  <c r="K297" i="4"/>
  <c r="I297" i="4"/>
  <c r="K296" i="4"/>
  <c r="I296" i="4"/>
  <c r="J2236" i="4" l="1"/>
  <c r="I3123" i="4"/>
  <c r="K2706" i="4"/>
  <c r="J2706" i="4"/>
  <c r="J859" i="1"/>
  <c r="J1503" i="4"/>
  <c r="J1505" i="4"/>
  <c r="J405" i="1"/>
  <c r="J744" i="1"/>
  <c r="K2724" i="4"/>
  <c r="I2235" i="4"/>
  <c r="Q613" i="1"/>
  <c r="J2724" i="4"/>
  <c r="J1492" i="4"/>
  <c r="J1490" i="4"/>
  <c r="J1500" i="4"/>
  <c r="K1492" i="4"/>
  <c r="J1504" i="4"/>
  <c r="J3131" i="4"/>
  <c r="K1499" i="4"/>
  <c r="K1489" i="4"/>
  <c r="I295" i="4"/>
  <c r="J1501" i="4"/>
  <c r="I1499" i="4"/>
  <c r="J1502" i="4"/>
  <c r="J1491" i="4"/>
  <c r="I1489" i="4"/>
  <c r="J1506" i="4"/>
  <c r="K295" i="4"/>
  <c r="J741" i="1"/>
  <c r="N404" i="1"/>
  <c r="P404" i="1"/>
  <c r="J296" i="4"/>
  <c r="J297" i="4"/>
  <c r="J298" i="4"/>
  <c r="J2235" i="4" l="1"/>
  <c r="N859" i="1"/>
  <c r="N855" i="1" s="1"/>
  <c r="J855" i="1"/>
  <c r="Q741" i="1"/>
  <c r="P744" i="1"/>
  <c r="Q744" i="1"/>
  <c r="Q406" i="1"/>
  <c r="Q405" i="1"/>
  <c r="N405" i="1"/>
  <c r="P405" i="1"/>
  <c r="P859" i="1"/>
  <c r="N744" i="1"/>
  <c r="J613" i="1"/>
  <c r="P613" i="1" s="1"/>
  <c r="J77" i="1"/>
  <c r="N77" i="1" s="1"/>
  <c r="J1499" i="4"/>
  <c r="Q404" i="1"/>
  <c r="J406" i="1"/>
  <c r="J1489" i="4"/>
  <c r="J2108" i="4"/>
  <c r="I2106" i="4"/>
  <c r="Q77" i="1"/>
  <c r="P741" i="1"/>
  <c r="N741" i="1"/>
  <c r="J295" i="4"/>
  <c r="P77" i="1" l="1"/>
  <c r="N613" i="1"/>
  <c r="P406" i="1"/>
  <c r="N406" i="1"/>
  <c r="J2106" i="4"/>
  <c r="J2610" i="4" l="1"/>
  <c r="K2609" i="4"/>
  <c r="J2609" i="4"/>
  <c r="J2608" i="4"/>
  <c r="K2607" i="4"/>
  <c r="J2607" i="4"/>
  <c r="J2606" i="4"/>
  <c r="K2605" i="4"/>
  <c r="J2605" i="4"/>
  <c r="I2604" i="4"/>
  <c r="K2603" i="4"/>
  <c r="J2603" i="4"/>
  <c r="K2602" i="4"/>
  <c r="J2602" i="4"/>
  <c r="K2601" i="4"/>
  <c r="J2601" i="4"/>
  <c r="K2600" i="4"/>
  <c r="J2600" i="4"/>
  <c r="K2599" i="4"/>
  <c r="J2599" i="4"/>
  <c r="K2598" i="4"/>
  <c r="J2598" i="4"/>
  <c r="I2597" i="4"/>
  <c r="J2546" i="4"/>
  <c r="K2545" i="4"/>
  <c r="J2545" i="4"/>
  <c r="J2539" i="4"/>
  <c r="K2538" i="4"/>
  <c r="J2538" i="4"/>
  <c r="J2537" i="4"/>
  <c r="J2535" i="4"/>
  <c r="K2534" i="4"/>
  <c r="J2534" i="4"/>
  <c r="J2533" i="4"/>
  <c r="K2532" i="4"/>
  <c r="J2532" i="4"/>
  <c r="J2530" i="4"/>
  <c r="K2529" i="4"/>
  <c r="J2529" i="4"/>
  <c r="I2528" i="4"/>
  <c r="J2531" i="4" l="1"/>
  <c r="K2531" i="4"/>
  <c r="J719" i="1"/>
  <c r="K2528" i="4"/>
  <c r="K2604" i="4"/>
  <c r="K2597" i="4"/>
  <c r="J702" i="1"/>
  <c r="J2597" i="4"/>
  <c r="J720" i="1"/>
  <c r="J2604" i="4"/>
  <c r="J703" i="1"/>
  <c r="J2528" i="4"/>
  <c r="J1316" i="4"/>
  <c r="K1315" i="4"/>
  <c r="J1315" i="4"/>
  <c r="J1314" i="4"/>
  <c r="K1313" i="4"/>
  <c r="J1313" i="4"/>
  <c r="K1312" i="4"/>
  <c r="J1312" i="4"/>
  <c r="K1311" i="4"/>
  <c r="J1311" i="4"/>
  <c r="K1310" i="4"/>
  <c r="J1310" i="4"/>
  <c r="I1309" i="4"/>
  <c r="K1308" i="4"/>
  <c r="I1308" i="4"/>
  <c r="K1307" i="4"/>
  <c r="I1307" i="4"/>
  <c r="K1306" i="4"/>
  <c r="I1306" i="4"/>
  <c r="J1344" i="4"/>
  <c r="K1343" i="4"/>
  <c r="J1343" i="4"/>
  <c r="J1342" i="4"/>
  <c r="K1341" i="4"/>
  <c r="J1341" i="4"/>
  <c r="J1340" i="4"/>
  <c r="K1339" i="4"/>
  <c r="J1339" i="4"/>
  <c r="J1338" i="4"/>
  <c r="K1337" i="4"/>
  <c r="J1337" i="4"/>
  <c r="I1336" i="4"/>
  <c r="K1254" i="4"/>
  <c r="J1252" i="4"/>
  <c r="J1250" i="4"/>
  <c r="J1248" i="4"/>
  <c r="J1246" i="4"/>
  <c r="J1245" i="4"/>
  <c r="K1244" i="4"/>
  <c r="J1244" i="4"/>
  <c r="J1243" i="4"/>
  <c r="I1237" i="4"/>
  <c r="K1236" i="4"/>
  <c r="J1236" i="4"/>
  <c r="I1235" i="4"/>
  <c r="K1234" i="4"/>
  <c r="J1234" i="4"/>
  <c r="I1232" i="4"/>
  <c r="K1216" i="4"/>
  <c r="K1211" i="4"/>
  <c r="I1212" i="4"/>
  <c r="K1213" i="4"/>
  <c r="I1214" i="4"/>
  <c r="K1209" i="4"/>
  <c r="A35" i="1"/>
  <c r="K74" i="4"/>
  <c r="K91" i="4"/>
  <c r="J90" i="4"/>
  <c r="K236" i="4"/>
  <c r="J238" i="4"/>
  <c r="N719" i="1" l="1"/>
  <c r="P703" i="1"/>
  <c r="P719" i="1"/>
  <c r="Q720" i="1"/>
  <c r="I1305" i="4"/>
  <c r="K1305" i="4"/>
  <c r="J343" i="1"/>
  <c r="J344" i="1"/>
  <c r="J345" i="1"/>
  <c r="I236" i="4"/>
  <c r="Q702" i="1"/>
  <c r="Q703" i="1"/>
  <c r="P702" i="1"/>
  <c r="N702" i="1"/>
  <c r="Q719" i="1"/>
  <c r="N703" i="1"/>
  <c r="N720" i="1"/>
  <c r="P720" i="1"/>
  <c r="K1309" i="4"/>
  <c r="J372" i="1"/>
  <c r="J366" i="1"/>
  <c r="K1336" i="4"/>
  <c r="J1214" i="4"/>
  <c r="J1212" i="4"/>
  <c r="J1232" i="4"/>
  <c r="K1232" i="4"/>
  <c r="K1235" i="4"/>
  <c r="I1209" i="4"/>
  <c r="I1213" i="4"/>
  <c r="I1211" i="4"/>
  <c r="J1235" i="4"/>
  <c r="J1237" i="4"/>
  <c r="J1309" i="4"/>
  <c r="J1336" i="4"/>
  <c r="J1306" i="4"/>
  <c r="J1307" i="4"/>
  <c r="J1308" i="4"/>
  <c r="K1237" i="4"/>
  <c r="N345" i="1" l="1"/>
  <c r="J365" i="1"/>
  <c r="N344" i="1"/>
  <c r="P345" i="1"/>
  <c r="P343" i="1"/>
  <c r="Q365" i="1"/>
  <c r="N343" i="1"/>
  <c r="Q366" i="1"/>
  <c r="J1213" i="4"/>
  <c r="P344" i="1"/>
  <c r="J1211" i="4"/>
  <c r="N366" i="1"/>
  <c r="P366" i="1"/>
  <c r="N372" i="1"/>
  <c r="P372" i="1"/>
  <c r="Q345" i="1"/>
  <c r="Q344" i="1"/>
  <c r="Q343" i="1"/>
  <c r="Q372" i="1"/>
  <c r="J1305" i="4"/>
  <c r="N365" i="1" l="1"/>
  <c r="P365" i="1"/>
  <c r="J102" i="4"/>
  <c r="J96" i="4"/>
  <c r="K232" i="4"/>
  <c r="K212" i="4"/>
  <c r="J212" i="4"/>
  <c r="K211" i="4"/>
  <c r="K209" i="4"/>
  <c r="I208" i="4"/>
  <c r="K204" i="4"/>
  <c r="J204" i="4"/>
  <c r="K203" i="4"/>
  <c r="J203" i="4"/>
  <c r="I202" i="4"/>
  <c r="K183" i="4"/>
  <c r="J179" i="4"/>
  <c r="K161" i="4"/>
  <c r="I83" i="4"/>
  <c r="K88" i="4"/>
  <c r="J88" i="4"/>
  <c r="K87" i="4"/>
  <c r="J87" i="4"/>
  <c r="K86" i="4"/>
  <c r="J86" i="4"/>
  <c r="J68" i="4" l="1"/>
  <c r="I67" i="4"/>
  <c r="I160" i="4"/>
  <c r="I182" i="4"/>
  <c r="I230" i="4"/>
  <c r="J34" i="1"/>
  <c r="J58" i="1"/>
  <c r="J56" i="1"/>
  <c r="K67" i="4"/>
  <c r="K202" i="4"/>
  <c r="K208" i="4"/>
  <c r="K230" i="4"/>
  <c r="K160" i="4"/>
  <c r="K182" i="4"/>
  <c r="J202" i="4"/>
  <c r="J208" i="4"/>
  <c r="J232" i="4"/>
  <c r="J183" i="4"/>
  <c r="J161" i="4"/>
  <c r="O830" i="1"/>
  <c r="M830" i="1"/>
  <c r="L830" i="1"/>
  <c r="K830" i="1"/>
  <c r="I830" i="1"/>
  <c r="H830" i="1"/>
  <c r="G830" i="1"/>
  <c r="A832" i="1"/>
  <c r="D3045" i="4"/>
  <c r="K3050" i="4"/>
  <c r="A3049" i="4"/>
  <c r="J934" i="4"/>
  <c r="J62" i="1" l="1"/>
  <c r="J45" i="1"/>
  <c r="J52" i="1"/>
  <c r="K3049" i="4"/>
  <c r="I3050" i="4"/>
  <c r="Q45" i="1"/>
  <c r="Q56" i="1"/>
  <c r="N34" i="1"/>
  <c r="P34" i="1"/>
  <c r="Q52" i="1"/>
  <c r="Q62" i="1"/>
  <c r="Q58" i="1"/>
  <c r="Q34" i="1"/>
  <c r="N56" i="1"/>
  <c r="P56" i="1"/>
  <c r="N58" i="1"/>
  <c r="P58" i="1"/>
  <c r="J182" i="4"/>
  <c r="J160" i="4"/>
  <c r="J230" i="4"/>
  <c r="J67" i="4"/>
  <c r="J3050" i="4" l="1"/>
  <c r="Q832" i="1"/>
  <c r="P45" i="1"/>
  <c r="N52" i="1"/>
  <c r="P62" i="1"/>
  <c r="N62" i="1"/>
  <c r="P52" i="1"/>
  <c r="N45" i="1"/>
  <c r="I3049" i="4"/>
  <c r="J3049" i="4"/>
  <c r="J832" i="1" l="1"/>
  <c r="P832" i="1" l="1"/>
  <c r="N832" i="1"/>
  <c r="I1180" i="4" l="1"/>
  <c r="I1179" i="4"/>
  <c r="K1178" i="4"/>
  <c r="J1178" i="4"/>
  <c r="I1154" i="4"/>
  <c r="I1153" i="4"/>
  <c r="K1152" i="4"/>
  <c r="J1152" i="4"/>
  <c r="I1151" i="4"/>
  <c r="I1150" i="4"/>
  <c r="K1149" i="4"/>
  <c r="J1149" i="4"/>
  <c r="J22" i="4"/>
  <c r="J1150" i="4" l="1"/>
  <c r="J1153" i="4"/>
  <c r="J1180" i="4"/>
  <c r="K1177" i="4"/>
  <c r="J1179" i="4"/>
  <c r="I1177" i="4"/>
  <c r="K1148" i="4"/>
  <c r="J1151" i="4"/>
  <c r="J1154" i="4"/>
  <c r="I1148" i="4"/>
  <c r="J1177" i="4" l="1"/>
  <c r="J1148" i="4"/>
  <c r="K1917" i="4" l="1"/>
  <c r="Q523" i="1" l="1"/>
  <c r="J1918" i="4"/>
  <c r="J1919" i="4" l="1"/>
  <c r="I1917" i="4"/>
  <c r="J523" i="1" l="1"/>
  <c r="J1917" i="4"/>
  <c r="N523" i="1" l="1"/>
  <c r="P523" i="1"/>
  <c r="J399" i="4"/>
  <c r="J428" i="4"/>
  <c r="O119" i="1" l="1"/>
  <c r="K463" i="4" l="1"/>
  <c r="K164" i="4"/>
  <c r="K143" i="4"/>
  <c r="K2238" i="4" l="1"/>
  <c r="J1078" i="4"/>
  <c r="J740" i="4" l="1"/>
  <c r="J696" i="4"/>
  <c r="J611" i="4"/>
  <c r="J605" i="4"/>
  <c r="J602" i="4"/>
  <c r="J593" i="4"/>
  <c r="J570" i="4"/>
  <c r="J539" i="4"/>
  <c r="J463" i="4"/>
  <c r="J282" i="4"/>
  <c r="J51" i="4" l="1"/>
  <c r="J28" i="4"/>
  <c r="I2834" i="4" l="1"/>
  <c r="I2833" i="4"/>
  <c r="I2832" i="4"/>
  <c r="I2831" i="4"/>
  <c r="I2830" i="4"/>
  <c r="I2835" i="4"/>
  <c r="I2858" i="4"/>
  <c r="I2020" i="4"/>
  <c r="I2019" i="4"/>
  <c r="K2018" i="4"/>
  <c r="K1953" i="4"/>
  <c r="K1926" i="4"/>
  <c r="K1856" i="4"/>
  <c r="I1843" i="4"/>
  <c r="K1842" i="4"/>
  <c r="I1700" i="4"/>
  <c r="K1699" i="4"/>
  <c r="I1646" i="4"/>
  <c r="I1645" i="4"/>
  <c r="I1644" i="4"/>
  <c r="K1643" i="4"/>
  <c r="K1578" i="4"/>
  <c r="I1699" i="4" l="1"/>
  <c r="J1645" i="4"/>
  <c r="J2830" i="4"/>
  <c r="J1644" i="4"/>
  <c r="J1579" i="4"/>
  <c r="J2019" i="4"/>
  <c r="J1700" i="4"/>
  <c r="Q528" i="1"/>
  <c r="Q498" i="1"/>
  <c r="J1928" i="4"/>
  <c r="Q551" i="1"/>
  <c r="J2020" i="4"/>
  <c r="I2018" i="4"/>
  <c r="Q430" i="1"/>
  <c r="J1580" i="4"/>
  <c r="I1578" i="4"/>
  <c r="Q450" i="1"/>
  <c r="J1646" i="4"/>
  <c r="Q501" i="1"/>
  <c r="J1858" i="4"/>
  <c r="I1856" i="4"/>
  <c r="Q463" i="1"/>
  <c r="I1844" i="4"/>
  <c r="J1927" i="4"/>
  <c r="Q535" i="1"/>
  <c r="J1955" i="4"/>
  <c r="I1953" i="4"/>
  <c r="I1926" i="4"/>
  <c r="J1843" i="4"/>
  <c r="I1643" i="4"/>
  <c r="J463" i="1" l="1"/>
  <c r="J1578" i="4"/>
  <c r="J2018" i="4"/>
  <c r="J1856" i="4"/>
  <c r="J1643" i="4"/>
  <c r="J1699" i="4"/>
  <c r="J1844" i="4"/>
  <c r="J501" i="1"/>
  <c r="J430" i="1"/>
  <c r="J551" i="1"/>
  <c r="J1926" i="4"/>
  <c r="J450" i="1"/>
  <c r="I1842" i="4"/>
  <c r="J528" i="1"/>
  <c r="J1953" i="4"/>
  <c r="J535" i="1"/>
  <c r="N463" i="1" l="1"/>
  <c r="P463" i="1"/>
  <c r="J1842" i="4"/>
  <c r="P528" i="1"/>
  <c r="N528" i="1"/>
  <c r="J498" i="1"/>
  <c r="N450" i="1"/>
  <c r="P450" i="1"/>
  <c r="N551" i="1"/>
  <c r="P551" i="1"/>
  <c r="N430" i="1"/>
  <c r="P430" i="1"/>
  <c r="N535" i="1"/>
  <c r="P535" i="1"/>
  <c r="N501" i="1"/>
  <c r="P501" i="1"/>
  <c r="P498" i="1" l="1"/>
  <c r="N498" i="1"/>
  <c r="K844" i="4" l="1"/>
  <c r="K843" i="4" l="1"/>
  <c r="I844" i="4"/>
  <c r="I843" i="4" l="1"/>
  <c r="Q211" i="1"/>
  <c r="J844" i="4"/>
  <c r="J843" i="4" l="1"/>
  <c r="J211" i="1"/>
  <c r="O874" i="1"/>
  <c r="M874" i="1"/>
  <c r="L874" i="1"/>
  <c r="K874" i="1"/>
  <c r="I874" i="1"/>
  <c r="H874" i="1"/>
  <c r="G874" i="1"/>
  <c r="A876" i="1"/>
  <c r="I3260" i="4"/>
  <c r="I3259" i="4"/>
  <c r="K3258" i="4"/>
  <c r="I3252" i="4"/>
  <c r="I3251" i="4"/>
  <c r="I3250" i="4"/>
  <c r="I3249" i="4"/>
  <c r="K3248" i="4"/>
  <c r="I3243" i="4"/>
  <c r="I3242" i="4"/>
  <c r="I3241" i="4"/>
  <c r="I3240" i="4"/>
  <c r="I3239" i="4"/>
  <c r="I3238" i="4"/>
  <c r="K3237" i="4"/>
  <c r="I3221" i="4"/>
  <c r="I3220" i="4"/>
  <c r="I3219" i="4"/>
  <c r="I3218" i="4"/>
  <c r="I3217" i="4"/>
  <c r="I3216" i="4"/>
  <c r="K3215" i="4"/>
  <c r="I3207" i="4"/>
  <c r="I3206" i="4"/>
  <c r="I3205" i="4"/>
  <c r="I3204" i="4"/>
  <c r="I3203" i="4"/>
  <c r="I3202" i="4"/>
  <c r="K3201" i="4"/>
  <c r="I3200" i="4"/>
  <c r="I3199" i="4"/>
  <c r="I3198" i="4"/>
  <c r="I3197" i="4"/>
  <c r="I3196" i="4"/>
  <c r="I3195" i="4"/>
  <c r="K3194" i="4"/>
  <c r="I3193" i="4"/>
  <c r="I3192" i="4"/>
  <c r="I3191" i="4"/>
  <c r="I3190" i="4"/>
  <c r="I3189" i="4"/>
  <c r="I3188" i="4"/>
  <c r="K3187" i="4"/>
  <c r="I3186" i="4"/>
  <c r="I3185" i="4"/>
  <c r="K3184" i="4"/>
  <c r="I3183" i="4"/>
  <c r="I3182" i="4"/>
  <c r="K3181" i="4"/>
  <c r="A3181" i="4"/>
  <c r="A3184" i="4" s="1"/>
  <c r="A3187" i="4" s="1"/>
  <c r="A3194" i="4" s="1"/>
  <c r="A3201" i="4" s="1"/>
  <c r="A3208" i="4" s="1"/>
  <c r="A3215" i="4" s="1"/>
  <c r="I3180" i="4"/>
  <c r="I3179" i="4"/>
  <c r="K3178" i="4"/>
  <c r="M628" i="1"/>
  <c r="L628" i="1"/>
  <c r="K628" i="1"/>
  <c r="I628" i="1"/>
  <c r="H628" i="1"/>
  <c r="G628" i="1"/>
  <c r="K2399" i="4"/>
  <c r="I2401" i="4"/>
  <c r="I2400" i="4"/>
  <c r="I2397" i="4"/>
  <c r="K2396" i="4"/>
  <c r="K2388" i="4"/>
  <c r="K2381" i="4"/>
  <c r="A877" i="1" l="1"/>
  <c r="A3222" i="4"/>
  <c r="A3225" i="4" s="1"/>
  <c r="A3227" i="4" s="1"/>
  <c r="A3229" i="4" s="1"/>
  <c r="A3233" i="4" s="1"/>
  <c r="A3237" i="4" s="1"/>
  <c r="A3244" i="4" s="1"/>
  <c r="A3248" i="4" s="1"/>
  <c r="A3253" i="4" s="1"/>
  <c r="A3258" i="4" s="1"/>
  <c r="A3261" i="4" s="1"/>
  <c r="P211" i="1"/>
  <c r="N211" i="1"/>
  <c r="J2383" i="4"/>
  <c r="J2385" i="4"/>
  <c r="J2387" i="4"/>
  <c r="J2391" i="4"/>
  <c r="J3180" i="4"/>
  <c r="J3252" i="4"/>
  <c r="J2400" i="4"/>
  <c r="J2402" i="4"/>
  <c r="J3182" i="4"/>
  <c r="J3186" i="4"/>
  <c r="J3188" i="4"/>
  <c r="J3190" i="4"/>
  <c r="J3192" i="4"/>
  <c r="J3196" i="4"/>
  <c r="J3198" i="4"/>
  <c r="J3200" i="4"/>
  <c r="J3202" i="4"/>
  <c r="J3204" i="4"/>
  <c r="J3206" i="4"/>
  <c r="Q652" i="1"/>
  <c r="Q875" i="1"/>
  <c r="Q876" i="1"/>
  <c r="Q878" i="1"/>
  <c r="Q880" i="1"/>
  <c r="Q890" i="1"/>
  <c r="Q893" i="1"/>
  <c r="Q653" i="1"/>
  <c r="Q877" i="1"/>
  <c r="Q879" i="1"/>
  <c r="Q882" i="1"/>
  <c r="Q888" i="1"/>
  <c r="Q892" i="1"/>
  <c r="J3251" i="4"/>
  <c r="I3258" i="4"/>
  <c r="J3260" i="4"/>
  <c r="J3197" i="4"/>
  <c r="J3241" i="4"/>
  <c r="J3220" i="4"/>
  <c r="J3238" i="4"/>
  <c r="J3240" i="4"/>
  <c r="J2394" i="4"/>
  <c r="J3185" i="4"/>
  <c r="I3187" i="4"/>
  <c r="J3189" i="4"/>
  <c r="J3216" i="4"/>
  <c r="J3218" i="4"/>
  <c r="J3219" i="4"/>
  <c r="J3242" i="4"/>
  <c r="J3250" i="4"/>
  <c r="J3259" i="4"/>
  <c r="I3181" i="4"/>
  <c r="J3183" i="4"/>
  <c r="J3193" i="4"/>
  <c r="J3205" i="4"/>
  <c r="I3215" i="4"/>
  <c r="J3217" i="4"/>
  <c r="J3221" i="4"/>
  <c r="I3237" i="4"/>
  <c r="J3239" i="4"/>
  <c r="J3243" i="4"/>
  <c r="J3249" i="4"/>
  <c r="I3248" i="4"/>
  <c r="J2397" i="4"/>
  <c r="J2398" i="4"/>
  <c r="J3179" i="4"/>
  <c r="J3191" i="4"/>
  <c r="J3195" i="4"/>
  <c r="J3199" i="4"/>
  <c r="I3201" i="4"/>
  <c r="J3203" i="4"/>
  <c r="J3207" i="4"/>
  <c r="I3178" i="4"/>
  <c r="I3184" i="4"/>
  <c r="I3194" i="4"/>
  <c r="J2393" i="4"/>
  <c r="K2395" i="4"/>
  <c r="I2396" i="4"/>
  <c r="J2401" i="4"/>
  <c r="J2386" i="4"/>
  <c r="J2390" i="4"/>
  <c r="I2399" i="4"/>
  <c r="J2384" i="4"/>
  <c r="J2392" i="4"/>
  <c r="I2381" i="4"/>
  <c r="A878" i="1" l="1"/>
  <c r="A879" i="1" s="1"/>
  <c r="A880" i="1" s="1"/>
  <c r="A881" i="1" s="1"/>
  <c r="A882" i="1" s="1"/>
  <c r="J892" i="1"/>
  <c r="J879" i="1"/>
  <c r="J652" i="1"/>
  <c r="P652" i="1" s="1"/>
  <c r="J877" i="1"/>
  <c r="N877" i="1" s="1"/>
  <c r="J880" i="1"/>
  <c r="J876" i="1"/>
  <c r="N876" i="1" s="1"/>
  <c r="J3178" i="4"/>
  <c r="J3181" i="4"/>
  <c r="J2399" i="4"/>
  <c r="J3258" i="4"/>
  <c r="J3184" i="4"/>
  <c r="J3237" i="4"/>
  <c r="J2388" i="4"/>
  <c r="J3187" i="4"/>
  <c r="J3248" i="4"/>
  <c r="J875" i="1"/>
  <c r="J893" i="1"/>
  <c r="J878" i="1"/>
  <c r="J3201" i="4"/>
  <c r="J3194" i="4"/>
  <c r="J890" i="1"/>
  <c r="J888" i="1"/>
  <c r="J3215" i="4"/>
  <c r="J882" i="1"/>
  <c r="J2381" i="4"/>
  <c r="J653" i="1"/>
  <c r="J2396" i="4"/>
  <c r="I2395" i="4"/>
  <c r="A883" i="1" l="1"/>
  <c r="P877" i="1"/>
  <c r="P892" i="1"/>
  <c r="P880" i="1"/>
  <c r="N880" i="1"/>
  <c r="N892" i="1"/>
  <c r="N879" i="1"/>
  <c r="P879" i="1"/>
  <c r="N652" i="1"/>
  <c r="P876" i="1"/>
  <c r="J2395" i="4"/>
  <c r="N888" i="1"/>
  <c r="P888" i="1"/>
  <c r="N890" i="1"/>
  <c r="P890" i="1"/>
  <c r="N882" i="1"/>
  <c r="P882" i="1"/>
  <c r="N878" i="1"/>
  <c r="P878" i="1"/>
  <c r="P893" i="1"/>
  <c r="N893" i="1"/>
  <c r="P875" i="1"/>
  <c r="N875" i="1"/>
  <c r="N653" i="1"/>
  <c r="P653" i="1"/>
  <c r="A884" i="1" l="1"/>
  <c r="A885" i="1" l="1"/>
  <c r="A886" i="1" l="1"/>
  <c r="A887" i="1" l="1"/>
  <c r="A888" i="1" l="1"/>
  <c r="A889" i="1" s="1"/>
  <c r="A890" i="1" s="1"/>
  <c r="A891" i="1" s="1"/>
  <c r="A892" i="1" s="1"/>
  <c r="K2376" i="4" l="1"/>
  <c r="K2302" i="4"/>
  <c r="K2301" i="4"/>
  <c r="K2300" i="4"/>
  <c r="I2302" i="4" l="1"/>
  <c r="I2301" i="4"/>
  <c r="Q651" i="1"/>
  <c r="J2378" i="4"/>
  <c r="J2380" i="4"/>
  <c r="J2377" i="4"/>
  <c r="J2379" i="4"/>
  <c r="I2300" i="4"/>
  <c r="K2299" i="4"/>
  <c r="I2376" i="4"/>
  <c r="J2302" i="4"/>
  <c r="J2301" i="4" l="1"/>
  <c r="I2299" i="4"/>
  <c r="Q634" i="1"/>
  <c r="J2300" i="4"/>
  <c r="J651" i="1"/>
  <c r="J2376" i="4"/>
  <c r="A893" i="1" l="1"/>
  <c r="J2299" i="4"/>
  <c r="J634" i="1"/>
  <c r="I2322" i="4"/>
  <c r="K2321" i="4"/>
  <c r="I2319" i="4"/>
  <c r="K2318" i="4"/>
  <c r="I2316" i="4"/>
  <c r="K2315" i="4"/>
  <c r="K2307" i="4"/>
  <c r="K2343" i="4"/>
  <c r="I2318" i="4" l="1"/>
  <c r="I2315" i="4"/>
  <c r="I2321" i="4"/>
  <c r="Q636" i="1"/>
  <c r="Q642" i="1"/>
  <c r="J2348" i="4"/>
  <c r="K2314" i="4"/>
  <c r="J2320" i="4"/>
  <c r="J2345" i="4"/>
  <c r="J2347" i="4"/>
  <c r="J2316" i="4"/>
  <c r="J2319" i="4"/>
  <c r="J2322" i="4"/>
  <c r="J2317" i="4"/>
  <c r="J2323" i="4"/>
  <c r="J2312" i="4"/>
  <c r="J2346" i="4"/>
  <c r="I2307" i="4"/>
  <c r="J2310" i="4"/>
  <c r="J2309" i="4"/>
  <c r="J2311" i="4"/>
  <c r="J2313" i="4"/>
  <c r="J2349" i="4"/>
  <c r="A290" i="1"/>
  <c r="K1106" i="4"/>
  <c r="K1105" i="4"/>
  <c r="K1104" i="4"/>
  <c r="K1100" i="4"/>
  <c r="K1101" i="4"/>
  <c r="K1102" i="4"/>
  <c r="K1123" i="4"/>
  <c r="K1122" i="4"/>
  <c r="K1121" i="4"/>
  <c r="K1119" i="4"/>
  <c r="K1118" i="4"/>
  <c r="K1117" i="4"/>
  <c r="K1115" i="4"/>
  <c r="K1114" i="4"/>
  <c r="K1098" i="4"/>
  <c r="K1097" i="4"/>
  <c r="K1096" i="4"/>
  <c r="K1084" i="4"/>
  <c r="A1084" i="4"/>
  <c r="A1087" i="4" s="1"/>
  <c r="J2318" i="4" l="1"/>
  <c r="I2314" i="4"/>
  <c r="J2321" i="4"/>
  <c r="J2315" i="4"/>
  <c r="I1084" i="4"/>
  <c r="J642" i="1"/>
  <c r="Q290" i="1"/>
  <c r="A291" i="1"/>
  <c r="J636" i="1"/>
  <c r="K1103" i="4"/>
  <c r="J2343" i="4"/>
  <c r="K1116" i="4"/>
  <c r="K1120" i="4"/>
  <c r="J2307" i="4"/>
  <c r="K1099" i="4"/>
  <c r="K1095" i="4"/>
  <c r="K1113" i="4"/>
  <c r="J1117" i="4"/>
  <c r="J1114" i="4"/>
  <c r="J1115" i="4"/>
  <c r="J1121" i="4"/>
  <c r="J1086" i="4"/>
  <c r="J1105" i="4" l="1"/>
  <c r="J1102" i="4"/>
  <c r="J1106" i="4"/>
  <c r="J1101" i="4"/>
  <c r="J1098" i="4"/>
  <c r="J1096" i="4"/>
  <c r="I1103" i="4"/>
  <c r="J1104" i="4"/>
  <c r="I1120" i="4"/>
  <c r="J2314" i="4"/>
  <c r="J1123" i="4"/>
  <c r="J1122" i="4"/>
  <c r="I1095" i="4"/>
  <c r="J1118" i="4"/>
  <c r="J1097" i="4"/>
  <c r="J1119" i="4"/>
  <c r="I1116" i="4"/>
  <c r="J290" i="1"/>
  <c r="Q298" i="1"/>
  <c r="Q300" i="1"/>
  <c r="Q295" i="1"/>
  <c r="J1084" i="4"/>
  <c r="Q293" i="1"/>
  <c r="Q299" i="1"/>
  <c r="J298" i="1"/>
  <c r="J1100" i="4"/>
  <c r="I1099" i="4"/>
  <c r="J1113" i="4"/>
  <c r="J295" i="1" l="1"/>
  <c r="J1103" i="4"/>
  <c r="N290" i="1"/>
  <c r="J300" i="1"/>
  <c r="J1116" i="4"/>
  <c r="J299" i="1"/>
  <c r="J293" i="1"/>
  <c r="J1120" i="4"/>
  <c r="J1095" i="4"/>
  <c r="P290" i="1"/>
  <c r="J1099" i="4"/>
  <c r="N298" i="1"/>
  <c r="P298" i="1"/>
  <c r="I3048" i="4"/>
  <c r="I3047" i="4"/>
  <c r="K3046" i="4"/>
  <c r="N295" i="1" l="1"/>
  <c r="N300" i="1"/>
  <c r="P295" i="1"/>
  <c r="P300" i="1"/>
  <c r="P293" i="1"/>
  <c r="N299" i="1"/>
  <c r="P299" i="1"/>
  <c r="N293" i="1"/>
  <c r="Q831" i="1"/>
  <c r="I3046" i="4"/>
  <c r="J3047" i="4"/>
  <c r="J3048" i="4"/>
  <c r="I3045" i="4" l="1"/>
  <c r="J831" i="1"/>
  <c r="J3046" i="4"/>
  <c r="P831" i="1" l="1"/>
  <c r="J830" i="1"/>
  <c r="N831" i="1"/>
  <c r="N830" i="1" l="1"/>
  <c r="D44" i="4"/>
  <c r="K1204" i="4"/>
  <c r="K1203" i="4"/>
  <c r="K1201" i="4"/>
  <c r="I2494" i="4"/>
  <c r="I2493" i="4"/>
  <c r="K2492" i="4"/>
  <c r="A330" i="1"/>
  <c r="O328" i="1"/>
  <c r="M328" i="1"/>
  <c r="L328" i="1"/>
  <c r="K328" i="1"/>
  <c r="I328" i="1"/>
  <c r="H328" i="1"/>
  <c r="G328" i="1"/>
  <c r="D1193" i="4"/>
  <c r="K1198" i="4"/>
  <c r="A1197" i="4"/>
  <c r="K1194" i="4"/>
  <c r="K680" i="4"/>
  <c r="K678" i="4"/>
  <c r="K676" i="4"/>
  <c r="K679" i="4"/>
  <c r="K677" i="4"/>
  <c r="K675" i="4"/>
  <c r="K672" i="4" l="1"/>
  <c r="J1196" i="4"/>
  <c r="J2493" i="4"/>
  <c r="J1195" i="4"/>
  <c r="Q329" i="1"/>
  <c r="Q689" i="1"/>
  <c r="K1197" i="4"/>
  <c r="K1200" i="4"/>
  <c r="J1202" i="4"/>
  <c r="I1194" i="4"/>
  <c r="I2492" i="4"/>
  <c r="J2494" i="4"/>
  <c r="I2489" i="4" l="1"/>
  <c r="J1204" i="4"/>
  <c r="J1194" i="4"/>
  <c r="J1198" i="4"/>
  <c r="I1197" i="4"/>
  <c r="J329" i="1"/>
  <c r="N329" i="1" s="1"/>
  <c r="J2492" i="4"/>
  <c r="Q330" i="1"/>
  <c r="Q332" i="1"/>
  <c r="J1203" i="4"/>
  <c r="I1200" i="4"/>
  <c r="J689" i="1"/>
  <c r="J687" i="1" s="1"/>
  <c r="P689" i="1" l="1"/>
  <c r="I1199" i="4"/>
  <c r="I1193" i="4"/>
  <c r="J1197" i="4"/>
  <c r="J330" i="1"/>
  <c r="J328" i="1" s="1"/>
  <c r="P329" i="1"/>
  <c r="J1200" i="4"/>
  <c r="J332" i="1"/>
  <c r="J331" i="1" s="1"/>
  <c r="N330" i="1" l="1"/>
  <c r="P330" i="1"/>
  <c r="N332" i="1"/>
  <c r="P332" i="1"/>
  <c r="N331" i="1" l="1"/>
  <c r="N328" i="1"/>
  <c r="K528" i="4"/>
  <c r="K418" i="4"/>
  <c r="G119" i="1" l="1"/>
  <c r="K832" i="4"/>
  <c r="K885" i="4"/>
  <c r="K816" i="4"/>
  <c r="K792" i="4"/>
  <c r="K743" i="4"/>
  <c r="K535" i="4"/>
  <c r="J535" i="4"/>
  <c r="K534" i="4"/>
  <c r="J534" i="4"/>
  <c r="K533" i="4"/>
  <c r="J533" i="4"/>
  <c r="K532" i="4"/>
  <c r="J532" i="4"/>
  <c r="K531" i="4"/>
  <c r="K530" i="4"/>
  <c r="J530" i="4"/>
  <c r="K529" i="4"/>
  <c r="J529" i="4"/>
  <c r="K527" i="4"/>
  <c r="J527" i="4"/>
  <c r="I526" i="4"/>
  <c r="K540" i="4"/>
  <c r="K539" i="4"/>
  <c r="K538" i="4"/>
  <c r="K537" i="4"/>
  <c r="K815" i="4" l="1"/>
  <c r="J818" i="4"/>
  <c r="K791" i="4"/>
  <c r="K884" i="4"/>
  <c r="K831" i="4"/>
  <c r="K742" i="4"/>
  <c r="I742" i="4"/>
  <c r="K526" i="4"/>
  <c r="J526" i="4"/>
  <c r="J128" i="1"/>
  <c r="K536" i="4"/>
  <c r="J540" i="4"/>
  <c r="I536" i="4"/>
  <c r="J538" i="4"/>
  <c r="M119" i="1"/>
  <c r="L119" i="1"/>
  <c r="K119" i="1"/>
  <c r="I119" i="1"/>
  <c r="H119" i="1"/>
  <c r="K491" i="4"/>
  <c r="J491" i="4"/>
  <c r="K490" i="4"/>
  <c r="J490" i="4"/>
  <c r="K489" i="4"/>
  <c r="J489" i="4"/>
  <c r="K488" i="4"/>
  <c r="J488" i="4"/>
  <c r="K487" i="4"/>
  <c r="K486" i="4"/>
  <c r="J486" i="4"/>
  <c r="K485" i="4"/>
  <c r="J485" i="4"/>
  <c r="K484" i="4"/>
  <c r="K483" i="4"/>
  <c r="J483" i="4"/>
  <c r="I482" i="4"/>
  <c r="K422" i="4"/>
  <c r="J422" i="4"/>
  <c r="K421" i="4"/>
  <c r="K420" i="4"/>
  <c r="J420" i="4"/>
  <c r="K419" i="4"/>
  <c r="J419" i="4"/>
  <c r="K417" i="4"/>
  <c r="J417" i="4"/>
  <c r="K386" i="4"/>
  <c r="K380" i="4"/>
  <c r="I791" i="4" l="1"/>
  <c r="J885" i="4"/>
  <c r="Q202" i="1"/>
  <c r="J832" i="4"/>
  <c r="J792" i="4"/>
  <c r="I884" i="4"/>
  <c r="J743" i="4"/>
  <c r="P128" i="1"/>
  <c r="I380" i="4"/>
  <c r="K416" i="4"/>
  <c r="J381" i="4"/>
  <c r="Q181" i="1"/>
  <c r="Q207" i="1"/>
  <c r="Q199" i="1"/>
  <c r="Q98" i="1"/>
  <c r="Q129" i="1"/>
  <c r="Q128" i="1"/>
  <c r="Q223" i="1"/>
  <c r="J416" i="4"/>
  <c r="J816" i="4"/>
  <c r="N128" i="1"/>
  <c r="J181" i="1"/>
  <c r="J536" i="4"/>
  <c r="J482" i="4"/>
  <c r="J129" i="1"/>
  <c r="K379" i="4"/>
  <c r="J120" i="1"/>
  <c r="J382" i="4"/>
  <c r="J387" i="4"/>
  <c r="K482" i="4"/>
  <c r="K372" i="4"/>
  <c r="J372" i="4"/>
  <c r="K371" i="4"/>
  <c r="J371" i="4"/>
  <c r="K370" i="4"/>
  <c r="J370" i="4"/>
  <c r="K369" i="4"/>
  <c r="J369" i="4"/>
  <c r="K367" i="4"/>
  <c r="J367" i="4"/>
  <c r="I366" i="4"/>
  <c r="J207" i="1" l="1"/>
  <c r="J199" i="1"/>
  <c r="J884" i="4"/>
  <c r="J831" i="4"/>
  <c r="J791" i="4"/>
  <c r="J742" i="4"/>
  <c r="I379" i="4"/>
  <c r="J223" i="1"/>
  <c r="J380" i="4"/>
  <c r="P181" i="1"/>
  <c r="J202" i="1"/>
  <c r="J98" i="1"/>
  <c r="K366" i="4"/>
  <c r="Q96" i="1"/>
  <c r="Q120" i="1"/>
  <c r="J386" i="4"/>
  <c r="J815" i="4"/>
  <c r="P120" i="1"/>
  <c r="N181" i="1"/>
  <c r="J366" i="4"/>
  <c r="N129" i="1"/>
  <c r="P129" i="1"/>
  <c r="N120" i="1"/>
  <c r="H11" i="1"/>
  <c r="N207" i="1" l="1"/>
  <c r="P207" i="1"/>
  <c r="P199" i="1"/>
  <c r="N199" i="1"/>
  <c r="J96" i="1"/>
  <c r="J379" i="4"/>
  <c r="P223" i="1"/>
  <c r="N223" i="1"/>
  <c r="N202" i="1"/>
  <c r="P202" i="1"/>
  <c r="P98" i="1"/>
  <c r="N98" i="1"/>
  <c r="I2898" i="4"/>
  <c r="I2897" i="4"/>
  <c r="K2896" i="4"/>
  <c r="K766" i="4"/>
  <c r="K670" i="4"/>
  <c r="K671" i="4"/>
  <c r="J671" i="4"/>
  <c r="K669" i="4"/>
  <c r="J669" i="4"/>
  <c r="I668" i="4"/>
  <c r="K628" i="4"/>
  <c r="N96" i="1" l="1"/>
  <c r="P96" i="1"/>
  <c r="I2896" i="4"/>
  <c r="K2895" i="4"/>
  <c r="Q190" i="1"/>
  <c r="Q792" i="1"/>
  <c r="Q155" i="1"/>
  <c r="J668" i="4"/>
  <c r="J769" i="4"/>
  <c r="J773" i="4"/>
  <c r="J2898" i="4"/>
  <c r="J2897" i="4"/>
  <c r="K668" i="4"/>
  <c r="J161" i="1"/>
  <c r="I766" i="4"/>
  <c r="J768" i="4"/>
  <c r="J770" i="4"/>
  <c r="J772" i="4"/>
  <c r="J774" i="4"/>
  <c r="J629" i="4"/>
  <c r="I2895" i="4" l="1"/>
  <c r="J2896" i="4"/>
  <c r="P161" i="1"/>
  <c r="Q161" i="1"/>
  <c r="J630" i="4"/>
  <c r="N161" i="1"/>
  <c r="J792" i="1"/>
  <c r="J190" i="1"/>
  <c r="J766" i="4"/>
  <c r="J2895" i="4" l="1"/>
  <c r="J628" i="4"/>
  <c r="N792" i="1"/>
  <c r="J155" i="1"/>
  <c r="P792" i="1"/>
  <c r="N190" i="1"/>
  <c r="P190" i="1"/>
  <c r="P155" i="1" l="1"/>
  <c r="N155" i="1"/>
  <c r="K1381" i="4"/>
  <c r="K1360" i="4"/>
  <c r="J1358" i="4"/>
  <c r="K1356" i="4"/>
  <c r="K1322" i="4"/>
  <c r="K1318" i="4"/>
  <c r="J1298" i="4" l="1"/>
  <c r="Q374" i="1"/>
  <c r="I1356" i="4"/>
  <c r="J1357" i="4"/>
  <c r="J374" i="1" l="1"/>
  <c r="J1356" i="4"/>
  <c r="K201" i="4"/>
  <c r="J201" i="4"/>
  <c r="K199" i="4"/>
  <c r="K198" i="4"/>
  <c r="J198" i="4"/>
  <c r="K196" i="4"/>
  <c r="K195" i="4"/>
  <c r="J195" i="4"/>
  <c r="K193" i="4"/>
  <c r="K180" i="4"/>
  <c r="I180" i="4"/>
  <c r="N374" i="1" l="1"/>
  <c r="J196" i="4"/>
  <c r="P374" i="1"/>
  <c r="K192" i="4"/>
  <c r="I192" i="4"/>
  <c r="J199" i="4"/>
  <c r="J193" i="4"/>
  <c r="J55" i="1" l="1"/>
  <c r="Q55" i="1"/>
  <c r="J192" i="4"/>
  <c r="N55" i="1" l="1"/>
  <c r="P55" i="1"/>
  <c r="O838" i="1"/>
  <c r="I838" i="1"/>
  <c r="H838" i="1"/>
  <c r="G838" i="1"/>
  <c r="A840" i="1"/>
  <c r="A841" i="1" s="1"/>
  <c r="A842" i="1" s="1"/>
  <c r="A843" i="1" s="1"/>
  <c r="A844" i="1" s="1"/>
  <c r="A845" i="1" s="1"/>
  <c r="I3119" i="4"/>
  <c r="I3118" i="4"/>
  <c r="K3117" i="4"/>
  <c r="I3111" i="4"/>
  <c r="I3110" i="4"/>
  <c r="K3109" i="4"/>
  <c r="I3108" i="4"/>
  <c r="I3107" i="4"/>
  <c r="K3106" i="4"/>
  <c r="I3094" i="4"/>
  <c r="I3093" i="4"/>
  <c r="I3072" i="4"/>
  <c r="I3071" i="4"/>
  <c r="K3070" i="4"/>
  <c r="A3070" i="4"/>
  <c r="I3069" i="4"/>
  <c r="I3068" i="4"/>
  <c r="I3067" i="4"/>
  <c r="I3066" i="4"/>
  <c r="K3065" i="4"/>
  <c r="A580" i="1"/>
  <c r="K2224" i="4"/>
  <c r="K2222" i="4"/>
  <c r="K2221" i="4"/>
  <c r="K2214" i="4"/>
  <c r="K2207" i="4"/>
  <c r="I2206" i="4"/>
  <c r="I2205" i="4"/>
  <c r="K2204" i="4"/>
  <c r="K2202" i="4"/>
  <c r="K2199" i="4"/>
  <c r="K2197" i="4"/>
  <c r="K2192" i="4"/>
  <c r="K2189" i="4"/>
  <c r="K2186" i="4"/>
  <c r="K2183" i="4"/>
  <c r="K2180" i="4"/>
  <c r="K2177" i="4"/>
  <c r="K2172" i="4"/>
  <c r="K2167" i="4"/>
  <c r="K2162" i="4"/>
  <c r="K2157" i="4"/>
  <c r="I2156" i="4"/>
  <c r="I2155" i="4"/>
  <c r="K2154" i="4"/>
  <c r="K2153" i="4"/>
  <c r="I2151" i="4"/>
  <c r="I2150" i="4"/>
  <c r="I2149" i="4"/>
  <c r="I2148" i="4"/>
  <c r="K2147" i="4"/>
  <c r="K2144" i="4"/>
  <c r="A2144" i="4"/>
  <c r="A2147" i="4" s="1"/>
  <c r="A2152" i="4" s="1"/>
  <c r="A2154" i="4" s="1"/>
  <c r="A2157" i="4" s="1"/>
  <c r="A2159" i="4" s="1"/>
  <c r="A2162" i="4" s="1"/>
  <c r="K2143" i="4"/>
  <c r="K2142" i="4"/>
  <c r="A846" i="1" l="1"/>
  <c r="A847" i="1" s="1"/>
  <c r="A848" i="1" s="1"/>
  <c r="A849" i="1" s="1"/>
  <c r="A850" i="1" s="1"/>
  <c r="A3073" i="4"/>
  <c r="A3078" i="4" s="1"/>
  <c r="A2165" i="4"/>
  <c r="A2167" i="4" s="1"/>
  <c r="A2170" i="4" s="1"/>
  <c r="A2172" i="4" s="1"/>
  <c r="A2177" i="4" s="1"/>
  <c r="A2180" i="4" s="1"/>
  <c r="A2183" i="4" s="1"/>
  <c r="A2186" i="4" s="1"/>
  <c r="A2189" i="4" s="1"/>
  <c r="A2192" i="4" s="1"/>
  <c r="I2183" i="4"/>
  <c r="I2214" i="4"/>
  <c r="I2143" i="4"/>
  <c r="I2142" i="4"/>
  <c r="I2153" i="4"/>
  <c r="J2146" i="4"/>
  <c r="J2148" i="4"/>
  <c r="J2150" i="4"/>
  <c r="J2155" i="4"/>
  <c r="J2163" i="4"/>
  <c r="J3072" i="4"/>
  <c r="J2168" i="4"/>
  <c r="J2187" i="4"/>
  <c r="J2205" i="4"/>
  <c r="J2208" i="4"/>
  <c r="J3066" i="4"/>
  <c r="J3068" i="4"/>
  <c r="J3093" i="4"/>
  <c r="J3108" i="4"/>
  <c r="J3110" i="4"/>
  <c r="J3119" i="4"/>
  <c r="Q580" i="1"/>
  <c r="Q584" i="1"/>
  <c r="Q588" i="1"/>
  <c r="Q590" i="1"/>
  <c r="Q592" i="1"/>
  <c r="Q593" i="1"/>
  <c r="Q595" i="1"/>
  <c r="Q598" i="1"/>
  <c r="Q600" i="1"/>
  <c r="Q608" i="1"/>
  <c r="Q850" i="1"/>
  <c r="Q853" i="1"/>
  <c r="Q581" i="1"/>
  <c r="Q583" i="1"/>
  <c r="Q586" i="1"/>
  <c r="Q591" i="1"/>
  <c r="Q594" i="1"/>
  <c r="Q596" i="1"/>
  <c r="Q599" i="1"/>
  <c r="Q601" i="1"/>
  <c r="Q602" i="1"/>
  <c r="Q609" i="1"/>
  <c r="Q839" i="1"/>
  <c r="Q840" i="1"/>
  <c r="Q851" i="1"/>
  <c r="A581" i="1"/>
  <c r="K2213" i="4"/>
  <c r="K2220" i="4"/>
  <c r="K2152" i="4"/>
  <c r="K2170" i="4"/>
  <c r="K2215" i="4"/>
  <c r="K3092" i="4"/>
  <c r="I3065" i="4"/>
  <c r="J3067" i="4"/>
  <c r="J3118" i="4"/>
  <c r="I2154" i="4"/>
  <c r="J2156" i="4"/>
  <c r="I2172" i="4"/>
  <c r="J3107" i="4"/>
  <c r="I3109" i="4"/>
  <c r="J3111" i="4"/>
  <c r="I3092" i="4"/>
  <c r="I2207" i="4"/>
  <c r="J2209" i="4"/>
  <c r="J3069" i="4"/>
  <c r="J3071" i="4"/>
  <c r="J3094" i="4"/>
  <c r="I3070" i="4"/>
  <c r="I3106" i="4"/>
  <c r="I3117" i="4"/>
  <c r="J2190" i="4"/>
  <c r="J2194" i="4"/>
  <c r="I2147" i="4"/>
  <c r="J2149" i="4"/>
  <c r="I2167" i="4"/>
  <c r="J2169" i="4"/>
  <c r="J2174" i="4"/>
  <c r="J2176" i="4"/>
  <c r="J2182" i="4"/>
  <c r="I2199" i="4"/>
  <c r="J2201" i="4"/>
  <c r="I2215" i="4"/>
  <c r="K2141" i="4"/>
  <c r="J2151" i="4"/>
  <c r="J2158" i="4"/>
  <c r="I2162" i="4"/>
  <c r="J2164" i="4"/>
  <c r="J2184" i="4"/>
  <c r="J2188" i="4"/>
  <c r="J2198" i="4"/>
  <c r="I2204" i="4"/>
  <c r="J2206" i="4"/>
  <c r="I2222" i="4"/>
  <c r="J2225" i="4"/>
  <c r="J2185" i="4"/>
  <c r="J2191" i="4"/>
  <c r="I2202" i="4"/>
  <c r="J2226" i="4"/>
  <c r="I2224" i="4"/>
  <c r="I2144" i="4"/>
  <c r="I2157" i="4"/>
  <c r="J2179" i="4"/>
  <c r="I2180" i="4"/>
  <c r="I3064" i="4" l="1"/>
  <c r="A851" i="1"/>
  <c r="A852" i="1" s="1"/>
  <c r="A853" i="1" s="1"/>
  <c r="A3081" i="4"/>
  <c r="A3086" i="4" s="1"/>
  <c r="A3089" i="4" s="1"/>
  <c r="A3092" i="4" s="1"/>
  <c r="A3095" i="4" s="1"/>
  <c r="A3098" i="4" s="1"/>
  <c r="I2213" i="4"/>
  <c r="I2152" i="4"/>
  <c r="J2143" i="4"/>
  <c r="I2220" i="4"/>
  <c r="I2141" i="4"/>
  <c r="J2221" i="4"/>
  <c r="J2171" i="4"/>
  <c r="J2214" i="4"/>
  <c r="I2170" i="4"/>
  <c r="J2142" i="4"/>
  <c r="J2153" i="4"/>
  <c r="A2195" i="4"/>
  <c r="A2197" i="4" s="1"/>
  <c r="A2199" i="4" s="1"/>
  <c r="A2202" i="4" s="1"/>
  <c r="A2204" i="4" s="1"/>
  <c r="J839" i="1"/>
  <c r="J2172" i="4"/>
  <c r="J592" i="1"/>
  <c r="J604" i="1"/>
  <c r="J583" i="1"/>
  <c r="J2204" i="4"/>
  <c r="J2186" i="4"/>
  <c r="J2162" i="4"/>
  <c r="J2157" i="4"/>
  <c r="J2147" i="4"/>
  <c r="J2180" i="4"/>
  <c r="J2167" i="4"/>
  <c r="J2144" i="4"/>
  <c r="J2192" i="4"/>
  <c r="J3070" i="4"/>
  <c r="J2207" i="4"/>
  <c r="J2154" i="4"/>
  <c r="Q605" i="1"/>
  <c r="Q589" i="1"/>
  <c r="Q607" i="1"/>
  <c r="J2224" i="4"/>
  <c r="Q579" i="1"/>
  <c r="J2199" i="4"/>
  <c r="J3092" i="4"/>
  <c r="J3106" i="4"/>
  <c r="J3117" i="4"/>
  <c r="Q846" i="1"/>
  <c r="Q582" i="1"/>
  <c r="Q604" i="1"/>
  <c r="A582" i="1"/>
  <c r="J2189" i="4"/>
  <c r="J2183" i="4"/>
  <c r="J2177" i="4"/>
  <c r="J3065" i="4"/>
  <c r="J2197" i="4"/>
  <c r="J602" i="1"/>
  <c r="J850" i="1"/>
  <c r="J590" i="1"/>
  <c r="J853" i="1"/>
  <c r="J840" i="1"/>
  <c r="J3109" i="4"/>
  <c r="J846" i="1"/>
  <c r="J851" i="1"/>
  <c r="J2222" i="4"/>
  <c r="J591" i="1"/>
  <c r="J584" i="1"/>
  <c r="J608" i="1"/>
  <c r="J580" i="1"/>
  <c r="J609" i="1"/>
  <c r="J600" i="1"/>
  <c r="J598" i="1"/>
  <c r="J595" i="1"/>
  <c r="J593" i="1"/>
  <c r="J601" i="1"/>
  <c r="J594" i="1"/>
  <c r="J586" i="1"/>
  <c r="J605" i="1"/>
  <c r="J599" i="1"/>
  <c r="J588" i="1"/>
  <c r="J581" i="1"/>
  <c r="J596" i="1"/>
  <c r="J2202" i="4"/>
  <c r="J2215" i="4"/>
  <c r="A854" i="1" l="1"/>
  <c r="A3101" i="4"/>
  <c r="A3106" i="4" s="1"/>
  <c r="A3109" i="4" s="1"/>
  <c r="A3112" i="4" s="1"/>
  <c r="A3117" i="4" s="1"/>
  <c r="A3120" i="4" s="1"/>
  <c r="I2140" i="4"/>
  <c r="A2207" i="4"/>
  <c r="A2210" i="4" s="1"/>
  <c r="A2213" i="4" s="1"/>
  <c r="A2215" i="4" s="1"/>
  <c r="J2213" i="4"/>
  <c r="J2220" i="4"/>
  <c r="J582" i="1"/>
  <c r="P582" i="1" s="1"/>
  <c r="J579" i="1"/>
  <c r="P579" i="1" s="1"/>
  <c r="J607" i="1"/>
  <c r="N607" i="1" s="1"/>
  <c r="J2141" i="4"/>
  <c r="J589" i="1"/>
  <c r="N589" i="1" s="1"/>
  <c r="J2170" i="4"/>
  <c r="N592" i="1"/>
  <c r="J2152" i="4"/>
  <c r="P602" i="1"/>
  <c r="N839" i="1"/>
  <c r="P839" i="1"/>
  <c r="P604" i="1"/>
  <c r="P583" i="1"/>
  <c r="P592" i="1"/>
  <c r="N604" i="1"/>
  <c r="A583" i="1"/>
  <c r="N590" i="1"/>
  <c r="P581" i="1"/>
  <c r="P580" i="1"/>
  <c r="P584" i="1"/>
  <c r="N602" i="1"/>
  <c r="N840" i="1"/>
  <c r="P840" i="1"/>
  <c r="J838" i="1"/>
  <c r="N853" i="1"/>
  <c r="P853" i="1"/>
  <c r="N845" i="1"/>
  <c r="P845" i="1"/>
  <c r="N850" i="1"/>
  <c r="P850" i="1"/>
  <c r="P590" i="1"/>
  <c r="N851" i="1"/>
  <c r="P851" i="1"/>
  <c r="N844" i="1"/>
  <c r="P844" i="1"/>
  <c r="N846" i="1"/>
  <c r="P846" i="1"/>
  <c r="N596" i="1"/>
  <c r="P596" i="1"/>
  <c r="N588" i="1"/>
  <c r="P588" i="1"/>
  <c r="N599" i="1"/>
  <c r="P599" i="1"/>
  <c r="N605" i="1"/>
  <c r="P605" i="1"/>
  <c r="N586" i="1"/>
  <c r="P586" i="1"/>
  <c r="N594" i="1"/>
  <c r="P594" i="1"/>
  <c r="N601" i="1"/>
  <c r="P601" i="1"/>
  <c r="P593" i="1"/>
  <c r="N593" i="1"/>
  <c r="N595" i="1"/>
  <c r="P595" i="1"/>
  <c r="P598" i="1"/>
  <c r="N598" i="1"/>
  <c r="N600" i="1"/>
  <c r="P600" i="1"/>
  <c r="P609" i="1"/>
  <c r="N609" i="1"/>
  <c r="N608" i="1"/>
  <c r="P608" i="1"/>
  <c r="P591" i="1"/>
  <c r="N591" i="1"/>
  <c r="N579" i="1" l="1"/>
  <c r="P589" i="1"/>
  <c r="A2217" i="4"/>
  <c r="A2220" i="4" s="1"/>
  <c r="A2222" i="4" s="1"/>
  <c r="A2224" i="4" s="1"/>
  <c r="P607" i="1"/>
  <c r="A584" i="1"/>
  <c r="D2093" i="4"/>
  <c r="K2101" i="4"/>
  <c r="I2098" i="4"/>
  <c r="K2097" i="4"/>
  <c r="A2097" i="4"/>
  <c r="A2100" i="4" s="1"/>
  <c r="I2095" i="4"/>
  <c r="K2094" i="4"/>
  <c r="A564" i="1"/>
  <c r="K2125" i="4"/>
  <c r="I2136" i="4"/>
  <c r="K2135" i="4"/>
  <c r="A585" i="1" l="1"/>
  <c r="A586" i="1" s="1"/>
  <c r="A587" i="1" s="1"/>
  <c r="A588" i="1" s="1"/>
  <c r="J2137" i="4"/>
  <c r="J2139" i="4"/>
  <c r="J2095" i="4"/>
  <c r="J2136" i="4"/>
  <c r="J2138" i="4"/>
  <c r="J2099" i="4"/>
  <c r="Q563" i="1"/>
  <c r="Q564" i="1"/>
  <c r="A565" i="1"/>
  <c r="K2100" i="4"/>
  <c r="I2100" i="4"/>
  <c r="I2094" i="4"/>
  <c r="J2096" i="4"/>
  <c r="J2098" i="4"/>
  <c r="I2097" i="4"/>
  <c r="J2101" i="4"/>
  <c r="I2135" i="4"/>
  <c r="A675" i="1"/>
  <c r="K2480" i="4"/>
  <c r="K2466" i="4"/>
  <c r="K2456" i="4"/>
  <c r="A313" i="1"/>
  <c r="K1185" i="4"/>
  <c r="K1186" i="4"/>
  <c r="K1181" i="4"/>
  <c r="K1169" i="4"/>
  <c r="K1172" i="4"/>
  <c r="K1166" i="4"/>
  <c r="K1161" i="4"/>
  <c r="K1159" i="4"/>
  <c r="A676" i="1" l="1"/>
  <c r="J2135" i="4"/>
  <c r="J1171" i="4"/>
  <c r="J1170" i="4"/>
  <c r="Q322" i="1"/>
  <c r="Q326" i="1"/>
  <c r="Q677" i="1"/>
  <c r="J2100" i="4"/>
  <c r="J2097" i="4"/>
  <c r="Q321" i="1"/>
  <c r="Q324" i="1"/>
  <c r="Q680" i="1"/>
  <c r="Q684" i="1"/>
  <c r="J2094" i="4"/>
  <c r="Q565" i="1"/>
  <c r="A314" i="1"/>
  <c r="J565" i="1"/>
  <c r="J564" i="1"/>
  <c r="J563" i="1"/>
  <c r="I2093" i="4"/>
  <c r="P565" i="1"/>
  <c r="J1187" i="4"/>
  <c r="I1186" i="4"/>
  <c r="J1189" i="4"/>
  <c r="J1188" i="4"/>
  <c r="J1190" i="4"/>
  <c r="I1181" i="4"/>
  <c r="J1183" i="4"/>
  <c r="I1169" i="4"/>
  <c r="J1169" i="4" l="1"/>
  <c r="A677" i="1"/>
  <c r="A589" i="1"/>
  <c r="J1181" i="4"/>
  <c r="N565" i="1"/>
  <c r="A315" i="1"/>
  <c r="N563" i="1"/>
  <c r="P563" i="1"/>
  <c r="P564" i="1"/>
  <c r="N564" i="1"/>
  <c r="J321" i="1"/>
  <c r="J324" i="1"/>
  <c r="J326" i="1"/>
  <c r="J1186" i="4"/>
  <c r="A678" i="1" l="1"/>
  <c r="A590" i="1"/>
  <c r="A316" i="1"/>
  <c r="P324" i="1"/>
  <c r="P321" i="1"/>
  <c r="P326" i="1"/>
  <c r="A679" i="1" l="1"/>
  <c r="A591" i="1"/>
  <c r="A317" i="1"/>
  <c r="K1147" i="4"/>
  <c r="O308" i="1"/>
  <c r="M308" i="1"/>
  <c r="L308" i="1"/>
  <c r="K308" i="1"/>
  <c r="I308" i="1"/>
  <c r="H308" i="1"/>
  <c r="G308" i="1"/>
  <c r="A680" i="1" l="1"/>
  <c r="A592" i="1"/>
  <c r="A318" i="1"/>
  <c r="A681" i="1" l="1"/>
  <c r="A593" i="1"/>
  <c r="A319" i="1"/>
  <c r="A682" i="1" l="1"/>
  <c r="A320" i="1"/>
  <c r="A594" i="1"/>
  <c r="A683" i="1" l="1"/>
  <c r="A321" i="1"/>
  <c r="A595" i="1"/>
  <c r="O833" i="1"/>
  <c r="M833" i="1"/>
  <c r="L833" i="1"/>
  <c r="K833" i="1"/>
  <c r="I833" i="1"/>
  <c r="H833" i="1"/>
  <c r="G833" i="1"/>
  <c r="K3052" i="4"/>
  <c r="G566" i="1"/>
  <c r="M566" i="1"/>
  <c r="L566" i="1"/>
  <c r="K566" i="1"/>
  <c r="I566" i="1"/>
  <c r="H566" i="1"/>
  <c r="K2119" i="4"/>
  <c r="K2114" i="4"/>
  <c r="K2109" i="4"/>
  <c r="A684" i="1" l="1"/>
  <c r="A322" i="1"/>
  <c r="J568" i="1"/>
  <c r="J3053" i="4"/>
  <c r="J2111" i="4"/>
  <c r="J2113" i="4"/>
  <c r="J2115" i="4"/>
  <c r="J2120" i="4"/>
  <c r="Q567" i="1"/>
  <c r="Q570" i="1"/>
  <c r="Q572" i="1"/>
  <c r="Q568" i="1"/>
  <c r="Q569" i="1"/>
  <c r="Q834" i="1"/>
  <c r="A596" i="1"/>
  <c r="I2119" i="4"/>
  <c r="J2121" i="4"/>
  <c r="I3052" i="4"/>
  <c r="J3054" i="4"/>
  <c r="J2112" i="4"/>
  <c r="I2114" i="4"/>
  <c r="J2123" i="4"/>
  <c r="I2109" i="4"/>
  <c r="I2102" i="4" l="1"/>
  <c r="A323" i="1"/>
  <c r="A685" i="1"/>
  <c r="A597" i="1"/>
  <c r="N568" i="1"/>
  <c r="I3051" i="4"/>
  <c r="J2114" i="4"/>
  <c r="P568" i="1"/>
  <c r="J834" i="1"/>
  <c r="J3052" i="4"/>
  <c r="J2119" i="4"/>
  <c r="J2109" i="4"/>
  <c r="J572" i="1"/>
  <c r="J569" i="1"/>
  <c r="J570" i="1"/>
  <c r="A324" i="1" l="1"/>
  <c r="A686" i="1"/>
  <c r="A598" i="1"/>
  <c r="A599" i="1" s="1"/>
  <c r="P834" i="1"/>
  <c r="N834" i="1"/>
  <c r="N572" i="1"/>
  <c r="P572" i="1"/>
  <c r="J833" i="1"/>
  <c r="N570" i="1"/>
  <c r="P570" i="1"/>
  <c r="N569" i="1"/>
  <c r="P569" i="1"/>
  <c r="A325" i="1" l="1"/>
  <c r="A600" i="1"/>
  <c r="A601" i="1" s="1"/>
  <c r="A602" i="1" s="1"/>
  <c r="A603" i="1" s="1"/>
  <c r="A604" i="1" s="1"/>
  <c r="N833" i="1"/>
  <c r="A326" i="1" l="1"/>
  <c r="A327" i="1" l="1"/>
  <c r="D3134" i="4" l="1"/>
  <c r="J2241" i="4" l="1"/>
  <c r="J2240" i="4"/>
  <c r="A605" i="1"/>
  <c r="I2238" i="4"/>
  <c r="O24" i="1"/>
  <c r="M24" i="1"/>
  <c r="L24" i="1"/>
  <c r="K24" i="1"/>
  <c r="I24" i="1"/>
  <c r="H24" i="1"/>
  <c r="G24" i="1"/>
  <c r="D41" i="4"/>
  <c r="K43" i="4"/>
  <c r="O11" i="1"/>
  <c r="M11" i="1"/>
  <c r="L11" i="1"/>
  <c r="K11" i="1"/>
  <c r="I11" i="1"/>
  <c r="G11" i="1"/>
  <c r="K16" i="4"/>
  <c r="K15" i="4"/>
  <c r="K13" i="4"/>
  <c r="A606" i="1" l="1"/>
  <c r="K42" i="4"/>
  <c r="K12" i="4"/>
  <c r="K14" i="4"/>
  <c r="A607" i="1" l="1"/>
  <c r="A608" i="1" s="1"/>
  <c r="J16" i="4"/>
  <c r="Q25" i="1"/>
  <c r="J13" i="4"/>
  <c r="I42" i="4"/>
  <c r="J43" i="4"/>
  <c r="Q14" i="1"/>
  <c r="Q13" i="1"/>
  <c r="J14" i="1" l="1"/>
  <c r="J13" i="1"/>
  <c r="J14" i="4"/>
  <c r="J25" i="1"/>
  <c r="P25" i="1" s="1"/>
  <c r="J12" i="4"/>
  <c r="I41" i="4"/>
  <c r="J42" i="4"/>
  <c r="A609" i="1"/>
  <c r="N14" i="1" l="1"/>
  <c r="P14" i="1"/>
  <c r="P13" i="1"/>
  <c r="N13" i="1"/>
  <c r="N25" i="1"/>
  <c r="J24" i="1"/>
  <c r="D1048" i="4"/>
  <c r="O277" i="1"/>
  <c r="M277" i="1"/>
  <c r="L277" i="1"/>
  <c r="K277" i="1"/>
  <c r="I277" i="1"/>
  <c r="H277" i="1"/>
  <c r="G277" i="1"/>
  <c r="G282" i="1"/>
  <c r="H282" i="1"/>
  <c r="I282" i="1"/>
  <c r="K282" i="1"/>
  <c r="L282" i="1"/>
  <c r="M282" i="1"/>
  <c r="O282" i="1"/>
  <c r="A284" i="1"/>
  <c r="K1062" i="4"/>
  <c r="K1061" i="4"/>
  <c r="K1059" i="4"/>
  <c r="K1058" i="4"/>
  <c r="J1056" i="4"/>
  <c r="J1054" i="4"/>
  <c r="K1052" i="4"/>
  <c r="N24" i="1" l="1"/>
  <c r="J1053" i="4"/>
  <c r="Q279" i="1"/>
  <c r="A285" i="1"/>
  <c r="K1057" i="4"/>
  <c r="K1060" i="4"/>
  <c r="I1057" i="4"/>
  <c r="I1060" i="4"/>
  <c r="J1058" i="4"/>
  <c r="J1059" i="4"/>
  <c r="J1061" i="4"/>
  <c r="J1062" i="4"/>
  <c r="J1052" i="4" l="1"/>
  <c r="Q281" i="1"/>
  <c r="Q280" i="1"/>
  <c r="A286" i="1"/>
  <c r="J281" i="1"/>
  <c r="J280" i="1"/>
  <c r="J279" i="1"/>
  <c r="J1060" i="4"/>
  <c r="J1057" i="4"/>
  <c r="A287" i="1" l="1"/>
  <c r="N279" i="1"/>
  <c r="P279" i="1"/>
  <c r="N281" i="1"/>
  <c r="P281" i="1"/>
  <c r="N280" i="1"/>
  <c r="P280" i="1"/>
  <c r="O273" i="1"/>
  <c r="I273" i="1"/>
  <c r="H273" i="1"/>
  <c r="G273" i="1"/>
  <c r="A275" i="1"/>
  <c r="D1038" i="4"/>
  <c r="A1042" i="4"/>
  <c r="A1045" i="4" s="1"/>
  <c r="K1041" i="4"/>
  <c r="K1040" i="4"/>
  <c r="K1042" i="4"/>
  <c r="I1042" i="4" l="1"/>
  <c r="A276" i="1"/>
  <c r="K1039" i="4"/>
  <c r="I1039" i="4"/>
  <c r="J1044" i="4"/>
  <c r="J1040" i="4"/>
  <c r="J1041" i="4"/>
  <c r="O248" i="1"/>
  <c r="I248" i="1"/>
  <c r="H248" i="1"/>
  <c r="G248" i="1"/>
  <c r="J1042" i="4" l="1"/>
  <c r="Q274" i="1"/>
  <c r="J274" i="1"/>
  <c r="J1039" i="4"/>
  <c r="N274" i="1" l="1"/>
  <c r="P274" i="1"/>
  <c r="A250" i="1"/>
  <c r="A251" i="1" s="1"/>
  <c r="K989" i="4" l="1"/>
  <c r="K1002" i="4"/>
  <c r="K1017" i="4"/>
  <c r="K1012" i="4"/>
  <c r="K1010" i="4"/>
  <c r="K1008" i="4"/>
  <c r="K1006" i="4"/>
  <c r="K1004" i="4"/>
  <c r="K1000" i="4"/>
  <c r="K996" i="4"/>
  <c r="K998" i="4"/>
  <c r="K994" i="4"/>
  <c r="K993" i="4"/>
  <c r="K988" i="4"/>
  <c r="K986" i="4"/>
  <c r="K977" i="4"/>
  <c r="K976" i="4"/>
  <c r="A975" i="4"/>
  <c r="K974" i="4"/>
  <c r="A978" i="4" l="1"/>
  <c r="A985" i="4" s="1"/>
  <c r="A987" i="4" s="1"/>
  <c r="A989" i="4" s="1"/>
  <c r="I1016" i="4"/>
  <c r="I1010" i="4"/>
  <c r="K1016" i="4"/>
  <c r="K1009" i="4"/>
  <c r="K1011" i="4"/>
  <c r="K1001" i="4"/>
  <c r="K1007" i="4"/>
  <c r="I1007" i="4"/>
  <c r="I1011" i="4"/>
  <c r="K973" i="4"/>
  <c r="K987" i="4"/>
  <c r="K1005" i="4"/>
  <c r="I1005" i="4"/>
  <c r="K1003" i="4"/>
  <c r="J1012" i="4"/>
  <c r="I1003" i="4"/>
  <c r="J1006" i="4"/>
  <c r="J1004" i="4"/>
  <c r="I987" i="4"/>
  <c r="K975" i="4"/>
  <c r="J988" i="4"/>
  <c r="I973" i="4"/>
  <c r="J974" i="4"/>
  <c r="J977" i="4" l="1"/>
  <c r="I975" i="4"/>
  <c r="J976" i="4"/>
  <c r="J1017" i="4"/>
  <c r="J1010" i="4"/>
  <c r="J1002" i="4"/>
  <c r="I1001" i="4"/>
  <c r="I1009" i="4"/>
  <c r="J1008" i="4"/>
  <c r="J266" i="1"/>
  <c r="J249" i="1"/>
  <c r="J260" i="1"/>
  <c r="J261" i="1"/>
  <c r="J253" i="1"/>
  <c r="J987" i="4"/>
  <c r="J1003" i="4"/>
  <c r="J1011" i="4"/>
  <c r="Q260" i="1"/>
  <c r="Q253" i="1"/>
  <c r="Q266" i="1"/>
  <c r="J973" i="4"/>
  <c r="Q250" i="1"/>
  <c r="J1005" i="4"/>
  <c r="Q261" i="1"/>
  <c r="Q249" i="1"/>
  <c r="Q259" i="1"/>
  <c r="Q264" i="1"/>
  <c r="Q263" i="1"/>
  <c r="A252" i="1"/>
  <c r="J264" i="1"/>
  <c r="J250" i="1" l="1"/>
  <c r="J975" i="4"/>
  <c r="J1007" i="4"/>
  <c r="J1009" i="4"/>
  <c r="J259" i="1"/>
  <c r="P259" i="1" s="1"/>
  <c r="J1016" i="4"/>
  <c r="J263" i="1"/>
  <c r="J1001" i="4"/>
  <c r="P266" i="1"/>
  <c r="N261" i="1"/>
  <c r="P249" i="1"/>
  <c r="P253" i="1"/>
  <c r="P250" i="1"/>
  <c r="N266" i="1"/>
  <c r="P261" i="1"/>
  <c r="N253" i="1"/>
  <c r="A253" i="1"/>
  <c r="N264" i="1"/>
  <c r="P264" i="1"/>
  <c r="O241" i="1"/>
  <c r="M241" i="1"/>
  <c r="L241" i="1"/>
  <c r="K241" i="1"/>
  <c r="I241" i="1"/>
  <c r="H241" i="1"/>
  <c r="G241" i="1"/>
  <c r="A243" i="1"/>
  <c r="K956" i="4"/>
  <c r="D954" i="4"/>
  <c r="K971" i="4"/>
  <c r="K970" i="4"/>
  <c r="K968" i="4"/>
  <c r="K967" i="4"/>
  <c r="K958" i="4"/>
  <c r="A958" i="4"/>
  <c r="A961" i="4" s="1"/>
  <c r="O234" i="1"/>
  <c r="M234" i="1"/>
  <c r="L234" i="1"/>
  <c r="K234" i="1"/>
  <c r="I234" i="1"/>
  <c r="H234" i="1"/>
  <c r="G234" i="1"/>
  <c r="A239" i="1"/>
  <c r="D936" i="4"/>
  <c r="A946" i="4"/>
  <c r="A951" i="4" s="1"/>
  <c r="K953" i="4"/>
  <c r="K952" i="4"/>
  <c r="K945" i="4"/>
  <c r="K943" i="4"/>
  <c r="K942" i="4"/>
  <c r="O230" i="1"/>
  <c r="M230" i="1"/>
  <c r="L230" i="1"/>
  <c r="K230" i="1"/>
  <c r="I230" i="1"/>
  <c r="H230" i="1"/>
  <c r="G230" i="1"/>
  <c r="A232" i="1"/>
  <c r="D928" i="4"/>
  <c r="K932" i="4"/>
  <c r="A931" i="4"/>
  <c r="A933" i="4" s="1"/>
  <c r="K930" i="4"/>
  <c r="K779" i="4"/>
  <c r="J779" i="4"/>
  <c r="J679" i="4"/>
  <c r="J677" i="4"/>
  <c r="K541" i="4"/>
  <c r="I439" i="4"/>
  <c r="I437" i="4"/>
  <c r="I435" i="4"/>
  <c r="I433" i="4"/>
  <c r="K300" i="4"/>
  <c r="I300" i="4"/>
  <c r="K346" i="4"/>
  <c r="J346" i="4"/>
  <c r="K345" i="4"/>
  <c r="J345" i="4"/>
  <c r="K344" i="4"/>
  <c r="K343" i="4"/>
  <c r="J343" i="4"/>
  <c r="K342" i="4"/>
  <c r="J342" i="4"/>
  <c r="K341" i="4"/>
  <c r="K340" i="4"/>
  <c r="J340" i="4"/>
  <c r="K339" i="4"/>
  <c r="J339" i="4"/>
  <c r="K338" i="4"/>
  <c r="K337" i="4"/>
  <c r="J337" i="4"/>
  <c r="K335" i="4"/>
  <c r="K334" i="4"/>
  <c r="J334" i="4"/>
  <c r="K332" i="4"/>
  <c r="K331" i="4"/>
  <c r="J331" i="4"/>
  <c r="K329" i="4"/>
  <c r="K328" i="4"/>
  <c r="J328" i="4"/>
  <c r="K326" i="4"/>
  <c r="K324" i="4"/>
  <c r="J324" i="4"/>
  <c r="K323" i="4"/>
  <c r="J323" i="4"/>
  <c r="K322" i="4"/>
  <c r="K321" i="4"/>
  <c r="J321" i="4"/>
  <c r="K320" i="4"/>
  <c r="J320" i="4"/>
  <c r="K319" i="4"/>
  <c r="K318" i="4"/>
  <c r="J318" i="4"/>
  <c r="K316" i="4"/>
  <c r="K315" i="4"/>
  <c r="J315" i="4"/>
  <c r="K313" i="4"/>
  <c r="J292" i="4"/>
  <c r="K290" i="4"/>
  <c r="K65" i="4"/>
  <c r="I65" i="4"/>
  <c r="J248" i="4"/>
  <c r="K247" i="4"/>
  <c r="I247" i="4"/>
  <c r="K225" i="4"/>
  <c r="K223" i="4"/>
  <c r="J223" i="4"/>
  <c r="K222" i="4"/>
  <c r="K221" i="4"/>
  <c r="J221" i="4"/>
  <c r="K220" i="4"/>
  <c r="K219" i="4"/>
  <c r="K218" i="4"/>
  <c r="K217" i="4"/>
  <c r="K216" i="4"/>
  <c r="K215" i="4"/>
  <c r="K214" i="4"/>
  <c r="J173" i="4"/>
  <c r="K171" i="4"/>
  <c r="K163" i="4"/>
  <c r="J159" i="4"/>
  <c r="I158" i="4"/>
  <c r="J157" i="4"/>
  <c r="I156" i="4"/>
  <c r="J155" i="4"/>
  <c r="I154" i="4"/>
  <c r="J153" i="4"/>
  <c r="I152" i="4"/>
  <c r="K151" i="4"/>
  <c r="K148" i="4"/>
  <c r="I148" i="4"/>
  <c r="K145" i="4"/>
  <c r="I145" i="4"/>
  <c r="K125" i="4"/>
  <c r="J125" i="4"/>
  <c r="K124" i="4"/>
  <c r="J124" i="4"/>
  <c r="K123" i="4"/>
  <c r="K122" i="4"/>
  <c r="J122" i="4"/>
  <c r="K121" i="4"/>
  <c r="K120" i="4"/>
  <c r="K119" i="4"/>
  <c r="J119" i="4"/>
  <c r="K118" i="4"/>
  <c r="J118" i="4"/>
  <c r="K117" i="4"/>
  <c r="K116" i="4"/>
  <c r="J116" i="4"/>
  <c r="K115" i="4"/>
  <c r="J115" i="4"/>
  <c r="K114" i="4"/>
  <c r="K142" i="4"/>
  <c r="K139" i="4"/>
  <c r="K136" i="4"/>
  <c r="K133" i="4"/>
  <c r="K130" i="4"/>
  <c r="K127" i="4"/>
  <c r="K110" i="4"/>
  <c r="K107" i="4"/>
  <c r="K104" i="4"/>
  <c r="K101" i="4"/>
  <c r="K98" i="4"/>
  <c r="K95" i="4"/>
  <c r="J91" i="4"/>
  <c r="K80" i="4"/>
  <c r="K77" i="4"/>
  <c r="K73" i="4"/>
  <c r="K70" i="4"/>
  <c r="O26" i="1"/>
  <c r="M26" i="1"/>
  <c r="L26" i="1"/>
  <c r="K26" i="1"/>
  <c r="I26" i="1"/>
  <c r="H26" i="1"/>
  <c r="G26" i="1"/>
  <c r="K60" i="4"/>
  <c r="K59" i="4"/>
  <c r="K53" i="4"/>
  <c r="A53" i="4"/>
  <c r="A58" i="4" s="1"/>
  <c r="G15" i="1"/>
  <c r="D17" i="4"/>
  <c r="K36" i="4"/>
  <c r="K35" i="4"/>
  <c r="K33" i="4"/>
  <c r="K31" i="4"/>
  <c r="J25" i="4"/>
  <c r="K24" i="4"/>
  <c r="N259" i="1" l="1"/>
  <c r="J435" i="4"/>
  <c r="P263" i="1"/>
  <c r="N263" i="1"/>
  <c r="I968" i="4"/>
  <c r="I971" i="4"/>
  <c r="I967" i="4"/>
  <c r="I970" i="4"/>
  <c r="K83" i="4"/>
  <c r="J83" i="4"/>
  <c r="K32" i="4"/>
  <c r="J70" i="4"/>
  <c r="J80" i="4"/>
  <c r="J95" i="4"/>
  <c r="J98" i="4"/>
  <c r="J101" i="4"/>
  <c r="J130" i="4"/>
  <c r="J136" i="4"/>
  <c r="J142" i="4"/>
  <c r="J152" i="4"/>
  <c r="J156" i="4"/>
  <c r="I299" i="4"/>
  <c r="K30" i="4"/>
  <c r="J127" i="4"/>
  <c r="J133" i="4"/>
  <c r="J139" i="4"/>
  <c r="J146" i="4"/>
  <c r="J214" i="4"/>
  <c r="J216" i="4"/>
  <c r="J220" i="4"/>
  <c r="J222" i="4"/>
  <c r="J313" i="4"/>
  <c r="J316" i="4"/>
  <c r="J319" i="4"/>
  <c r="J322" i="4"/>
  <c r="J326" i="4"/>
  <c r="J329" i="4"/>
  <c r="J332" i="4"/>
  <c r="J335" i="4"/>
  <c r="J338" i="4"/>
  <c r="J341" i="4"/>
  <c r="J344" i="4"/>
  <c r="J54" i="4"/>
  <c r="J56" i="4"/>
  <c r="J99" i="4"/>
  <c r="Q18" i="1"/>
  <c r="Q44" i="1"/>
  <c r="Q75" i="1"/>
  <c r="Q193" i="1"/>
  <c r="Q243" i="1"/>
  <c r="Q29" i="1"/>
  <c r="Q42" i="1"/>
  <c r="Q43" i="1"/>
  <c r="Q48" i="1"/>
  <c r="Q67" i="1"/>
  <c r="Q130" i="1"/>
  <c r="Q194" i="1"/>
  <c r="J247" i="4"/>
  <c r="A244" i="1"/>
  <c r="A254" i="1"/>
  <c r="A233" i="1"/>
  <c r="I958" i="4"/>
  <c r="I753" i="4"/>
  <c r="I756" i="4"/>
  <c r="I868" i="4"/>
  <c r="I290" i="4"/>
  <c r="K941" i="4"/>
  <c r="K966" i="4"/>
  <c r="K944" i="4"/>
  <c r="K951" i="4"/>
  <c r="K969" i="4"/>
  <c r="I944" i="4"/>
  <c r="I951" i="4"/>
  <c r="I941" i="4"/>
  <c r="K931" i="4"/>
  <c r="K929" i="4"/>
  <c r="I929" i="4"/>
  <c r="I541" i="4"/>
  <c r="I931" i="4"/>
  <c r="J300" i="4"/>
  <c r="Q93" i="1"/>
  <c r="J542" i="4"/>
  <c r="J93" i="1"/>
  <c r="J930" i="4"/>
  <c r="J960" i="4"/>
  <c r="J952" i="4"/>
  <c r="J953" i="4"/>
  <c r="J942" i="4"/>
  <c r="J943" i="4"/>
  <c r="J945" i="4"/>
  <c r="J932" i="4"/>
  <c r="J678" i="4"/>
  <c r="J783" i="4"/>
  <c r="J784" i="4"/>
  <c r="J676" i="4"/>
  <c r="J680" i="4"/>
  <c r="I312" i="4"/>
  <c r="J543" i="4"/>
  <c r="K58" i="4"/>
  <c r="J107" i="4"/>
  <c r="J110" i="4"/>
  <c r="J67" i="1"/>
  <c r="I325" i="4"/>
  <c r="K325" i="4"/>
  <c r="J43" i="1"/>
  <c r="K312" i="4"/>
  <c r="J37" i="1"/>
  <c r="J42" i="1"/>
  <c r="K113" i="4"/>
  <c r="I58" i="4"/>
  <c r="I113" i="4"/>
  <c r="I213" i="4"/>
  <c r="K213" i="4"/>
  <c r="J218" i="4"/>
  <c r="K224" i="4"/>
  <c r="J149" i="4"/>
  <c r="I151" i="4"/>
  <c r="J154" i="4"/>
  <c r="J77" i="4"/>
  <c r="I94" i="4"/>
  <c r="I126" i="4"/>
  <c r="I171" i="4"/>
  <c r="J172" i="4"/>
  <c r="I162" i="4"/>
  <c r="J57" i="4"/>
  <c r="J73" i="4"/>
  <c r="J104" i="4"/>
  <c r="J158" i="4"/>
  <c r="J163" i="4"/>
  <c r="J114" i="4"/>
  <c r="J117" i="4"/>
  <c r="J120" i="4"/>
  <c r="J123" i="4"/>
  <c r="I69" i="4"/>
  <c r="I53" i="4"/>
  <c r="J55" i="4"/>
  <c r="J60" i="4"/>
  <c r="I76" i="4"/>
  <c r="I31" i="4"/>
  <c r="K34" i="4"/>
  <c r="J36" i="4"/>
  <c r="K3267" i="4"/>
  <c r="A660" i="1"/>
  <c r="K2412" i="4"/>
  <c r="A2411" i="4"/>
  <c r="A2413" i="4" s="1"/>
  <c r="K2408" i="4"/>
  <c r="O301" i="1"/>
  <c r="M301" i="1"/>
  <c r="L301" i="1"/>
  <c r="K301" i="1"/>
  <c r="I301" i="1"/>
  <c r="H301" i="1"/>
  <c r="G301" i="1"/>
  <c r="D1124" i="4"/>
  <c r="K1135" i="4"/>
  <c r="K1131" i="4"/>
  <c r="K1128" i="4"/>
  <c r="J243" i="1" l="1"/>
  <c r="J672" i="4"/>
  <c r="J971" i="4"/>
  <c r="J225" i="4"/>
  <c r="I224" i="4"/>
  <c r="J968" i="4"/>
  <c r="J970" i="4"/>
  <c r="J967" i="4"/>
  <c r="I966" i="4"/>
  <c r="I969" i="4"/>
  <c r="Q20" i="1"/>
  <c r="K2411" i="4"/>
  <c r="J312" i="4"/>
  <c r="J213" i="4"/>
  <c r="Q21" i="1"/>
  <c r="J145" i="4"/>
  <c r="J325" i="4"/>
  <c r="J48" i="1"/>
  <c r="J59" i="1"/>
  <c r="J1129" i="4"/>
  <c r="J1133" i="4"/>
  <c r="I34" i="4"/>
  <c r="J31" i="4"/>
  <c r="J44" i="1"/>
  <c r="J40" i="1"/>
  <c r="J231" i="1"/>
  <c r="Q303" i="1"/>
  <c r="Q22" i="1"/>
  <c r="Q37" i="1"/>
  <c r="J290" i="4"/>
  <c r="Q83" i="1"/>
  <c r="Q30" i="1"/>
  <c r="J931" i="4"/>
  <c r="J958" i="4"/>
  <c r="Q231" i="1"/>
  <c r="Q232" i="1"/>
  <c r="Q240" i="1"/>
  <c r="Q237" i="1"/>
  <c r="Q304" i="1"/>
  <c r="Q659" i="1"/>
  <c r="Q60" i="1"/>
  <c r="Q59" i="1"/>
  <c r="Q40" i="1"/>
  <c r="Q82" i="1"/>
  <c r="Q162" i="1"/>
  <c r="J944" i="4"/>
  <c r="J929" i="4"/>
  <c r="Q247" i="1"/>
  <c r="Q238" i="1"/>
  <c r="Q246" i="1"/>
  <c r="J151" i="4"/>
  <c r="J171" i="4"/>
  <c r="J148" i="4"/>
  <c r="A255" i="1"/>
  <c r="N93" i="1"/>
  <c r="J75" i="1"/>
  <c r="N37" i="1"/>
  <c r="N42" i="1"/>
  <c r="N43" i="1"/>
  <c r="N67" i="1"/>
  <c r="J237" i="1"/>
  <c r="J130" i="1"/>
  <c r="J240" i="1"/>
  <c r="J238" i="1"/>
  <c r="P238" i="1" s="1"/>
  <c r="J82" i="1"/>
  <c r="J782" i="4"/>
  <c r="P93" i="1"/>
  <c r="J193" i="1"/>
  <c r="J232" i="1"/>
  <c r="J541" i="4"/>
  <c r="J162" i="1"/>
  <c r="J194" i="1"/>
  <c r="J951" i="4"/>
  <c r="J941" i="4"/>
  <c r="P67" i="1"/>
  <c r="J83" i="1"/>
  <c r="P43" i="1"/>
  <c r="P37" i="1"/>
  <c r="P42" i="1"/>
  <c r="J30" i="1"/>
  <c r="J53" i="4"/>
  <c r="I30" i="4"/>
  <c r="J58" i="4"/>
  <c r="J113" i="4"/>
  <c r="J29" i="1"/>
  <c r="J35" i="4"/>
  <c r="J33" i="4"/>
  <c r="I32" i="4"/>
  <c r="J26" i="4"/>
  <c r="I24" i="4"/>
  <c r="K1134" i="4"/>
  <c r="I1134" i="4"/>
  <c r="J2410" i="4"/>
  <c r="I1128" i="4"/>
  <c r="J1130" i="4"/>
  <c r="J1132" i="4"/>
  <c r="I1131" i="4"/>
  <c r="J1135" i="4"/>
  <c r="J30" i="4" l="1"/>
  <c r="N243" i="1"/>
  <c r="P243" i="1"/>
  <c r="P130" i="1"/>
  <c r="J969" i="4"/>
  <c r="N48" i="1"/>
  <c r="N40" i="1"/>
  <c r="P231" i="1"/>
  <c r="J224" i="4"/>
  <c r="J966" i="4"/>
  <c r="J247" i="1"/>
  <c r="J60" i="1"/>
  <c r="N60" i="1" s="1"/>
  <c r="N59" i="1"/>
  <c r="J246" i="1"/>
  <c r="P75" i="1"/>
  <c r="N44" i="1"/>
  <c r="J22" i="1"/>
  <c r="P48" i="1"/>
  <c r="P40" i="1"/>
  <c r="P44" i="1"/>
  <c r="N231" i="1"/>
  <c r="P59" i="1"/>
  <c r="J1128" i="4"/>
  <c r="Q305" i="1"/>
  <c r="J24" i="4"/>
  <c r="J1134" i="4"/>
  <c r="J1131" i="4"/>
  <c r="J32" i="4"/>
  <c r="J34" i="4"/>
  <c r="A256" i="1"/>
  <c r="N238" i="1"/>
  <c r="N75" i="1"/>
  <c r="N130" i="1"/>
  <c r="J20" i="1"/>
  <c r="P20" i="1" s="1"/>
  <c r="N237" i="1"/>
  <c r="P237" i="1"/>
  <c r="N240" i="1"/>
  <c r="P240" i="1"/>
  <c r="N232" i="1"/>
  <c r="P232" i="1"/>
  <c r="P193" i="1"/>
  <c r="N193" i="1"/>
  <c r="P194" i="1"/>
  <c r="N194" i="1"/>
  <c r="N162" i="1"/>
  <c r="P162" i="1"/>
  <c r="N30" i="1"/>
  <c r="P30" i="1"/>
  <c r="N29" i="1"/>
  <c r="P29" i="1"/>
  <c r="J18" i="1"/>
  <c r="J21" i="1"/>
  <c r="J304" i="1"/>
  <c r="J303" i="1"/>
  <c r="J305" i="1"/>
  <c r="P246" i="1" l="1"/>
  <c r="N247" i="1"/>
  <c r="N22" i="1"/>
  <c r="N246" i="1"/>
  <c r="P60" i="1"/>
  <c r="P22" i="1"/>
  <c r="A257" i="1"/>
  <c r="N20" i="1"/>
  <c r="P21" i="1"/>
  <c r="N21" i="1"/>
  <c r="N18" i="1"/>
  <c r="P18" i="1"/>
  <c r="N305" i="1"/>
  <c r="P305" i="1"/>
  <c r="N303" i="1"/>
  <c r="P303" i="1"/>
  <c r="P304" i="1"/>
  <c r="N304" i="1"/>
  <c r="A258" i="1" l="1"/>
  <c r="A259" i="1" s="1"/>
  <c r="A260" i="1" s="1"/>
  <c r="A261" i="1" s="1"/>
  <c r="A262" i="1" s="1"/>
  <c r="A263" i="1" s="1"/>
  <c r="K2228" i="4"/>
  <c r="O267" i="1"/>
  <c r="I267" i="1"/>
  <c r="H267" i="1"/>
  <c r="G267" i="1"/>
  <c r="K1021" i="4"/>
  <c r="K1020" i="4"/>
  <c r="A1022" i="4"/>
  <c r="K1032" i="4"/>
  <c r="A264" i="1" l="1"/>
  <c r="A265" i="1" s="1"/>
  <c r="A266" i="1" s="1"/>
  <c r="Q611" i="1"/>
  <c r="A269" i="1"/>
  <c r="K1019" i="4"/>
  <c r="I2228" i="4"/>
  <c r="J2231" i="4"/>
  <c r="I1019" i="4"/>
  <c r="J2229" i="4"/>
  <c r="J2230" i="4"/>
  <c r="J2232" i="4"/>
  <c r="J1021" i="4"/>
  <c r="I2227" i="4" l="1"/>
  <c r="I1018" i="4"/>
  <c r="J611" i="1"/>
  <c r="P611" i="1" s="1"/>
  <c r="Q268" i="1"/>
  <c r="J1019" i="4"/>
  <c r="J2228" i="4"/>
  <c r="J268" i="1"/>
  <c r="K657" i="4"/>
  <c r="J657" i="4"/>
  <c r="K656" i="4"/>
  <c r="J656" i="4"/>
  <c r="K655" i="4"/>
  <c r="J655" i="4"/>
  <c r="K654" i="4"/>
  <c r="J654" i="4"/>
  <c r="K653" i="4"/>
  <c r="J653" i="4"/>
  <c r="K652" i="4"/>
  <c r="J652" i="4"/>
  <c r="K651" i="4"/>
  <c r="K650" i="4"/>
  <c r="I649" i="4"/>
  <c r="K697" i="4"/>
  <c r="J697" i="4"/>
  <c r="K696" i="4"/>
  <c r="K695" i="4"/>
  <c r="J695" i="4"/>
  <c r="K694" i="4"/>
  <c r="J610" i="1" l="1"/>
  <c r="N611" i="1"/>
  <c r="N268" i="1"/>
  <c r="P268" i="1"/>
  <c r="Q107" i="1"/>
  <c r="K693" i="4"/>
  <c r="J693" i="4"/>
  <c r="J649" i="4"/>
  <c r="K649" i="4"/>
  <c r="J107" i="1"/>
  <c r="J167" i="1"/>
  <c r="J159" i="1"/>
  <c r="K811" i="4"/>
  <c r="J811" i="4"/>
  <c r="K810" i="4"/>
  <c r="J810" i="4"/>
  <c r="K809" i="4"/>
  <c r="J809" i="4"/>
  <c r="K808" i="4"/>
  <c r="J808" i="4"/>
  <c r="K807" i="4"/>
  <c r="K806" i="4"/>
  <c r="J806" i="4"/>
  <c r="K805" i="4"/>
  <c r="J805" i="4"/>
  <c r="K804" i="4"/>
  <c r="K803" i="4"/>
  <c r="J803" i="4"/>
  <c r="K802" i="4"/>
  <c r="J802" i="4"/>
  <c r="K801" i="4"/>
  <c r="K800" i="4"/>
  <c r="J800" i="4"/>
  <c r="K799" i="4"/>
  <c r="J799" i="4"/>
  <c r="K798" i="4"/>
  <c r="K797" i="4"/>
  <c r="J797" i="4"/>
  <c r="K796" i="4"/>
  <c r="J796" i="4"/>
  <c r="K795" i="4"/>
  <c r="K794" i="4"/>
  <c r="J794" i="4"/>
  <c r="I793" i="4"/>
  <c r="N610" i="1" l="1"/>
  <c r="Q159" i="1"/>
  <c r="Q167" i="1"/>
  <c r="N159" i="1"/>
  <c r="N107" i="1"/>
  <c r="N167" i="1"/>
  <c r="P167" i="1"/>
  <c r="K793" i="4"/>
  <c r="P107" i="1"/>
  <c r="J793" i="4"/>
  <c r="J200" i="1"/>
  <c r="P159" i="1"/>
  <c r="Q200" i="1" l="1"/>
  <c r="N200" i="1"/>
  <c r="P200" i="1"/>
  <c r="I3269" i="4" l="1"/>
  <c r="I3268" i="4"/>
  <c r="J3269" i="4" l="1"/>
  <c r="J3268" i="4"/>
  <c r="I3267" i="4"/>
  <c r="I3266" i="4" l="1"/>
  <c r="J3267" i="4"/>
  <c r="A236" i="1"/>
  <c r="K940" i="4"/>
  <c r="A939" i="4"/>
  <c r="K938" i="4"/>
  <c r="K937" i="4" l="1"/>
  <c r="K939" i="4"/>
  <c r="I939" i="4"/>
  <c r="I937" i="4"/>
  <c r="J938" i="4"/>
  <c r="J940" i="4"/>
  <c r="J939" i="4" l="1"/>
  <c r="Q236" i="1"/>
  <c r="J937" i="4"/>
  <c r="Q235" i="1"/>
  <c r="J236" i="1"/>
  <c r="J235" i="1"/>
  <c r="N236" i="1" l="1"/>
  <c r="P235" i="1"/>
  <c r="P236" i="1"/>
  <c r="N235" i="1"/>
  <c r="K933" i="4" l="1"/>
  <c r="O69" i="1"/>
  <c r="M69" i="1"/>
  <c r="L69" i="1"/>
  <c r="K69" i="1"/>
  <c r="I69" i="1"/>
  <c r="H69" i="1"/>
  <c r="G69" i="1"/>
  <c r="Q233" i="1" l="1"/>
  <c r="I933" i="4"/>
  <c r="J935" i="4"/>
  <c r="I928" i="4" l="1"/>
  <c r="J933" i="4"/>
  <c r="J233" i="1"/>
  <c r="J230" i="1" l="1"/>
  <c r="N233" i="1"/>
  <c r="P233" i="1"/>
  <c r="N230" i="1" l="1"/>
  <c r="K302" i="4"/>
  <c r="J302" i="4"/>
  <c r="K301" i="4"/>
  <c r="J301" i="4"/>
  <c r="J78" i="1"/>
  <c r="A14" i="4"/>
  <c r="J299" i="4" l="1"/>
  <c r="K299" i="4"/>
  <c r="N78" i="1"/>
  <c r="P78" i="1"/>
  <c r="Q78" i="1" l="1"/>
  <c r="A14" i="1"/>
  <c r="N83" i="1"/>
  <c r="P83" i="1"/>
  <c r="P82" i="1"/>
  <c r="N82" i="1"/>
  <c r="I1173" i="4" l="1"/>
  <c r="A1146" i="4"/>
  <c r="A1148" i="4" s="1"/>
  <c r="A1155" i="4" s="1"/>
  <c r="A1158" i="4" s="1"/>
  <c r="A17" i="1"/>
  <c r="A21" i="4"/>
  <c r="A24" i="4" s="1"/>
  <c r="A27" i="4" s="1"/>
  <c r="K21" i="4"/>
  <c r="Q17" i="1" l="1"/>
  <c r="A18" i="1"/>
  <c r="I1174" i="4"/>
  <c r="A1172" i="4"/>
  <c r="A1177" i="4" s="1"/>
  <c r="J1176" i="4"/>
  <c r="J1173" i="4"/>
  <c r="J1175" i="4"/>
  <c r="J23" i="4"/>
  <c r="I21" i="4"/>
  <c r="A19" i="1" l="1"/>
  <c r="J1174" i="4"/>
  <c r="A1181" i="4"/>
  <c r="A1184" i="4" s="1"/>
  <c r="A1186" i="4" s="1"/>
  <c r="A1191" i="4" s="1"/>
  <c r="I1172" i="4"/>
  <c r="A30" i="4"/>
  <c r="A32" i="4" s="1"/>
  <c r="A34" i="4" s="1"/>
  <c r="A37" i="4" s="1"/>
  <c r="J17" i="1"/>
  <c r="J21" i="4"/>
  <c r="J322" i="1" l="1"/>
  <c r="J1172" i="4"/>
  <c r="A20" i="1"/>
  <c r="N17" i="1"/>
  <c r="P17" i="1"/>
  <c r="P322" i="1" l="1"/>
  <c r="A21" i="1"/>
  <c r="I2803" i="4"/>
  <c r="A22" i="1" l="1"/>
  <c r="K730" i="4"/>
  <c r="J730" i="4"/>
  <c r="K729" i="4"/>
  <c r="J729" i="4"/>
  <c r="K728" i="4"/>
  <c r="J728" i="4"/>
  <c r="K727" i="4"/>
  <c r="J727" i="4"/>
  <c r="K726" i="4"/>
  <c r="J726" i="4"/>
  <c r="K725" i="4"/>
  <c r="J725" i="4"/>
  <c r="K724" i="4"/>
  <c r="J724" i="4"/>
  <c r="K723" i="4"/>
  <c r="I722" i="4"/>
  <c r="A23" i="1" l="1"/>
  <c r="J722" i="4"/>
  <c r="K722" i="4"/>
  <c r="J177" i="1"/>
  <c r="Q177" i="1" l="1"/>
  <c r="N177" i="1"/>
  <c r="P177" i="1"/>
  <c r="K662" i="4" l="1"/>
  <c r="J662" i="4"/>
  <c r="K661" i="4"/>
  <c r="K660" i="4"/>
  <c r="J660" i="4"/>
  <c r="K659" i="4"/>
  <c r="K615" i="4"/>
  <c r="K614" i="4"/>
  <c r="K613" i="4"/>
  <c r="K612" i="4"/>
  <c r="K611" i="4"/>
  <c r="K610" i="4"/>
  <c r="K609" i="4"/>
  <c r="K608" i="4"/>
  <c r="K607" i="4"/>
  <c r="K606" i="4"/>
  <c r="K605" i="4"/>
  <c r="K604" i="4"/>
  <c r="K603" i="4"/>
  <c r="K602" i="4"/>
  <c r="K601" i="4"/>
  <c r="K573" i="4"/>
  <c r="K571" i="4"/>
  <c r="K570" i="4"/>
  <c r="K658" i="4" l="1"/>
  <c r="J658" i="4"/>
  <c r="J160" i="1"/>
  <c r="K500" i="4"/>
  <c r="J500" i="4"/>
  <c r="K499" i="4"/>
  <c r="J499" i="4"/>
  <c r="K498" i="4"/>
  <c r="J498" i="4"/>
  <c r="K497" i="4"/>
  <c r="K496" i="4"/>
  <c r="J496" i="4"/>
  <c r="K495" i="4"/>
  <c r="K494" i="4"/>
  <c r="J494" i="4"/>
  <c r="K493" i="4"/>
  <c r="J493" i="4"/>
  <c r="I492" i="4"/>
  <c r="K440" i="4"/>
  <c r="J440" i="4"/>
  <c r="K439" i="4"/>
  <c r="J439" i="4"/>
  <c r="K438" i="4"/>
  <c r="J438" i="4"/>
  <c r="K437" i="4"/>
  <c r="J437" i="4"/>
  <c r="K436" i="4"/>
  <c r="J436" i="4"/>
  <c r="K435" i="4"/>
  <c r="K434" i="4"/>
  <c r="J434" i="4"/>
  <c r="K433" i="4"/>
  <c r="J433" i="4"/>
  <c r="I432" i="4"/>
  <c r="Q160" i="1" l="1"/>
  <c r="J432" i="4"/>
  <c r="P160" i="1"/>
  <c r="N160" i="1"/>
  <c r="J492" i="4"/>
  <c r="K492" i="4"/>
  <c r="K432" i="4"/>
  <c r="J121" i="1"/>
  <c r="J109" i="1"/>
  <c r="K2404" i="4"/>
  <c r="K165" i="4"/>
  <c r="J165" i="4"/>
  <c r="K144" i="4"/>
  <c r="J144" i="4"/>
  <c r="K141" i="4"/>
  <c r="J141" i="4"/>
  <c r="K140" i="4"/>
  <c r="K138" i="4"/>
  <c r="J138" i="4"/>
  <c r="K137" i="4"/>
  <c r="K135" i="4"/>
  <c r="J135" i="4"/>
  <c r="K134" i="4"/>
  <c r="K132" i="4"/>
  <c r="J132" i="4"/>
  <c r="K131" i="4"/>
  <c r="K129" i="4"/>
  <c r="J129" i="4"/>
  <c r="K128" i="4"/>
  <c r="K112" i="4"/>
  <c r="J112" i="4"/>
  <c r="K111" i="4"/>
  <c r="J111" i="4"/>
  <c r="K109" i="4"/>
  <c r="J109" i="4"/>
  <c r="K108" i="4"/>
  <c r="J108" i="4"/>
  <c r="K106" i="4"/>
  <c r="J106" i="4"/>
  <c r="K105" i="4"/>
  <c r="J105" i="4"/>
  <c r="K103" i="4"/>
  <c r="J103" i="4"/>
  <c r="K102" i="4"/>
  <c r="K100" i="4"/>
  <c r="J100" i="4"/>
  <c r="K99" i="4"/>
  <c r="K97" i="4"/>
  <c r="J97" i="4"/>
  <c r="K96" i="4"/>
  <c r="J82" i="4"/>
  <c r="J81" i="4"/>
  <c r="J79" i="4"/>
  <c r="J78" i="4"/>
  <c r="K75" i="4"/>
  <c r="J75" i="4"/>
  <c r="K72" i="4"/>
  <c r="J72" i="4"/>
  <c r="K71" i="4"/>
  <c r="J71" i="4"/>
  <c r="J76" i="4" l="1"/>
  <c r="K69" i="4"/>
  <c r="J69" i="4"/>
  <c r="Q109" i="1"/>
  <c r="Q121" i="1"/>
  <c r="J94" i="4"/>
  <c r="K94" i="4"/>
  <c r="N109" i="1"/>
  <c r="N121" i="1"/>
  <c r="J126" i="4"/>
  <c r="K162" i="4"/>
  <c r="K126" i="4"/>
  <c r="J162" i="4"/>
  <c r="K76" i="4"/>
  <c r="P121" i="1"/>
  <c r="P109" i="1"/>
  <c r="J35" i="1"/>
  <c r="J39" i="1"/>
  <c r="J46" i="1"/>
  <c r="J36" i="1"/>
  <c r="J41" i="1"/>
  <c r="Q35" i="1" l="1"/>
  <c r="Q36" i="1"/>
  <c r="Q41" i="1"/>
  <c r="Q39" i="1"/>
  <c r="Q46" i="1"/>
  <c r="P41" i="1"/>
  <c r="N46" i="1"/>
  <c r="N36" i="1"/>
  <c r="P36" i="1"/>
  <c r="P46" i="1"/>
  <c r="N41" i="1"/>
  <c r="J2406" i="4"/>
  <c r="I2404" i="4"/>
  <c r="N39" i="1"/>
  <c r="P39" i="1"/>
  <c r="P35" i="1"/>
  <c r="N35" i="1"/>
  <c r="K1035" i="4" l="1"/>
  <c r="Q272" i="1" l="1"/>
  <c r="J1037" i="4"/>
  <c r="J1035" i="4" l="1"/>
  <c r="J272" i="1"/>
  <c r="K2264" i="4" l="1"/>
  <c r="K3139" i="4" l="1"/>
  <c r="K3136" i="4"/>
  <c r="K1047" i="4"/>
  <c r="K1046" i="4"/>
  <c r="D1063" i="4" l="1"/>
  <c r="D5" i="4" s="1"/>
  <c r="A1066" i="4"/>
  <c r="K1065" i="4"/>
  <c r="K1064" i="4" l="1"/>
  <c r="K965" i="4"/>
  <c r="K964" i="4"/>
  <c r="K962" i="4"/>
  <c r="K957" i="4"/>
  <c r="M269" i="1"/>
  <c r="L269" i="1"/>
  <c r="K269" i="1"/>
  <c r="A270" i="1"/>
  <c r="A1027" i="4"/>
  <c r="K1022" i="4"/>
  <c r="Q283" i="1" l="1"/>
  <c r="K955" i="4"/>
  <c r="K961" i="4"/>
  <c r="Q269" i="1"/>
  <c r="L267" i="1"/>
  <c r="K267" i="1"/>
  <c r="M267" i="1"/>
  <c r="A271" i="1"/>
  <c r="I1064" i="4"/>
  <c r="J1065" i="4"/>
  <c r="J1023" i="4"/>
  <c r="J1024" i="4"/>
  <c r="J1026" i="4"/>
  <c r="A272" i="1" l="1"/>
  <c r="J283" i="1"/>
  <c r="J1064" i="4"/>
  <c r="J269" i="1"/>
  <c r="J1022" i="4"/>
  <c r="P283" i="1" l="1"/>
  <c r="N283" i="1"/>
  <c r="N269" i="1"/>
  <c r="P269" i="1"/>
  <c r="O562" i="1" l="1"/>
  <c r="M562" i="1"/>
  <c r="L562" i="1"/>
  <c r="K562" i="1"/>
  <c r="I562" i="1"/>
  <c r="H562" i="1"/>
  <c r="G562" i="1"/>
  <c r="K982" i="4" l="1"/>
  <c r="K979" i="4"/>
  <c r="K2370" i="4"/>
  <c r="K2369" i="4"/>
  <c r="K2367" i="4"/>
  <c r="K2362" i="4"/>
  <c r="K2361" i="4"/>
  <c r="K2359" i="4"/>
  <c r="K2358" i="4"/>
  <c r="K2357" i="4"/>
  <c r="K2335" i="4"/>
  <c r="K2334" i="4"/>
  <c r="K2333" i="4"/>
  <c r="K2331" i="4"/>
  <c r="K2330" i="4"/>
  <c r="K2329" i="4"/>
  <c r="K2327" i="4"/>
  <c r="K2326" i="4"/>
  <c r="K2325" i="4"/>
  <c r="K2306" i="4"/>
  <c r="K2305" i="4"/>
  <c r="K2304" i="4"/>
  <c r="K2284" i="4"/>
  <c r="K2282" i="4"/>
  <c r="K2280" i="4"/>
  <c r="K978" i="4" l="1"/>
  <c r="J983" i="4"/>
  <c r="I978" i="4"/>
  <c r="J981" i="4"/>
  <c r="J984" i="4"/>
  <c r="J979" i="4"/>
  <c r="J982" i="4"/>
  <c r="Q251" i="1" l="1"/>
  <c r="J251" i="1"/>
  <c r="J978" i="4"/>
  <c r="P251" i="1" l="1"/>
  <c r="N251" i="1"/>
  <c r="O288" i="1"/>
  <c r="M288" i="1"/>
  <c r="L288" i="1"/>
  <c r="K288" i="1"/>
  <c r="I288" i="1"/>
  <c r="H288" i="1"/>
  <c r="G288" i="1"/>
  <c r="A292" i="1"/>
  <c r="K1112" i="4"/>
  <c r="K1111" i="4"/>
  <c r="K1094" i="4"/>
  <c r="K1093" i="4"/>
  <c r="K1092" i="4"/>
  <c r="K1090" i="4"/>
  <c r="K1089" i="4"/>
  <c r="K1088" i="4"/>
  <c r="A1091" i="4"/>
  <c r="I2482" i="4"/>
  <c r="I2481" i="4"/>
  <c r="K1157" i="4"/>
  <c r="K1156" i="4"/>
  <c r="K1145" i="4"/>
  <c r="K1144" i="4"/>
  <c r="K1469" i="4"/>
  <c r="K1468" i="4"/>
  <c r="K1463" i="4"/>
  <c r="K1462" i="4"/>
  <c r="K1461" i="4"/>
  <c r="K1459" i="4"/>
  <c r="K1458" i="4"/>
  <c r="K1457" i="4"/>
  <c r="K1453" i="4"/>
  <c r="K1452" i="4"/>
  <c r="K1450" i="4"/>
  <c r="K1449" i="4"/>
  <c r="K1448" i="4"/>
  <c r="K1441" i="4"/>
  <c r="K1440" i="4"/>
  <c r="K1439" i="4"/>
  <c r="K1417" i="4"/>
  <c r="K1416" i="4"/>
  <c r="K1415" i="4"/>
  <c r="K1413" i="4"/>
  <c r="K1412" i="4"/>
  <c r="K1411" i="4"/>
  <c r="K1451" i="4" l="1"/>
  <c r="K1467" i="4"/>
  <c r="J1088" i="4"/>
  <c r="A2448" i="4"/>
  <c r="A2453" i="4" s="1"/>
  <c r="A2456" i="4" s="1"/>
  <c r="A2459" i="4" s="1"/>
  <c r="A2463" i="4" s="1"/>
  <c r="A2466" i="4" s="1"/>
  <c r="A2469" i="4" s="1"/>
  <c r="A2472" i="4" s="1"/>
  <c r="A2476" i="4" s="1"/>
  <c r="A2480" i="4" s="1"/>
  <c r="A2483" i="4" s="1"/>
  <c r="A2486" i="4" s="1"/>
  <c r="A293" i="1"/>
  <c r="A1095" i="4"/>
  <c r="J2481" i="4"/>
  <c r="K1110" i="4"/>
  <c r="K1087" i="4"/>
  <c r="K1091" i="4"/>
  <c r="Q294" i="1"/>
  <c r="J1090" i="4"/>
  <c r="J1111" i="4"/>
  <c r="J1112" i="4"/>
  <c r="I2480" i="4"/>
  <c r="J2482" i="4"/>
  <c r="K1391" i="4"/>
  <c r="K1389" i="4"/>
  <c r="K1371" i="4"/>
  <c r="K1369" i="4"/>
  <c r="K1367" i="4"/>
  <c r="K1289" i="4"/>
  <c r="K1288" i="4"/>
  <c r="K1287" i="4"/>
  <c r="K253" i="4"/>
  <c r="K251" i="4"/>
  <c r="K1388" i="4" l="1"/>
  <c r="J1094" i="4"/>
  <c r="J1089" i="4"/>
  <c r="J1093" i="4"/>
  <c r="I1087" i="4"/>
  <c r="Q292" i="1"/>
  <c r="Q297" i="1"/>
  <c r="Q291" i="1"/>
  <c r="A294" i="1"/>
  <c r="J297" i="1"/>
  <c r="A1099" i="4"/>
  <c r="A1103" i="4" s="1"/>
  <c r="J684" i="1"/>
  <c r="J1092" i="4"/>
  <c r="J294" i="1"/>
  <c r="I1091" i="4"/>
  <c r="J1110" i="4"/>
  <c r="J2480" i="4"/>
  <c r="P684" i="1" l="1"/>
  <c r="J1087" i="4"/>
  <c r="J291" i="1"/>
  <c r="A1107" i="4"/>
  <c r="A1110" i="4" s="1"/>
  <c r="A1113" i="4" s="1"/>
  <c r="A1116" i="4" s="1"/>
  <c r="A1120" i="4" s="1"/>
  <c r="P297" i="1"/>
  <c r="J1091" i="4"/>
  <c r="A295" i="1"/>
  <c r="A296" i="1" s="1"/>
  <c r="A297" i="1" s="1"/>
  <c r="A298" i="1" s="1"/>
  <c r="A299" i="1" s="1"/>
  <c r="A300" i="1" s="1"/>
  <c r="P294" i="1"/>
  <c r="N684" i="1"/>
  <c r="N294" i="1"/>
  <c r="J292" i="1"/>
  <c r="N297" i="1"/>
  <c r="P291" i="1" l="1"/>
  <c r="N291" i="1"/>
  <c r="P292" i="1"/>
  <c r="N292" i="1"/>
  <c r="I2744" i="4"/>
  <c r="I2743" i="4"/>
  <c r="I2742" i="4"/>
  <c r="I2741" i="4"/>
  <c r="K1733" i="4"/>
  <c r="K846" i="4" l="1"/>
  <c r="K820" i="4"/>
  <c r="K738" i="4"/>
  <c r="K737" i="4"/>
  <c r="K736" i="4"/>
  <c r="K735" i="4"/>
  <c r="K464" i="4"/>
  <c r="K819" i="4" l="1"/>
  <c r="I819" i="4"/>
  <c r="J822" i="4"/>
  <c r="J203" i="1"/>
  <c r="K410" i="4"/>
  <c r="K406" i="4"/>
  <c r="K395" i="4"/>
  <c r="K363" i="4"/>
  <c r="K376" i="4"/>
  <c r="K373" i="4"/>
  <c r="K355" i="4"/>
  <c r="K409" i="4" l="1"/>
  <c r="J820" i="4"/>
  <c r="I410" i="4"/>
  <c r="I395" i="4"/>
  <c r="K405" i="4"/>
  <c r="Q203" i="1"/>
  <c r="P203" i="1"/>
  <c r="J404" i="4"/>
  <c r="J396" i="4"/>
  <c r="J403" i="4"/>
  <c r="K401" i="4"/>
  <c r="K394" i="4"/>
  <c r="I406" i="4"/>
  <c r="J407" i="4"/>
  <c r="J408" i="4"/>
  <c r="N203" i="1"/>
  <c r="J402" i="4"/>
  <c r="I401" i="4"/>
  <c r="I394" i="4"/>
  <c r="J397" i="4"/>
  <c r="J395" i="4"/>
  <c r="J819" i="4" l="1"/>
  <c r="I409" i="4"/>
  <c r="J410" i="4"/>
  <c r="Q105" i="1"/>
  <c r="Q103" i="1"/>
  <c r="Q104" i="1"/>
  <c r="Q101" i="1"/>
  <c r="J401" i="4"/>
  <c r="J394" i="4"/>
  <c r="J406" i="4"/>
  <c r="I405" i="4"/>
  <c r="J101" i="1"/>
  <c r="J103" i="1"/>
  <c r="J409" i="4" l="1"/>
  <c r="J104" i="1"/>
  <c r="J105" i="1"/>
  <c r="J405" i="4"/>
  <c r="N101" i="1"/>
  <c r="P101" i="1"/>
  <c r="N103" i="1"/>
  <c r="P103" i="1"/>
  <c r="N104" i="1" l="1"/>
  <c r="P104" i="1"/>
  <c r="N105" i="1" l="1"/>
  <c r="P105" i="1"/>
  <c r="O578" i="1" l="1"/>
  <c r="I578" i="1"/>
  <c r="H578" i="1"/>
  <c r="G578" i="1"/>
  <c r="K1013" i="4"/>
  <c r="A992" i="4"/>
  <c r="A995" i="4" s="1"/>
  <c r="A997" i="4" s="1"/>
  <c r="A999" i="4" s="1"/>
  <c r="A1001" i="4" s="1"/>
  <c r="A1003" i="4" s="1"/>
  <c r="I2468" i="4"/>
  <c r="I2467" i="4"/>
  <c r="I2458" i="4"/>
  <c r="I2457" i="4"/>
  <c r="I2455" i="4"/>
  <c r="I2454" i="4"/>
  <c r="K2453" i="4"/>
  <c r="I2452" i="4"/>
  <c r="I2451" i="4"/>
  <c r="I2450" i="4"/>
  <c r="I2449" i="4"/>
  <c r="K2448" i="4"/>
  <c r="I2447" i="4"/>
  <c r="I2446" i="4"/>
  <c r="K2445" i="4"/>
  <c r="I2438" i="4"/>
  <c r="I2437" i="4"/>
  <c r="I2436" i="4"/>
  <c r="I2435" i="4"/>
  <c r="K2434" i="4"/>
  <c r="K1162" i="4"/>
  <c r="O15" i="1"/>
  <c r="M15" i="1"/>
  <c r="L15" i="1"/>
  <c r="K15" i="1"/>
  <c r="I15" i="1"/>
  <c r="H15" i="1"/>
  <c r="K38" i="4"/>
  <c r="K27" i="4"/>
  <c r="K18" i="4"/>
  <c r="O694" i="1"/>
  <c r="M694" i="1"/>
  <c r="L694" i="1"/>
  <c r="K694" i="1"/>
  <c r="I694" i="1"/>
  <c r="H694" i="1"/>
  <c r="G694" i="1"/>
  <c r="A696" i="1"/>
  <c r="J2640" i="4"/>
  <c r="I2639" i="4"/>
  <c r="J2638" i="4"/>
  <c r="I2637" i="4"/>
  <c r="J2632" i="4"/>
  <c r="I2631" i="4"/>
  <c r="K2630" i="4"/>
  <c r="J2629" i="4"/>
  <c r="I2628" i="4"/>
  <c r="K2627" i="4"/>
  <c r="J2623" i="4"/>
  <c r="I2622" i="4"/>
  <c r="J2621" i="4"/>
  <c r="I2620" i="4"/>
  <c r="J2619" i="4"/>
  <c r="I2618" i="4"/>
  <c r="K2617" i="4"/>
  <c r="J2616" i="4"/>
  <c r="I2615" i="4"/>
  <c r="K2614" i="4"/>
  <c r="I2596" i="4"/>
  <c r="I2595" i="4"/>
  <c r="K2594" i="4"/>
  <c r="J2593" i="4"/>
  <c r="I2592" i="4"/>
  <c r="K2591" i="4"/>
  <c r="J2587" i="4"/>
  <c r="I2586" i="4"/>
  <c r="J2585" i="4"/>
  <c r="I2584" i="4"/>
  <c r="J2583" i="4"/>
  <c r="I2582" i="4"/>
  <c r="K2581" i="4"/>
  <c r="K2580" i="4"/>
  <c r="J2570" i="4"/>
  <c r="I2569" i="4"/>
  <c r="K2568" i="4"/>
  <c r="J2567" i="4"/>
  <c r="I2566" i="4"/>
  <c r="K2565" i="4"/>
  <c r="I2564" i="4"/>
  <c r="I2563" i="4"/>
  <c r="K2562" i="4"/>
  <c r="I2558" i="4"/>
  <c r="I2557" i="4"/>
  <c r="K2556" i="4"/>
  <c r="J2555" i="4"/>
  <c r="I2554" i="4"/>
  <c r="K2553" i="4"/>
  <c r="J2552" i="4"/>
  <c r="I2551" i="4"/>
  <c r="K2550" i="4"/>
  <c r="I2521" i="4"/>
  <c r="I2520" i="4"/>
  <c r="K2519" i="4"/>
  <c r="J2518" i="4"/>
  <c r="K2516" i="4"/>
  <c r="J2512" i="4"/>
  <c r="I2511" i="4"/>
  <c r="K2510" i="4"/>
  <c r="A2510" i="4"/>
  <c r="A2513" i="4" s="1"/>
  <c r="A2516" i="4" s="1"/>
  <c r="J2509" i="4"/>
  <c r="I2508" i="4"/>
  <c r="J2507" i="4"/>
  <c r="I2506" i="4"/>
  <c r="J2505" i="4"/>
  <c r="I2504" i="4"/>
  <c r="K2503" i="4"/>
  <c r="A697" i="1" l="1"/>
  <c r="I2636" i="4"/>
  <c r="A2519" i="4"/>
  <c r="A2522" i="4" s="1"/>
  <c r="K2579" i="4"/>
  <c r="Q318" i="1"/>
  <c r="Q674" i="1"/>
  <c r="Q675" i="1"/>
  <c r="Q671" i="1"/>
  <c r="Q676" i="1"/>
  <c r="A1005" i="4"/>
  <c r="I2617" i="4"/>
  <c r="J2521" i="4"/>
  <c r="J2558" i="4"/>
  <c r="J2564" i="4"/>
  <c r="J1014" i="4"/>
  <c r="J2596" i="4"/>
  <c r="K985" i="4"/>
  <c r="J2504" i="4"/>
  <c r="J2506" i="4"/>
  <c r="J2508" i="4"/>
  <c r="J2554" i="4"/>
  <c r="J2566" i="4"/>
  <c r="J2595" i="4"/>
  <c r="J2615" i="4"/>
  <c r="J2618" i="4"/>
  <c r="J2620" i="4"/>
  <c r="J2622" i="4"/>
  <c r="J2631" i="4"/>
  <c r="J38" i="4"/>
  <c r="J40" i="4"/>
  <c r="J1144" i="4"/>
  <c r="J1159" i="4"/>
  <c r="J2436" i="4"/>
  <c r="J2438" i="4"/>
  <c r="J2446" i="4"/>
  <c r="J2449" i="4"/>
  <c r="J2451" i="4"/>
  <c r="J2455" i="4"/>
  <c r="J2457" i="4"/>
  <c r="J2468" i="4"/>
  <c r="J993" i="4"/>
  <c r="J998" i="4"/>
  <c r="J2520" i="4"/>
  <c r="J2563" i="4"/>
  <c r="J2584" i="4"/>
  <c r="J2586" i="4"/>
  <c r="J2628" i="4"/>
  <c r="J2637" i="4"/>
  <c r="J2639" i="4"/>
  <c r="J1157" i="4"/>
  <c r="J2435" i="4"/>
  <c r="J2437" i="4"/>
  <c r="J2447" i="4"/>
  <c r="J2450" i="4"/>
  <c r="J2452" i="4"/>
  <c r="J2454" i="4"/>
  <c r="J2458" i="4"/>
  <c r="J2467" i="4"/>
  <c r="J994" i="4"/>
  <c r="K1146" i="4"/>
  <c r="K1155" i="4"/>
  <c r="K1160" i="4"/>
  <c r="K999" i="4"/>
  <c r="Q262" i="1"/>
  <c r="K992" i="4"/>
  <c r="Q699" i="1"/>
  <c r="Q704" i="1"/>
  <c r="Q708" i="1"/>
  <c r="Q717" i="1"/>
  <c r="Q725" i="1"/>
  <c r="Q16" i="1"/>
  <c r="Q698" i="1"/>
  <c r="Q722" i="1"/>
  <c r="Q723" i="1"/>
  <c r="Q265" i="1"/>
  <c r="Q706" i="1"/>
  <c r="Q710" i="1"/>
  <c r="Q715" i="1"/>
  <c r="Q728" i="1"/>
  <c r="Q19" i="1"/>
  <c r="Q254" i="1"/>
  <c r="Q695" i="1"/>
  <c r="Q696" i="1"/>
  <c r="Q705" i="1"/>
  <c r="Q709" i="1"/>
  <c r="Q718" i="1"/>
  <c r="Q726" i="1"/>
  <c r="I2565" i="4"/>
  <c r="I2630" i="4"/>
  <c r="K995" i="4"/>
  <c r="K997" i="4"/>
  <c r="K1165" i="4"/>
  <c r="K1184" i="4"/>
  <c r="J990" i="4"/>
  <c r="I2448" i="4"/>
  <c r="K37" i="4"/>
  <c r="I992" i="4"/>
  <c r="I997" i="4"/>
  <c r="I2445" i="4"/>
  <c r="I2456" i="4"/>
  <c r="K1143" i="4"/>
  <c r="K1158" i="4"/>
  <c r="I2434" i="4"/>
  <c r="I2453" i="4"/>
  <c r="I2466" i="4"/>
  <c r="J1145" i="4"/>
  <c r="I1143" i="4"/>
  <c r="I1158" i="4"/>
  <c r="I2519" i="4"/>
  <c r="I2562" i="4"/>
  <c r="J19" i="4"/>
  <c r="I2580" i="4"/>
  <c r="I2594" i="4"/>
  <c r="I37" i="4"/>
  <c r="I2553" i="4"/>
  <c r="J2511" i="4"/>
  <c r="I2510" i="4"/>
  <c r="J2517" i="4"/>
  <c r="I2516" i="4"/>
  <c r="J2569" i="4"/>
  <c r="I2568" i="4"/>
  <c r="I2503" i="4"/>
  <c r="J2551" i="4"/>
  <c r="I2550" i="4"/>
  <c r="J2557" i="4"/>
  <c r="I2556" i="4"/>
  <c r="J2582" i="4"/>
  <c r="I2581" i="4"/>
  <c r="J2592" i="4"/>
  <c r="I2591" i="4"/>
  <c r="I2614" i="4"/>
  <c r="I2627" i="4"/>
  <c r="A336" i="1"/>
  <c r="J1399" i="4"/>
  <c r="J1397" i="4"/>
  <c r="K1395" i="4"/>
  <c r="I1392" i="4"/>
  <c r="I1391" i="4"/>
  <c r="I1390" i="4"/>
  <c r="I1389" i="4"/>
  <c r="I1385" i="4"/>
  <c r="I1382" i="4"/>
  <c r="I1372" i="4"/>
  <c r="I1365" i="4"/>
  <c r="K1333" i="4"/>
  <c r="J1331" i="4"/>
  <c r="K1329" i="4"/>
  <c r="K1326" i="4"/>
  <c r="K1304" i="4"/>
  <c r="I1299" i="4"/>
  <c r="K1297" i="4"/>
  <c r="I1296" i="4"/>
  <c r="K1294" i="4"/>
  <c r="I1289" i="4"/>
  <c r="I1288" i="4"/>
  <c r="I1287" i="4"/>
  <c r="I1276" i="4"/>
  <c r="K1275" i="4"/>
  <c r="I1273" i="4"/>
  <c r="K1272" i="4"/>
  <c r="K1268" i="4"/>
  <c r="J1266" i="4"/>
  <c r="K1264" i="4"/>
  <c r="I1261" i="4"/>
  <c r="K1260" i="4"/>
  <c r="I1258" i="4"/>
  <c r="I1255" i="4"/>
  <c r="J1229" i="4"/>
  <c r="I1226" i="4"/>
  <c r="K1224" i="4"/>
  <c r="K1223" i="4"/>
  <c r="A1215" i="4"/>
  <c r="I1210" i="4"/>
  <c r="A698" i="1" l="1"/>
  <c r="J2636" i="4"/>
  <c r="A337" i="1"/>
  <c r="A2525" i="4"/>
  <c r="A2528" i="4" s="1"/>
  <c r="A2531" i="4" s="1"/>
  <c r="A2550" i="4" s="1"/>
  <c r="A2553" i="4" s="1"/>
  <c r="A2556" i="4" s="1"/>
  <c r="A2559" i="4" s="1"/>
  <c r="A2562" i="4" s="1"/>
  <c r="I1388" i="4"/>
  <c r="A1218" i="4"/>
  <c r="A1220" i="4" s="1"/>
  <c r="A1222" i="4" s="1"/>
  <c r="A1224" i="4" s="1"/>
  <c r="A1227" i="4" s="1"/>
  <c r="A1230" i="4" s="1"/>
  <c r="A1232" i="4" s="1"/>
  <c r="A1235" i="4" s="1"/>
  <c r="A1237" i="4" s="1"/>
  <c r="A1253" i="4" s="1"/>
  <c r="A1256" i="4" s="1"/>
  <c r="A1259" i="4" s="1"/>
  <c r="I2433" i="4"/>
  <c r="A1007" i="4"/>
  <c r="A1009" i="4" s="1"/>
  <c r="Q700" i="1"/>
  <c r="K1325" i="4"/>
  <c r="K1332" i="4"/>
  <c r="K1267" i="4"/>
  <c r="Q712" i="1"/>
  <c r="Q714" i="1"/>
  <c r="K1222" i="4"/>
  <c r="K1271" i="4"/>
  <c r="K1303" i="4"/>
  <c r="I989" i="4"/>
  <c r="Q316" i="1"/>
  <c r="Q312" i="1"/>
  <c r="Q325" i="1"/>
  <c r="Q319" i="1"/>
  <c r="Q255" i="1"/>
  <c r="Q258" i="1"/>
  <c r="Q315" i="1"/>
  <c r="J2565" i="4"/>
  <c r="Q252" i="1"/>
  <c r="Q314" i="1"/>
  <c r="Q323" i="1"/>
  <c r="Q317" i="1"/>
  <c r="Q313" i="1"/>
  <c r="J680" i="1"/>
  <c r="J677" i="1"/>
  <c r="J675" i="1"/>
  <c r="J676" i="1"/>
  <c r="J671" i="1"/>
  <c r="J674" i="1"/>
  <c r="J316" i="1"/>
  <c r="J312" i="1"/>
  <c r="J314" i="1"/>
  <c r="I18" i="4"/>
  <c r="J723" i="1"/>
  <c r="J1164" i="4"/>
  <c r="J20" i="4"/>
  <c r="I1162" i="4"/>
  <c r="J2562" i="4"/>
  <c r="J2519" i="4"/>
  <c r="J2594" i="4"/>
  <c r="J2617" i="4"/>
  <c r="J2453" i="4"/>
  <c r="J2456" i="4"/>
  <c r="J2466" i="4"/>
  <c r="J37" i="4"/>
  <c r="J2553" i="4"/>
  <c r="J2503" i="4"/>
  <c r="J2434" i="4"/>
  <c r="J2627" i="4"/>
  <c r="J997" i="4"/>
  <c r="J992" i="4"/>
  <c r="J2448" i="4"/>
  <c r="J2445" i="4"/>
  <c r="J2630" i="4"/>
  <c r="J2614" i="4"/>
  <c r="J991" i="4"/>
  <c r="J1226" i="4"/>
  <c r="J1299" i="4"/>
  <c r="J1296" i="4"/>
  <c r="J1210" i="4"/>
  <c r="J1216" i="4"/>
  <c r="J1228" i="4"/>
  <c r="J1254" i="4"/>
  <c r="J1260" i="4"/>
  <c r="J1273" i="4"/>
  <c r="J1276" i="4"/>
  <c r="J1289" i="4"/>
  <c r="J1318" i="4"/>
  <c r="J1322" i="4"/>
  <c r="J1365" i="4"/>
  <c r="J1368" i="4"/>
  <c r="J1370" i="4"/>
  <c r="J1372" i="4"/>
  <c r="J1381" i="4"/>
  <c r="J1387" i="4"/>
  <c r="J1391" i="4"/>
  <c r="J1396" i="4"/>
  <c r="J1398" i="4"/>
  <c r="J725" i="1"/>
  <c r="J717" i="1"/>
  <c r="J715" i="1"/>
  <c r="J706" i="1"/>
  <c r="J695" i="1"/>
  <c r="J705" i="1"/>
  <c r="J718" i="1"/>
  <c r="J1161" i="4"/>
  <c r="J1147" i="4"/>
  <c r="J1185" i="4"/>
  <c r="J257" i="1"/>
  <c r="J1000" i="4"/>
  <c r="J986" i="4"/>
  <c r="J726" i="1"/>
  <c r="J709" i="1"/>
  <c r="J1217" i="4"/>
  <c r="J1225" i="4"/>
  <c r="J1255" i="4"/>
  <c r="J1258" i="4"/>
  <c r="J1261" i="4"/>
  <c r="J1265" i="4"/>
  <c r="J1268" i="4"/>
  <c r="J1275" i="4"/>
  <c r="J1288" i="4"/>
  <c r="J1293" i="4"/>
  <c r="J1367" i="4"/>
  <c r="J1369" i="4"/>
  <c r="J1371" i="4"/>
  <c r="J1382" i="4"/>
  <c r="J1385" i="4"/>
  <c r="J1390" i="4"/>
  <c r="J1392" i="4"/>
  <c r="J728" i="1"/>
  <c r="J722" i="1"/>
  <c r="J704" i="1"/>
  <c r="J710" i="1"/>
  <c r="J698" i="1"/>
  <c r="J696" i="1"/>
  <c r="J29" i="4"/>
  <c r="J23" i="1"/>
  <c r="J2580" i="4"/>
  <c r="J1156" i="4"/>
  <c r="J708" i="1"/>
  <c r="J699" i="1"/>
  <c r="J1015" i="4"/>
  <c r="N260" i="1"/>
  <c r="J255" i="1"/>
  <c r="J1166" i="4"/>
  <c r="J996" i="4"/>
  <c r="Q361" i="1"/>
  <c r="Q341" i="1"/>
  <c r="J2591" i="4"/>
  <c r="J2581" i="4"/>
  <c r="J2556" i="4"/>
  <c r="J1158" i="4"/>
  <c r="Q257" i="1"/>
  <c r="Q340" i="1"/>
  <c r="Q350" i="1"/>
  <c r="Q362" i="1"/>
  <c r="J2568" i="4"/>
  <c r="J2516" i="4"/>
  <c r="Q256" i="1"/>
  <c r="Q384" i="1"/>
  <c r="J1143" i="4"/>
  <c r="Q370" i="1"/>
  <c r="J2550" i="4"/>
  <c r="J2510" i="4"/>
  <c r="Q23" i="1"/>
  <c r="I1329" i="4"/>
  <c r="I1395" i="4"/>
  <c r="I985" i="4"/>
  <c r="I999" i="4"/>
  <c r="I995" i="4"/>
  <c r="K1274" i="4"/>
  <c r="I1013" i="4"/>
  <c r="I1146" i="4"/>
  <c r="I1165" i="4"/>
  <c r="I1184" i="4"/>
  <c r="K1321" i="4"/>
  <c r="I2579" i="4"/>
  <c r="I1160" i="4"/>
  <c r="K1317" i="4"/>
  <c r="K1359" i="4"/>
  <c r="I1155" i="4"/>
  <c r="K1208" i="4"/>
  <c r="I1223" i="4"/>
  <c r="K1253" i="4"/>
  <c r="K1259" i="4"/>
  <c r="K1380" i="4"/>
  <c r="I27" i="4"/>
  <c r="K1215" i="4"/>
  <c r="K1220" i="4"/>
  <c r="K1256" i="4"/>
  <c r="K1277" i="4"/>
  <c r="K1292" i="4"/>
  <c r="K1366" i="4"/>
  <c r="K1383" i="4"/>
  <c r="I1215" i="4"/>
  <c r="I1253" i="4"/>
  <c r="I1257" i="4"/>
  <c r="I1259" i="4"/>
  <c r="I1274" i="4"/>
  <c r="K1363" i="4"/>
  <c r="K1378" i="4"/>
  <c r="I1380" i="4"/>
  <c r="I1384" i="4"/>
  <c r="I1386" i="4"/>
  <c r="J1287" i="4"/>
  <c r="I1286" i="4"/>
  <c r="I1297" i="4"/>
  <c r="J1389" i="4"/>
  <c r="I1224" i="4"/>
  <c r="I1227" i="4"/>
  <c r="I1264" i="4"/>
  <c r="K1286" i="4"/>
  <c r="I1292" i="4"/>
  <c r="J1295" i="4"/>
  <c r="I1294" i="4"/>
  <c r="I1364" i="4"/>
  <c r="I1366" i="4"/>
  <c r="K1386" i="4"/>
  <c r="O31" i="1"/>
  <c r="M31" i="1"/>
  <c r="L31" i="1"/>
  <c r="K31" i="1"/>
  <c r="I31" i="1"/>
  <c r="H31" i="1"/>
  <c r="G31" i="1"/>
  <c r="A33" i="1"/>
  <c r="J670" i="1" l="1"/>
  <c r="A338" i="1"/>
  <c r="I972" i="4"/>
  <c r="A1011" i="4"/>
  <c r="A1013" i="4" s="1"/>
  <c r="A1016" i="4" s="1"/>
  <c r="A699" i="1"/>
  <c r="I2502" i="4"/>
  <c r="A2565" i="4"/>
  <c r="A2568" i="4" s="1"/>
  <c r="J1388" i="4"/>
  <c r="A1262" i="4"/>
  <c r="A1264" i="4" s="1"/>
  <c r="A1267" i="4" s="1"/>
  <c r="A1271" i="4" s="1"/>
  <c r="A1274" i="4" s="1"/>
  <c r="A1277" i="4" s="1"/>
  <c r="A1279" i="4" s="1"/>
  <c r="A1281" i="4" s="1"/>
  <c r="I1142" i="4"/>
  <c r="P680" i="1"/>
  <c r="Q364" i="1"/>
  <c r="J1267" i="4"/>
  <c r="Q352" i="1"/>
  <c r="Q371" i="1"/>
  <c r="Q369" i="1"/>
  <c r="Q339" i="1"/>
  <c r="J995" i="4"/>
  <c r="J1013" i="4"/>
  <c r="J1155" i="4"/>
  <c r="J985" i="4"/>
  <c r="J1160" i="4"/>
  <c r="J989" i="4"/>
  <c r="J1165" i="4"/>
  <c r="J2579" i="4"/>
  <c r="J27" i="4"/>
  <c r="J999" i="4"/>
  <c r="J1184" i="4"/>
  <c r="J1146" i="4"/>
  <c r="J18" i="4"/>
  <c r="J1162" i="4"/>
  <c r="N255" i="1"/>
  <c r="N257" i="1"/>
  <c r="N23" i="1"/>
  <c r="P699" i="1"/>
  <c r="N698" i="1"/>
  <c r="N710" i="1"/>
  <c r="P722" i="1"/>
  <c r="P709" i="1"/>
  <c r="N705" i="1"/>
  <c r="N706" i="1"/>
  <c r="N717" i="1"/>
  <c r="P723" i="1"/>
  <c r="P708" i="1"/>
  <c r="P696" i="1"/>
  <c r="P704" i="1"/>
  <c r="P728" i="1"/>
  <c r="N726" i="1"/>
  <c r="N718" i="1"/>
  <c r="P715" i="1"/>
  <c r="N725" i="1"/>
  <c r="P671" i="1"/>
  <c r="N671" i="1"/>
  <c r="P674" i="1"/>
  <c r="N674" i="1"/>
  <c r="P676" i="1"/>
  <c r="N676" i="1"/>
  <c r="P675" i="1"/>
  <c r="N675" i="1"/>
  <c r="N680" i="1"/>
  <c r="P677" i="1"/>
  <c r="N677" i="1"/>
  <c r="J315" i="1"/>
  <c r="J319" i="1"/>
  <c r="P314" i="1"/>
  <c r="P312" i="1"/>
  <c r="P316" i="1"/>
  <c r="J317" i="1"/>
  <c r="J325" i="1"/>
  <c r="J313" i="1"/>
  <c r="J323" i="1"/>
  <c r="J318" i="1"/>
  <c r="J16" i="1"/>
  <c r="I17" i="4"/>
  <c r="N723" i="1"/>
  <c r="J700" i="1"/>
  <c r="J254" i="1"/>
  <c r="P710" i="1"/>
  <c r="N722" i="1"/>
  <c r="P695" i="1"/>
  <c r="J1259" i="4"/>
  <c r="J1224" i="4"/>
  <c r="J1227" i="4"/>
  <c r="J1329" i="4"/>
  <c r="J1274" i="4"/>
  <c r="P718" i="1"/>
  <c r="J1366" i="4"/>
  <c r="J1264" i="4"/>
  <c r="J1395" i="4"/>
  <c r="J1317" i="4"/>
  <c r="P706" i="1"/>
  <c r="J1380" i="4"/>
  <c r="J1253" i="4"/>
  <c r="N728" i="1"/>
  <c r="J1321" i="4"/>
  <c r="J1292" i="4"/>
  <c r="J1215" i="4"/>
  <c r="N695" i="1"/>
  <c r="P717" i="1"/>
  <c r="P698" i="1"/>
  <c r="P260" i="1"/>
  <c r="N696" i="1"/>
  <c r="N704" i="1"/>
  <c r="P23" i="1"/>
  <c r="P726" i="1"/>
  <c r="N709" i="1"/>
  <c r="N715" i="1"/>
  <c r="P705" i="1"/>
  <c r="P725" i="1"/>
  <c r="N699" i="1"/>
  <c r="N708" i="1"/>
  <c r="P255" i="1"/>
  <c r="P257" i="1"/>
  <c r="J361" i="1"/>
  <c r="J360" i="1"/>
  <c r="J350" i="1"/>
  <c r="J340" i="1"/>
  <c r="J362" i="1"/>
  <c r="J358" i="1"/>
  <c r="I1383" i="4"/>
  <c r="J367" i="1"/>
  <c r="J1278" i="4"/>
  <c r="J1272" i="4"/>
  <c r="J348" i="1"/>
  <c r="J346" i="1"/>
  <c r="J1221" i="4"/>
  <c r="J1360" i="4"/>
  <c r="J19" i="1"/>
  <c r="J1223" i="4"/>
  <c r="J256" i="1"/>
  <c r="J258" i="1"/>
  <c r="J384" i="1"/>
  <c r="J370" i="1"/>
  <c r="J377" i="1"/>
  <c r="J341" i="1"/>
  <c r="J383" i="1"/>
  <c r="J382" i="1"/>
  <c r="J380" i="1"/>
  <c r="J368" i="1"/>
  <c r="J1304" i="4"/>
  <c r="J353" i="1"/>
  <c r="J351" i="1"/>
  <c r="J1257" i="4"/>
  <c r="J1209" i="4"/>
  <c r="J336" i="1"/>
  <c r="J714" i="1"/>
  <c r="J262" i="1"/>
  <c r="J265" i="1"/>
  <c r="J252" i="1"/>
  <c r="N383" i="1"/>
  <c r="J1297" i="4"/>
  <c r="Q376" i="1"/>
  <c r="Q380" i="1"/>
  <c r="Q335" i="1"/>
  <c r="Q367" i="1"/>
  <c r="Q368" i="1"/>
  <c r="Q381" i="1"/>
  <c r="Q360" i="1"/>
  <c r="Q338" i="1"/>
  <c r="Q348" i="1"/>
  <c r="Q382" i="1"/>
  <c r="J1386" i="4"/>
  <c r="Q379" i="1"/>
  <c r="Q377" i="1"/>
  <c r="Q354" i="1"/>
  <c r="Q336" i="1"/>
  <c r="Q346" i="1"/>
  <c r="Q358" i="1"/>
  <c r="J1294" i="4"/>
  <c r="J1286" i="4"/>
  <c r="Q383" i="1"/>
  <c r="Q347" i="1"/>
  <c r="Q375" i="1"/>
  <c r="Q351" i="1"/>
  <c r="Q353" i="1"/>
  <c r="I1303" i="4"/>
  <c r="J578" i="1"/>
  <c r="I1222" i="4"/>
  <c r="I1208" i="4"/>
  <c r="J712" i="1"/>
  <c r="I1359" i="4"/>
  <c r="J1326" i="4"/>
  <c r="I1256" i="4"/>
  <c r="I1271" i="4"/>
  <c r="J1384" i="4"/>
  <c r="I1277" i="4"/>
  <c r="I1220" i="4"/>
  <c r="J1379" i="4"/>
  <c r="I1378" i="4"/>
  <c r="J1364" i="4"/>
  <c r="I1363" i="4"/>
  <c r="J1333" i="4"/>
  <c r="J246" i="4"/>
  <c r="K244" i="4"/>
  <c r="J243" i="4"/>
  <c r="J242" i="4"/>
  <c r="J241" i="4"/>
  <c r="K239" i="4"/>
  <c r="I239" i="4"/>
  <c r="J235" i="4"/>
  <c r="K233" i="4"/>
  <c r="J229" i="4"/>
  <c r="K227" i="4"/>
  <c r="J191" i="4"/>
  <c r="K189" i="4"/>
  <c r="J188" i="4"/>
  <c r="J187" i="4"/>
  <c r="J186" i="4"/>
  <c r="J185" i="4"/>
  <c r="K184" i="4"/>
  <c r="I184" i="4"/>
  <c r="K178" i="4"/>
  <c r="J170" i="4"/>
  <c r="J168" i="4"/>
  <c r="K166" i="4"/>
  <c r="A65" i="4"/>
  <c r="A67" i="4" s="1"/>
  <c r="A69" i="4" s="1"/>
  <c r="K63" i="4"/>
  <c r="A731" i="1"/>
  <c r="I2697" i="4"/>
  <c r="I2696" i="4"/>
  <c r="I2695" i="4"/>
  <c r="I2694" i="4"/>
  <c r="I2693" i="4"/>
  <c r="I2692" i="4"/>
  <c r="K2691" i="4"/>
  <c r="I2690" i="4"/>
  <c r="I2689" i="4"/>
  <c r="I2688" i="4"/>
  <c r="I2687" i="4"/>
  <c r="I2686" i="4"/>
  <c r="I2685" i="4"/>
  <c r="K2684" i="4"/>
  <c r="I2683" i="4"/>
  <c r="I2682" i="4"/>
  <c r="I2681" i="4"/>
  <c r="I2680" i="4"/>
  <c r="I2679" i="4"/>
  <c r="I2678" i="4"/>
  <c r="K2677" i="4"/>
  <c r="I2667" i="4"/>
  <c r="I2666" i="4"/>
  <c r="I2665" i="4"/>
  <c r="I2664" i="4"/>
  <c r="I2663" i="4"/>
  <c r="I2662" i="4"/>
  <c r="K2661" i="4"/>
  <c r="I2660" i="4"/>
  <c r="I2659" i="4"/>
  <c r="K2658" i="4"/>
  <c r="I2657" i="4"/>
  <c r="I2656" i="4"/>
  <c r="I2655" i="4"/>
  <c r="I2654" i="4"/>
  <c r="I2653" i="4"/>
  <c r="I2652" i="4"/>
  <c r="K2651" i="4"/>
  <c r="A2651" i="4"/>
  <c r="A2658" i="4" s="1"/>
  <c r="A2661" i="4" s="1"/>
  <c r="I2650" i="4"/>
  <c r="I2649" i="4"/>
  <c r="I2648" i="4"/>
  <c r="I2647" i="4"/>
  <c r="I2646" i="4"/>
  <c r="I2645" i="4"/>
  <c r="K2644" i="4"/>
  <c r="A387" i="1"/>
  <c r="J1483" i="4"/>
  <c r="K1481" i="4"/>
  <c r="K1464" i="4"/>
  <c r="I1463" i="4"/>
  <c r="I1462" i="4"/>
  <c r="I1459" i="4"/>
  <c r="I1458" i="4"/>
  <c r="I1450" i="4"/>
  <c r="I1449" i="4"/>
  <c r="I1448" i="4"/>
  <c r="I1441" i="4"/>
  <c r="I1440" i="4"/>
  <c r="I1439" i="4"/>
  <c r="K1437" i="4"/>
  <c r="K1427" i="4"/>
  <c r="K1418" i="4"/>
  <c r="I1417" i="4"/>
  <c r="I1416" i="4"/>
  <c r="I1415" i="4"/>
  <c r="I1413" i="4"/>
  <c r="I1412" i="4"/>
  <c r="I1411" i="4"/>
  <c r="A1410" i="4"/>
  <c r="A1414" i="4" s="1"/>
  <c r="A1418" i="4" s="1"/>
  <c r="A1427" i="4" s="1"/>
  <c r="A1436" i="4" s="1"/>
  <c r="A1438" i="4" s="1"/>
  <c r="J1408" i="4"/>
  <c r="J1406" i="4"/>
  <c r="J1404" i="4"/>
  <c r="K1401" i="4"/>
  <c r="A71" i="1"/>
  <c r="K309" i="4"/>
  <c r="K306" i="4"/>
  <c r="K303" i="4"/>
  <c r="J288" i="4"/>
  <c r="J286" i="4"/>
  <c r="J284" i="4"/>
  <c r="K281" i="4"/>
  <c r="J280" i="4"/>
  <c r="J278" i="4"/>
  <c r="K276" i="4"/>
  <c r="K275" i="4"/>
  <c r="J268" i="4"/>
  <c r="J266" i="4"/>
  <c r="K265" i="4"/>
  <c r="A265" i="4"/>
  <c r="A274" i="4" s="1"/>
  <c r="A276" i="4" s="1"/>
  <c r="A281" i="4" s="1"/>
  <c r="A290" i="4" s="1"/>
  <c r="A293" i="4" s="1"/>
  <c r="A295" i="4" s="1"/>
  <c r="A299" i="4" s="1"/>
  <c r="J263" i="4"/>
  <c r="J261" i="4"/>
  <c r="J259" i="4"/>
  <c r="K256" i="4"/>
  <c r="J311" i="1" l="1"/>
  <c r="N670" i="1"/>
  <c r="A339" i="1"/>
  <c r="A2668" i="4"/>
  <c r="A2677" i="4" s="1"/>
  <c r="A2684" i="4" s="1"/>
  <c r="A2691" i="4" s="1"/>
  <c r="A2698" i="4" s="1"/>
  <c r="A1442" i="4"/>
  <c r="A1447" i="4" s="1"/>
  <c r="A1451" i="4" s="1"/>
  <c r="A1456" i="4" s="1"/>
  <c r="A1460" i="4" s="1"/>
  <c r="A1464" i="4" s="1"/>
  <c r="A1467" i="4" s="1"/>
  <c r="A2571" i="4"/>
  <c r="A2574" i="4" s="1"/>
  <c r="A2577" i="4" s="1"/>
  <c r="A2579" i="4" s="1"/>
  <c r="A2581" i="4" s="1"/>
  <c r="A2588" i="4" s="1"/>
  <c r="A2591" i="4" s="1"/>
  <c r="A2594" i="4" s="1"/>
  <c r="A2597" i="4" s="1"/>
  <c r="A2604" i="4" s="1"/>
  <c r="A2611" i="4" s="1"/>
  <c r="A2614" i="4" s="1"/>
  <c r="I1207" i="4"/>
  <c r="A1283" i="4"/>
  <c r="A1286" i="4" s="1"/>
  <c r="J364" i="1"/>
  <c r="J1332" i="4"/>
  <c r="J1325" i="4"/>
  <c r="I275" i="4"/>
  <c r="J1208" i="4"/>
  <c r="J1303" i="4"/>
  <c r="J1277" i="4"/>
  <c r="J1271" i="4"/>
  <c r="N265" i="1"/>
  <c r="P256" i="1"/>
  <c r="P254" i="1"/>
  <c r="P262" i="1"/>
  <c r="N258" i="1"/>
  <c r="A72" i="1"/>
  <c r="A388" i="1"/>
  <c r="A732" i="1"/>
  <c r="N16" i="1"/>
  <c r="N19" i="1"/>
  <c r="A700" i="1"/>
  <c r="N700" i="1"/>
  <c r="N714" i="1"/>
  <c r="P336" i="1"/>
  <c r="P353" i="1"/>
  <c r="P368" i="1"/>
  <c r="N382" i="1"/>
  <c r="P341" i="1"/>
  <c r="N370" i="1"/>
  <c r="P346" i="1"/>
  <c r="P367" i="1"/>
  <c r="N340" i="1"/>
  <c r="P360" i="1"/>
  <c r="N351" i="1"/>
  <c r="P380" i="1"/>
  <c r="P383" i="1"/>
  <c r="N377" i="1"/>
  <c r="N384" i="1"/>
  <c r="P348" i="1"/>
  <c r="N358" i="1"/>
  <c r="P362" i="1"/>
  <c r="P350" i="1"/>
  <c r="P361" i="1"/>
  <c r="A36" i="1"/>
  <c r="P16" i="1"/>
  <c r="P318" i="1"/>
  <c r="P323" i="1"/>
  <c r="P313" i="1"/>
  <c r="P325" i="1"/>
  <c r="P317" i="1"/>
  <c r="P319" i="1"/>
  <c r="P315" i="1"/>
  <c r="J248" i="1"/>
  <c r="A303" i="4"/>
  <c r="A306" i="4" s="1"/>
  <c r="A309" i="4" s="1"/>
  <c r="P700" i="1"/>
  <c r="A76" i="4"/>
  <c r="N254" i="1"/>
  <c r="N252" i="1"/>
  <c r="J1256" i="4"/>
  <c r="J1222" i="4"/>
  <c r="J1359" i="4"/>
  <c r="J1220" i="4"/>
  <c r="I92" i="4"/>
  <c r="N368" i="1"/>
  <c r="J15" i="1"/>
  <c r="P377" i="1"/>
  <c r="N380" i="1"/>
  <c r="P358" i="1"/>
  <c r="P340" i="1"/>
  <c r="P714" i="1"/>
  <c r="P252" i="1"/>
  <c r="N262" i="1"/>
  <c r="N346" i="1"/>
  <c r="N367" i="1"/>
  <c r="P258" i="1"/>
  <c r="N348" i="1"/>
  <c r="N350" i="1"/>
  <c r="P19" i="1"/>
  <c r="P370" i="1"/>
  <c r="N362" i="1"/>
  <c r="N353" i="1"/>
  <c r="N360" i="1"/>
  <c r="P351" i="1"/>
  <c r="P382" i="1"/>
  <c r="N341" i="1"/>
  <c r="N361" i="1"/>
  <c r="P265" i="1"/>
  <c r="N336" i="1"/>
  <c r="P384" i="1"/>
  <c r="N256" i="1"/>
  <c r="J258" i="4"/>
  <c r="J260" i="4"/>
  <c r="J262" i="4"/>
  <c r="J264" i="4"/>
  <c r="J267" i="4"/>
  <c r="J269" i="4"/>
  <c r="J273" i="4"/>
  <c r="J308" i="4"/>
  <c r="J1412" i="4"/>
  <c r="J1415" i="4"/>
  <c r="J1417" i="4"/>
  <c r="J1419" i="4"/>
  <c r="J1421" i="4"/>
  <c r="J1423" i="4"/>
  <c r="J1425" i="4"/>
  <c r="J1429" i="4"/>
  <c r="J1431" i="4"/>
  <c r="J1433" i="4"/>
  <c r="J1435" i="4"/>
  <c r="J1439" i="4"/>
  <c r="J1441" i="4"/>
  <c r="J1449" i="4"/>
  <c r="J1461" i="4"/>
  <c r="J1463" i="4"/>
  <c r="J1465" i="4"/>
  <c r="J1468" i="4"/>
  <c r="J1482" i="4"/>
  <c r="J2645" i="4"/>
  <c r="J2647" i="4"/>
  <c r="J2649" i="4"/>
  <c r="J2652" i="4"/>
  <c r="J2654" i="4"/>
  <c r="J2656" i="4"/>
  <c r="J2660" i="4"/>
  <c r="J2662" i="4"/>
  <c r="J2664" i="4"/>
  <c r="J2666" i="4"/>
  <c r="J2679" i="4"/>
  <c r="J2681" i="4"/>
  <c r="J2683" i="4"/>
  <c r="J2686" i="4"/>
  <c r="J2688" i="4"/>
  <c r="J2690" i="4"/>
  <c r="J2692" i="4"/>
  <c r="J2694" i="4"/>
  <c r="J2696" i="4"/>
  <c r="J63" i="4"/>
  <c r="J66" i="4"/>
  <c r="J93" i="4"/>
  <c r="J181" i="4"/>
  <c r="J190" i="4"/>
  <c r="J228" i="4"/>
  <c r="J237" i="4"/>
  <c r="J65" i="1"/>
  <c r="J253" i="4"/>
  <c r="J371" i="1"/>
  <c r="J376" i="1"/>
  <c r="J379" i="1"/>
  <c r="J335" i="1"/>
  <c r="J339" i="1"/>
  <c r="J270" i="4"/>
  <c r="J272" i="4"/>
  <c r="J283" i="4"/>
  <c r="J285" i="4"/>
  <c r="J287" i="4"/>
  <c r="J289" i="4"/>
  <c r="J294" i="4"/>
  <c r="J307" i="4"/>
  <c r="J311" i="4"/>
  <c r="J1403" i="4"/>
  <c r="J1405" i="4"/>
  <c r="J1407" i="4"/>
  <c r="J1409" i="4"/>
  <c r="J1411" i="4"/>
  <c r="J1413" i="4"/>
  <c r="J1416" i="4"/>
  <c r="J1420" i="4"/>
  <c r="J1422" i="4"/>
  <c r="J1424" i="4"/>
  <c r="J1426" i="4"/>
  <c r="J1430" i="4"/>
  <c r="J1432" i="4"/>
  <c r="J1434" i="4"/>
  <c r="J1440" i="4"/>
  <c r="J1448" i="4"/>
  <c r="J1450" i="4"/>
  <c r="J1453" i="4"/>
  <c r="J1459" i="4"/>
  <c r="J1462" i="4"/>
  <c r="J1466" i="4"/>
  <c r="J1469" i="4"/>
  <c r="J2646" i="4"/>
  <c r="J2648" i="4"/>
  <c r="J2650" i="4"/>
  <c r="J2653" i="4"/>
  <c r="J2655" i="4"/>
  <c r="J2657" i="4"/>
  <c r="J2659" i="4"/>
  <c r="J2663" i="4"/>
  <c r="J2665" i="4"/>
  <c r="J2667" i="4"/>
  <c r="J2678" i="4"/>
  <c r="J2680" i="4"/>
  <c r="J2682" i="4"/>
  <c r="J2685" i="4"/>
  <c r="J2687" i="4"/>
  <c r="J2689" i="4"/>
  <c r="J2693" i="4"/>
  <c r="J2695" i="4"/>
  <c r="J2697" i="4"/>
  <c r="J64" i="4"/>
  <c r="J167" i="4"/>
  <c r="J169" i="4"/>
  <c r="J178" i="4"/>
  <c r="J53" i="1"/>
  <c r="J234" i="4"/>
  <c r="J245" i="4"/>
  <c r="J252" i="4"/>
  <c r="J254" i="4"/>
  <c r="J354" i="1"/>
  <c r="J352" i="1"/>
  <c r="J347" i="1"/>
  <c r="J375" i="1"/>
  <c r="J369" i="1"/>
  <c r="J381" i="1"/>
  <c r="Q71" i="1"/>
  <c r="Q76" i="1"/>
  <c r="Q732" i="1"/>
  <c r="Q736" i="1"/>
  <c r="Q47" i="1"/>
  <c r="Q53" i="1"/>
  <c r="Q63" i="1"/>
  <c r="Q66" i="1"/>
  <c r="J1378" i="4"/>
  <c r="Q81" i="1"/>
  <c r="Q386" i="1"/>
  <c r="Q389" i="1"/>
  <c r="Q401" i="1"/>
  <c r="Q730" i="1"/>
  <c r="Q731" i="1"/>
  <c r="Q33" i="1"/>
  <c r="Q49" i="1"/>
  <c r="Q51" i="1"/>
  <c r="Q54" i="1"/>
  <c r="Q61" i="1"/>
  <c r="Q73" i="1"/>
  <c r="Q80" i="1"/>
  <c r="Q390" i="1"/>
  <c r="Q735" i="1"/>
  <c r="J1363" i="4"/>
  <c r="Q70" i="1"/>
  <c r="Q74" i="1"/>
  <c r="Q79" i="1"/>
  <c r="Q398" i="1"/>
  <c r="Q733" i="1"/>
  <c r="Q737" i="1"/>
  <c r="Q64" i="1"/>
  <c r="Q65" i="1"/>
  <c r="J1383" i="4"/>
  <c r="I227" i="4"/>
  <c r="I189" i="4"/>
  <c r="K177" i="4"/>
  <c r="K1436" i="4"/>
  <c r="K1447" i="4"/>
  <c r="P712" i="1"/>
  <c r="N712" i="1"/>
  <c r="J694" i="1"/>
  <c r="J1437" i="4"/>
  <c r="I1436" i="4"/>
  <c r="K62" i="4"/>
  <c r="K92" i="4"/>
  <c r="K250" i="4"/>
  <c r="J338" i="1"/>
  <c r="J239" i="4"/>
  <c r="J184" i="4"/>
  <c r="I62" i="4"/>
  <c r="I166" i="4"/>
  <c r="I177" i="4"/>
  <c r="I233" i="4"/>
  <c r="I244" i="4"/>
  <c r="K1410" i="4"/>
  <c r="K1456" i="4"/>
  <c r="I1418" i="4"/>
  <c r="I1427" i="4"/>
  <c r="K274" i="4"/>
  <c r="I1457" i="4"/>
  <c r="I1464" i="4"/>
  <c r="I2644" i="4"/>
  <c r="I2651" i="4"/>
  <c r="I2658" i="4"/>
  <c r="I2661" i="4"/>
  <c r="I2677" i="4"/>
  <c r="I2684" i="4"/>
  <c r="I2691" i="4"/>
  <c r="I1401" i="4"/>
  <c r="J1458" i="4"/>
  <c r="I1410" i="4"/>
  <c r="K1414" i="4"/>
  <c r="K1438" i="4"/>
  <c r="I1447" i="4"/>
  <c r="K1460" i="4"/>
  <c r="I1414" i="4"/>
  <c r="I1438" i="4"/>
  <c r="I1460" i="4"/>
  <c r="I1481" i="4"/>
  <c r="I256" i="4"/>
  <c r="I276" i="4"/>
  <c r="I281" i="4"/>
  <c r="I303" i="4"/>
  <c r="A340" i="1" l="1"/>
  <c r="J293" i="4"/>
  <c r="I2643" i="4"/>
  <c r="J1467" i="4"/>
  <c r="A1472" i="4"/>
  <c r="A1481" i="4" s="1"/>
  <c r="A2700" i="4"/>
  <c r="A2703" i="4" s="1"/>
  <c r="A2706" i="4" s="1"/>
  <c r="A2715" i="4" s="1"/>
  <c r="A2722" i="4" s="1"/>
  <c r="A2724" i="4" s="1"/>
  <c r="A701" i="1"/>
  <c r="A1290" i="4"/>
  <c r="A1292" i="4" s="1"/>
  <c r="A1294" i="4" s="1"/>
  <c r="A1297" i="4" s="1"/>
  <c r="A1300" i="4" s="1"/>
  <c r="A1303" i="4" s="1"/>
  <c r="A1305" i="4" s="1"/>
  <c r="A1309" i="4" s="1"/>
  <c r="A1317" i="4" s="1"/>
  <c r="A1321" i="4" s="1"/>
  <c r="A1325" i="4" s="1"/>
  <c r="A1329" i="4" s="1"/>
  <c r="A1332" i="4" s="1"/>
  <c r="A1336" i="4" s="1"/>
  <c r="A1345" i="4" s="1"/>
  <c r="A1356" i="4" s="1"/>
  <c r="I274" i="4"/>
  <c r="A2617" i="4"/>
  <c r="J275" i="4"/>
  <c r="Q57" i="1"/>
  <c r="J236" i="4"/>
  <c r="J1481" i="4"/>
  <c r="J65" i="4"/>
  <c r="J180" i="4"/>
  <c r="N15" i="1"/>
  <c r="A733" i="1"/>
  <c r="A389" i="1"/>
  <c r="A73" i="1"/>
  <c r="A37" i="1"/>
  <c r="N694" i="1"/>
  <c r="P347" i="1"/>
  <c r="N354" i="1"/>
  <c r="P364" i="1"/>
  <c r="N335" i="1"/>
  <c r="P376" i="1"/>
  <c r="P375" i="1"/>
  <c r="N352" i="1"/>
  <c r="N53" i="1"/>
  <c r="P339" i="1"/>
  <c r="P379" i="1"/>
  <c r="N371" i="1"/>
  <c r="P65" i="1"/>
  <c r="A312" i="4"/>
  <c r="A325" i="4" s="1"/>
  <c r="A83" i="4"/>
  <c r="A92" i="4" s="1"/>
  <c r="J271" i="4"/>
  <c r="I265" i="4"/>
  <c r="J2658" i="4"/>
  <c r="J309" i="4"/>
  <c r="J303" i="4"/>
  <c r="J281" i="4"/>
  <c r="J244" i="4"/>
  <c r="J233" i="4"/>
  <c r="J177" i="4"/>
  <c r="J1447" i="4"/>
  <c r="J227" i="4"/>
  <c r="J189" i="4"/>
  <c r="J2644" i="4"/>
  <c r="J1460" i="4"/>
  <c r="P354" i="1"/>
  <c r="N347" i="1"/>
  <c r="N364" i="1"/>
  <c r="J2691" i="4"/>
  <c r="J1464" i="4"/>
  <c r="J2677" i="4"/>
  <c r="J1427" i="4"/>
  <c r="J1401" i="4"/>
  <c r="J2661" i="4"/>
  <c r="J1414" i="4"/>
  <c r="J166" i="4"/>
  <c r="J2684" i="4"/>
  <c r="J1410" i="4"/>
  <c r="J62" i="4"/>
  <c r="J2651" i="4"/>
  <c r="J1438" i="4"/>
  <c r="J1418" i="4"/>
  <c r="J306" i="4"/>
  <c r="J276" i="4"/>
  <c r="J256" i="4"/>
  <c r="N376" i="1"/>
  <c r="N339" i="1"/>
  <c r="N65" i="1"/>
  <c r="P53" i="1"/>
  <c r="P352" i="1"/>
  <c r="N379" i="1"/>
  <c r="P371" i="1"/>
  <c r="P335" i="1"/>
  <c r="N375" i="1"/>
  <c r="J80" i="1"/>
  <c r="J76" i="1"/>
  <c r="J73" i="1"/>
  <c r="J397" i="1"/>
  <c r="J388" i="1"/>
  <c r="J394" i="1"/>
  <c r="J737" i="1"/>
  <c r="J733" i="1"/>
  <c r="J731" i="1"/>
  <c r="J1457" i="4"/>
  <c r="J390" i="1"/>
  <c r="J66" i="1"/>
  <c r="J50" i="1"/>
  <c r="J47" i="1"/>
  <c r="J32" i="1"/>
  <c r="J251" i="4"/>
  <c r="J391" i="1"/>
  <c r="J64" i="1"/>
  <c r="J61" i="1"/>
  <c r="J81" i="1"/>
  <c r="J79" i="1"/>
  <c r="J74" i="1"/>
  <c r="J70" i="1"/>
  <c r="J401" i="1"/>
  <c r="J392" i="1"/>
  <c r="J399" i="1"/>
  <c r="J1452" i="4"/>
  <c r="J387" i="1"/>
  <c r="J386" i="1"/>
  <c r="J736" i="1"/>
  <c r="J735" i="1"/>
  <c r="J732" i="1"/>
  <c r="J730" i="1"/>
  <c r="J398" i="1"/>
  <c r="J389" i="1"/>
  <c r="J63" i="1"/>
  <c r="J54" i="1"/>
  <c r="P381" i="1"/>
  <c r="N381" i="1"/>
  <c r="N369" i="1"/>
  <c r="P369" i="1"/>
  <c r="Q392" i="1"/>
  <c r="Q397" i="1"/>
  <c r="Q388" i="1"/>
  <c r="Q396" i="1"/>
  <c r="Q399" i="1"/>
  <c r="Q391" i="1"/>
  <c r="Q50" i="1"/>
  <c r="Q72" i="1"/>
  <c r="Q387" i="1"/>
  <c r="Q68" i="1"/>
  <c r="Q395" i="1"/>
  <c r="Q38" i="1"/>
  <c r="Q394" i="1"/>
  <c r="Q32" i="1"/>
  <c r="J1436" i="4"/>
  <c r="N338" i="1"/>
  <c r="P338" i="1"/>
  <c r="I250" i="4"/>
  <c r="I1456" i="4"/>
  <c r="A341" i="1" l="1"/>
  <c r="A342" i="1" s="1"/>
  <c r="I1400" i="4"/>
  <c r="A1484" i="4"/>
  <c r="A1487" i="4" s="1"/>
  <c r="A1489" i="4" s="1"/>
  <c r="A1492" i="4" s="1"/>
  <c r="A1499" i="4" s="1"/>
  <c r="A734" i="1"/>
  <c r="A702" i="1"/>
  <c r="J1451" i="4"/>
  <c r="J72" i="1"/>
  <c r="I61" i="4"/>
  <c r="A94" i="4"/>
  <c r="A113" i="4" s="1"/>
  <c r="A126" i="4" s="1"/>
  <c r="A145" i="4" s="1"/>
  <c r="A148" i="4" s="1"/>
  <c r="A151" i="4" s="1"/>
  <c r="A160" i="4" s="1"/>
  <c r="A162" i="4" s="1"/>
  <c r="A166" i="4" s="1"/>
  <c r="A171" i="4" s="1"/>
  <c r="A174" i="4" s="1"/>
  <c r="A177" i="4" s="1"/>
  <c r="A180" i="4" s="1"/>
  <c r="A2624" i="4"/>
  <c r="A2627" i="4" s="1"/>
  <c r="A2630" i="4" s="1"/>
  <c r="A2633" i="4" s="1"/>
  <c r="A2636" i="4" s="1"/>
  <c r="J274" i="4"/>
  <c r="A1359" i="4"/>
  <c r="A1363" i="4"/>
  <c r="A1366" i="4" s="1"/>
  <c r="A1378" i="4" s="1"/>
  <c r="A1380" i="4" s="1"/>
  <c r="A1383" i="4" s="1"/>
  <c r="A1386" i="4" s="1"/>
  <c r="A1388" i="4" s="1"/>
  <c r="A1395" i="4" s="1"/>
  <c r="I255" i="4"/>
  <c r="J729" i="1"/>
  <c r="J1456" i="4"/>
  <c r="J265" i="4"/>
  <c r="J250" i="4"/>
  <c r="A38" i="1"/>
  <c r="P389" i="1"/>
  <c r="N735" i="1"/>
  <c r="N392" i="1"/>
  <c r="P79" i="1"/>
  <c r="N391" i="1"/>
  <c r="N390" i="1"/>
  <c r="P731" i="1"/>
  <c r="N394" i="1"/>
  <c r="N397" i="1"/>
  <c r="P76" i="1"/>
  <c r="N398" i="1"/>
  <c r="P732" i="1"/>
  <c r="P736" i="1"/>
  <c r="N386" i="1"/>
  <c r="N387" i="1"/>
  <c r="P399" i="1"/>
  <c r="N401" i="1"/>
  <c r="N74" i="1"/>
  <c r="P81" i="1"/>
  <c r="N733" i="1"/>
  <c r="N737" i="1"/>
  <c r="N388" i="1"/>
  <c r="N73" i="1"/>
  <c r="P80" i="1"/>
  <c r="A74" i="1"/>
  <c r="A390" i="1"/>
  <c r="P54" i="1"/>
  <c r="N63" i="1"/>
  <c r="P64" i="1"/>
  <c r="N47" i="1"/>
  <c r="P66" i="1"/>
  <c r="P61" i="1"/>
  <c r="N32" i="1"/>
  <c r="P50" i="1"/>
  <c r="J71" i="1"/>
  <c r="P388" i="1"/>
  <c r="N81" i="1"/>
  <c r="N64" i="1"/>
  <c r="N732" i="1"/>
  <c r="P737" i="1"/>
  <c r="P401" i="1"/>
  <c r="P398" i="1"/>
  <c r="N399" i="1"/>
  <c r="N730" i="1"/>
  <c r="P47" i="1"/>
  <c r="P391" i="1"/>
  <c r="N736" i="1"/>
  <c r="N54" i="1"/>
  <c r="P70" i="1"/>
  <c r="P73" i="1"/>
  <c r="N76" i="1"/>
  <c r="P394" i="1"/>
  <c r="P386" i="1"/>
  <c r="P730" i="1"/>
  <c r="P733" i="1"/>
  <c r="P390" i="1"/>
  <c r="P32" i="1"/>
  <c r="N50" i="1"/>
  <c r="N66" i="1"/>
  <c r="N70" i="1"/>
  <c r="P63" i="1"/>
  <c r="N389" i="1"/>
  <c r="N79" i="1"/>
  <c r="P392" i="1"/>
  <c r="P397" i="1"/>
  <c r="P74" i="1"/>
  <c r="N80" i="1"/>
  <c r="P387" i="1"/>
  <c r="N731" i="1"/>
  <c r="P735" i="1"/>
  <c r="N61" i="1"/>
  <c r="J395" i="1"/>
  <c r="J396" i="1"/>
  <c r="J68" i="1"/>
  <c r="J38" i="1"/>
  <c r="J33" i="1"/>
  <c r="J49" i="1"/>
  <c r="J51" i="1"/>
  <c r="J57" i="1"/>
  <c r="J92" i="4"/>
  <c r="A703" i="1" l="1"/>
  <c r="A735" i="1"/>
  <c r="N72" i="1"/>
  <c r="P72" i="1"/>
  <c r="A39" i="1"/>
  <c r="A343" i="1"/>
  <c r="N729" i="1"/>
  <c r="J385" i="1"/>
  <c r="A182" i="4"/>
  <c r="A184" i="4" s="1"/>
  <c r="A189" i="4" s="1"/>
  <c r="A192" i="4" s="1"/>
  <c r="N395" i="1"/>
  <c r="N396" i="1"/>
  <c r="P71" i="1"/>
  <c r="A391" i="1"/>
  <c r="A75" i="1"/>
  <c r="N51" i="1"/>
  <c r="N68" i="1"/>
  <c r="P57" i="1"/>
  <c r="P49" i="1"/>
  <c r="P38" i="1"/>
  <c r="P33" i="1"/>
  <c r="N71" i="1"/>
  <c r="J69" i="1"/>
  <c r="P396" i="1"/>
  <c r="P395" i="1"/>
  <c r="N49" i="1"/>
  <c r="N38" i="1"/>
  <c r="N57" i="1"/>
  <c r="J31" i="1"/>
  <c r="P68" i="1"/>
  <c r="P51" i="1"/>
  <c r="N33" i="1"/>
  <c r="A748" i="1"/>
  <c r="A749" i="1" s="1"/>
  <c r="A704" i="1" l="1"/>
  <c r="A750" i="1"/>
  <c r="A751" i="1" s="1"/>
  <c r="A752" i="1" s="1"/>
  <c r="A753" i="1" s="1"/>
  <c r="A754" i="1" s="1"/>
  <c r="A736" i="1"/>
  <c r="A344" i="1"/>
  <c r="N385" i="1"/>
  <c r="A705" i="1"/>
  <c r="A202" i="4"/>
  <c r="A205" i="4" s="1"/>
  <c r="A208" i="4" s="1"/>
  <c r="N69" i="1"/>
  <c r="A76" i="1"/>
  <c r="A392" i="1"/>
  <c r="N31" i="1"/>
  <c r="G745" i="1"/>
  <c r="I745" i="1"/>
  <c r="L745" i="1"/>
  <c r="O745" i="1"/>
  <c r="H745" i="1"/>
  <c r="K745" i="1"/>
  <c r="M745" i="1"/>
  <c r="I3016" i="4"/>
  <c r="K3015" i="4"/>
  <c r="I2985" i="4"/>
  <c r="I2984" i="4"/>
  <c r="K2983" i="4"/>
  <c r="I2978" i="4"/>
  <c r="J2978" i="4" s="1"/>
  <c r="K2977" i="4"/>
  <c r="I2945" i="4"/>
  <c r="I2943" i="4"/>
  <c r="I2942" i="4"/>
  <c r="I2941" i="4"/>
  <c r="K2940" i="4"/>
  <c r="I2939" i="4"/>
  <c r="I2938" i="4"/>
  <c r="K2937" i="4"/>
  <c r="I2923" i="4"/>
  <c r="K2922" i="4"/>
  <c r="I2901" i="4"/>
  <c r="I2900" i="4"/>
  <c r="K2899" i="4"/>
  <c r="I2893" i="4"/>
  <c r="K2892" i="4"/>
  <c r="I2865" i="4"/>
  <c r="I2864" i="4"/>
  <c r="K2863" i="4"/>
  <c r="I2861" i="4"/>
  <c r="K2860" i="4"/>
  <c r="I2859" i="4"/>
  <c r="K2857" i="4"/>
  <c r="K2854" i="4"/>
  <c r="I2847" i="4"/>
  <c r="I2846" i="4"/>
  <c r="K2845" i="4"/>
  <c r="K2829" i="4"/>
  <c r="K2801" i="4"/>
  <c r="I2799" i="4"/>
  <c r="K2798" i="4"/>
  <c r="I2796" i="4"/>
  <c r="J2796" i="4" s="1"/>
  <c r="K2795" i="4"/>
  <c r="I2773" i="4"/>
  <c r="I2772" i="4"/>
  <c r="K2771" i="4"/>
  <c r="I2769" i="4"/>
  <c r="K2768" i="4"/>
  <c r="I2749" i="4"/>
  <c r="I2748" i="4"/>
  <c r="I2746" i="4"/>
  <c r="K2745" i="4"/>
  <c r="A2745" i="4"/>
  <c r="A2750" i="4" s="1"/>
  <c r="A2753" i="4" s="1"/>
  <c r="J2741" i="4"/>
  <c r="K2740" i="4"/>
  <c r="O468" i="1"/>
  <c r="M468" i="1"/>
  <c r="L468" i="1"/>
  <c r="K468" i="1"/>
  <c r="I468" i="1"/>
  <c r="H468" i="1"/>
  <c r="H465" i="1"/>
  <c r="G465" i="1"/>
  <c r="A410" i="1"/>
  <c r="K2015" i="4"/>
  <c r="K2012" i="4"/>
  <c r="K2000" i="4"/>
  <c r="K1969" i="4"/>
  <c r="K1962" i="4"/>
  <c r="K1959" i="4"/>
  <c r="K1948" i="4"/>
  <c r="K1923" i="4"/>
  <c r="K1914" i="4"/>
  <c r="K1845" i="4"/>
  <c r="K1832" i="4"/>
  <c r="I1831" i="4"/>
  <c r="I1830" i="4"/>
  <c r="K1829" i="4"/>
  <c r="K1802" i="4"/>
  <c r="I1794" i="4"/>
  <c r="K1793" i="4"/>
  <c r="K1764" i="4"/>
  <c r="I1749" i="4"/>
  <c r="K1748" i="4"/>
  <c r="K1745" i="4"/>
  <c r="I1737" i="4"/>
  <c r="I1724" i="4"/>
  <c r="I1722" i="4"/>
  <c r="I1720" i="4"/>
  <c r="K1719" i="4"/>
  <c r="K1716" i="4"/>
  <c r="K1713" i="4"/>
  <c r="K1710" i="4"/>
  <c r="K1696" i="4"/>
  <c r="K1695" i="4"/>
  <c r="K1672" i="4"/>
  <c r="K1664" i="4"/>
  <c r="K1647" i="4"/>
  <c r="K1618" i="4"/>
  <c r="K1590" i="4"/>
  <c r="K1581" i="4"/>
  <c r="K1567" i="4"/>
  <c r="K1566" i="4"/>
  <c r="K1534" i="4"/>
  <c r="K1527" i="4"/>
  <c r="J1523" i="4"/>
  <c r="K1520" i="4"/>
  <c r="J1516" i="4"/>
  <c r="K1513" i="4"/>
  <c r="A1513" i="4"/>
  <c r="A1520" i="4" s="1"/>
  <c r="A1527" i="4" s="1"/>
  <c r="A1534" i="4" s="1"/>
  <c r="A1541" i="4" s="1"/>
  <c r="A1543" i="4" s="1"/>
  <c r="J1510" i="4"/>
  <c r="K1508" i="4"/>
  <c r="K868" i="4"/>
  <c r="K865" i="4"/>
  <c r="K756" i="4"/>
  <c r="K753" i="4"/>
  <c r="K739" i="4"/>
  <c r="K719" i="4"/>
  <c r="K716" i="4"/>
  <c r="K711" i="4"/>
  <c r="K708" i="4"/>
  <c r="K690" i="4"/>
  <c r="K687" i="4"/>
  <c r="K684" i="4"/>
  <c r="K631" i="4"/>
  <c r="K625" i="4"/>
  <c r="K622" i="4"/>
  <c r="K619" i="4"/>
  <c r="K616" i="4"/>
  <c r="J615" i="4"/>
  <c r="J614" i="4"/>
  <c r="J613" i="4"/>
  <c r="J612" i="4"/>
  <c r="J610" i="4"/>
  <c r="J609" i="4"/>
  <c r="J608" i="4"/>
  <c r="J607" i="4"/>
  <c r="J606" i="4"/>
  <c r="J604" i="4"/>
  <c r="J603" i="4"/>
  <c r="J601" i="4"/>
  <c r="I600" i="4"/>
  <c r="K592" i="4"/>
  <c r="K586" i="4"/>
  <c r="K583" i="4"/>
  <c r="K580" i="4"/>
  <c r="K577" i="4"/>
  <c r="K574" i="4"/>
  <c r="J573" i="4"/>
  <c r="J572" i="4"/>
  <c r="J571" i="4"/>
  <c r="I569" i="4"/>
  <c r="K564" i="4"/>
  <c r="K561" i="4"/>
  <c r="K558" i="4"/>
  <c r="K555" i="4"/>
  <c r="K547" i="4"/>
  <c r="K544" i="4"/>
  <c r="K504" i="4"/>
  <c r="K501" i="4"/>
  <c r="K468" i="4"/>
  <c r="K465" i="4"/>
  <c r="J464" i="4"/>
  <c r="K462" i="4"/>
  <c r="J462" i="4"/>
  <c r="K461" i="4"/>
  <c r="K451" i="4"/>
  <c r="K446" i="4"/>
  <c r="K423" i="4"/>
  <c r="K411" i="4"/>
  <c r="K398" i="4"/>
  <c r="K391" i="4"/>
  <c r="K388" i="4"/>
  <c r="K383" i="4"/>
  <c r="K360" i="4"/>
  <c r="A363" i="4"/>
  <c r="A755" i="1" l="1"/>
  <c r="A756" i="1" s="1"/>
  <c r="A757" i="1" s="1"/>
  <c r="A758" i="1" s="1"/>
  <c r="A759" i="1" s="1"/>
  <c r="A760" i="1" s="1"/>
  <c r="A761" i="1" s="1"/>
  <c r="A393" i="1"/>
  <c r="A40" i="1"/>
  <c r="A345" i="1"/>
  <c r="A2756" i="4"/>
  <c r="A2759" i="4" s="1"/>
  <c r="A2762" i="4" s="1"/>
  <c r="G448" i="1"/>
  <c r="A411" i="1"/>
  <c r="H448" i="1"/>
  <c r="A1546" i="4"/>
  <c r="A1549" i="4" s="1"/>
  <c r="A1552" i="4" s="1"/>
  <c r="A1554" i="4" s="1"/>
  <c r="A1556" i="4" s="1"/>
  <c r="A1558" i="4" s="1"/>
  <c r="A1560" i="4" s="1"/>
  <c r="A1563" i="4" s="1"/>
  <c r="A1565" i="4" s="1"/>
  <c r="A77" i="1"/>
  <c r="A706" i="1"/>
  <c r="A213" i="4"/>
  <c r="A224" i="4" s="1"/>
  <c r="A227" i="4" s="1"/>
  <c r="K1671" i="4"/>
  <c r="K1565" i="4"/>
  <c r="K1694" i="4"/>
  <c r="K1801" i="4"/>
  <c r="A737" i="1"/>
  <c r="A92" i="1"/>
  <c r="A366" i="4"/>
  <c r="A373" i="4" s="1"/>
  <c r="A376" i="4" s="1"/>
  <c r="J1514" i="4"/>
  <c r="J1535" i="4"/>
  <c r="I1698" i="4"/>
  <c r="J1717" i="4"/>
  <c r="J1724" i="4"/>
  <c r="I2747" i="4"/>
  <c r="J2832" i="4"/>
  <c r="J2861" i="4"/>
  <c r="J2923" i="4"/>
  <c r="J2945" i="4"/>
  <c r="J414" i="4"/>
  <c r="J1537" i="4"/>
  <c r="J1722" i="4"/>
  <c r="I1795" i="4"/>
  <c r="J1965" i="4"/>
  <c r="I2800" i="4"/>
  <c r="J2834" i="4"/>
  <c r="J2893" i="4"/>
  <c r="J2943" i="4"/>
  <c r="J3016" i="4"/>
  <c r="J355" i="4"/>
  <c r="J357" i="4"/>
  <c r="J362" i="4"/>
  <c r="J390" i="4"/>
  <c r="J400" i="4"/>
  <c r="J426" i="4"/>
  <c r="J431" i="4"/>
  <c r="J444" i="4"/>
  <c r="J445" i="4"/>
  <c r="J453" i="4"/>
  <c r="J455" i="4"/>
  <c r="J457" i="4"/>
  <c r="J459" i="4"/>
  <c r="J467" i="4"/>
  <c r="J506" i="4"/>
  <c r="J508" i="4"/>
  <c r="J510" i="4"/>
  <c r="J582" i="4"/>
  <c r="J713" i="4"/>
  <c r="J738" i="4"/>
  <c r="J847" i="4"/>
  <c r="J1512" i="4"/>
  <c r="J1529" i="4"/>
  <c r="J1531" i="4"/>
  <c r="J1533" i="4"/>
  <c r="J1583" i="4"/>
  <c r="J1585" i="4"/>
  <c r="J1587" i="4"/>
  <c r="J1619" i="4"/>
  <c r="J1666" i="4"/>
  <c r="J1668" i="4"/>
  <c r="J1670" i="4"/>
  <c r="J1846" i="4"/>
  <c r="J1848" i="4"/>
  <c r="J1850" i="4"/>
  <c r="J1852" i="4"/>
  <c r="J1952" i="4"/>
  <c r="J2743" i="4"/>
  <c r="J2749" i="4"/>
  <c r="J2803" i="4"/>
  <c r="J2847" i="4"/>
  <c r="J2855" i="4"/>
  <c r="J2859" i="4"/>
  <c r="J2864" i="4"/>
  <c r="J2901" i="4"/>
  <c r="J2938" i="4"/>
  <c r="J2942" i="4"/>
  <c r="J2984" i="4"/>
  <c r="J365" i="4"/>
  <c r="J393" i="4"/>
  <c r="J427" i="4"/>
  <c r="J430" i="4"/>
  <c r="J443" i="4"/>
  <c r="J454" i="4"/>
  <c r="J456" i="4"/>
  <c r="J458" i="4"/>
  <c r="J466" i="4"/>
  <c r="J476" i="4"/>
  <c r="J507" i="4"/>
  <c r="J140" i="1"/>
  <c r="J150" i="1"/>
  <c r="J737" i="4"/>
  <c r="J848" i="4"/>
  <c r="J1517" i="4"/>
  <c r="J1519" i="4"/>
  <c r="J1524" i="4"/>
  <c r="J1526" i="4"/>
  <c r="J1528" i="4"/>
  <c r="J1530" i="4"/>
  <c r="J1540" i="4"/>
  <c r="J1569" i="4"/>
  <c r="J1584" i="4"/>
  <c r="J1586" i="4"/>
  <c r="J1620" i="4"/>
  <c r="J1667" i="4"/>
  <c r="J1669" i="4"/>
  <c r="J1735" i="4"/>
  <c r="J1740" i="4"/>
  <c r="J1830" i="4"/>
  <c r="J1847" i="4"/>
  <c r="J1849" i="4"/>
  <c r="J1851" i="4"/>
  <c r="J1853" i="4"/>
  <c r="J1968" i="4"/>
  <c r="J2742" i="4"/>
  <c r="J2744" i="4"/>
  <c r="J2748" i="4"/>
  <c r="J2773" i="4"/>
  <c r="J2846" i="4"/>
  <c r="J2856" i="4"/>
  <c r="J2858" i="4"/>
  <c r="J2865" i="4"/>
  <c r="J2900" i="4"/>
  <c r="J2939" i="4"/>
  <c r="J2941" i="4"/>
  <c r="J2985" i="4"/>
  <c r="Q94" i="1"/>
  <c r="Q97" i="1"/>
  <c r="Q102" i="1"/>
  <c r="Q111" i="1"/>
  <c r="Q123" i="1"/>
  <c r="Q141" i="1"/>
  <c r="Q143" i="1"/>
  <c r="Q151" i="1"/>
  <c r="Q153" i="1"/>
  <c r="Q156" i="1"/>
  <c r="Q165" i="1"/>
  <c r="Q172" i="1"/>
  <c r="Q220" i="1"/>
  <c r="Q409" i="1"/>
  <c r="Q411" i="1"/>
  <c r="Q451" i="1"/>
  <c r="Q476" i="1"/>
  <c r="Q484" i="1"/>
  <c r="Q489" i="1"/>
  <c r="Q499" i="1"/>
  <c r="Q522" i="1"/>
  <c r="Q544" i="1"/>
  <c r="Q549" i="1"/>
  <c r="Q765" i="1"/>
  <c r="Q775" i="1"/>
  <c r="Q777" i="1"/>
  <c r="Q793" i="1"/>
  <c r="Q92" i="1"/>
  <c r="Q100" i="1"/>
  <c r="Q110" i="1"/>
  <c r="Q116" i="1"/>
  <c r="Q132" i="1"/>
  <c r="Q135" i="1"/>
  <c r="Q137" i="1"/>
  <c r="Q145" i="1"/>
  <c r="Q175" i="1"/>
  <c r="Q180" i="1"/>
  <c r="Q186" i="1"/>
  <c r="Q413" i="1"/>
  <c r="Q433" i="1"/>
  <c r="Q440" i="1"/>
  <c r="Q465" i="1"/>
  <c r="Q467" i="1"/>
  <c r="Q538" i="1"/>
  <c r="Q748" i="1"/>
  <c r="Q755" i="1"/>
  <c r="Q782" i="1"/>
  <c r="Q798" i="1"/>
  <c r="Q91" i="1"/>
  <c r="Q95" i="1"/>
  <c r="Q99" i="1"/>
  <c r="Q108" i="1"/>
  <c r="Q113" i="1"/>
  <c r="Q115" i="1"/>
  <c r="Q122" i="1"/>
  <c r="Q142" i="1"/>
  <c r="Q152" i="1"/>
  <c r="Q154" i="1"/>
  <c r="Q164" i="1"/>
  <c r="Q166" i="1"/>
  <c r="Q173" i="1"/>
  <c r="Q219" i="1"/>
  <c r="Q410" i="1"/>
  <c r="Q412" i="1"/>
  <c r="Q431" i="1"/>
  <c r="Q454" i="1"/>
  <c r="Q474" i="1"/>
  <c r="Q475" i="1"/>
  <c r="Q481" i="1"/>
  <c r="Q485" i="1"/>
  <c r="Q494" i="1"/>
  <c r="Q495" i="1"/>
  <c r="Q539" i="1"/>
  <c r="Q545" i="1"/>
  <c r="Q550" i="1"/>
  <c r="Q764" i="1"/>
  <c r="Q766" i="1"/>
  <c r="Q781" i="1"/>
  <c r="Q791" i="1"/>
  <c r="Q802" i="1"/>
  <c r="Q822" i="1"/>
  <c r="Q106" i="1"/>
  <c r="Q131" i="1"/>
  <c r="Q134" i="1"/>
  <c r="Q136" i="1"/>
  <c r="Q144" i="1"/>
  <c r="Q147" i="1"/>
  <c r="Q176" i="1"/>
  <c r="Q185" i="1"/>
  <c r="Q425" i="1"/>
  <c r="Q462" i="1"/>
  <c r="Q466" i="1"/>
  <c r="Q469" i="1"/>
  <c r="Q473" i="1"/>
  <c r="Q534" i="1"/>
  <c r="Q537" i="1"/>
  <c r="Q747" i="1"/>
  <c r="Q756" i="1"/>
  <c r="Q780" i="1"/>
  <c r="Q783" i="1"/>
  <c r="Q801" i="1"/>
  <c r="Q813" i="1"/>
  <c r="Q815" i="1"/>
  <c r="K569" i="4"/>
  <c r="K600" i="4"/>
  <c r="J569" i="4"/>
  <c r="K460" i="4"/>
  <c r="K845" i="4"/>
  <c r="J1591" i="4"/>
  <c r="J1593" i="4"/>
  <c r="J1595" i="4"/>
  <c r="K407" i="1"/>
  <c r="M407" i="1"/>
  <c r="I407" i="1"/>
  <c r="L407" i="1"/>
  <c r="O407" i="1"/>
  <c r="I1618" i="4"/>
  <c r="J1833" i="4"/>
  <c r="K1922" i="4"/>
  <c r="I1567" i="4"/>
  <c r="I1581" i="4"/>
  <c r="I2740" i="4"/>
  <c r="H84" i="1"/>
  <c r="K84" i="1"/>
  <c r="M84" i="1"/>
  <c r="G84" i="1"/>
  <c r="I84" i="1"/>
  <c r="L84" i="1"/>
  <c r="O84" i="1"/>
  <c r="I465" i="4"/>
  <c r="J1711" i="4"/>
  <c r="I1845" i="4"/>
  <c r="J2769" i="4"/>
  <c r="J2746" i="4"/>
  <c r="I2770" i="4"/>
  <c r="J2772" i="4"/>
  <c r="I2771" i="4"/>
  <c r="I2797" i="4"/>
  <c r="J2799" i="4"/>
  <c r="I2862" i="4"/>
  <c r="I2894" i="4"/>
  <c r="I2924" i="4"/>
  <c r="I2944" i="4"/>
  <c r="I2946" i="4"/>
  <c r="I2979" i="4"/>
  <c r="I3017" i="4"/>
  <c r="I2801" i="4"/>
  <c r="I2845" i="4"/>
  <c r="I2854" i="4"/>
  <c r="I2857" i="4"/>
  <c r="I2863" i="4"/>
  <c r="I2899" i="4"/>
  <c r="I2937" i="4"/>
  <c r="I2983" i="4"/>
  <c r="I504" i="4"/>
  <c r="J1831" i="4"/>
  <c r="I1829" i="4"/>
  <c r="J600" i="4"/>
  <c r="I1664" i="4"/>
  <c r="J1648" i="4"/>
  <c r="J1697" i="4"/>
  <c r="J1720" i="4"/>
  <c r="J1737" i="4"/>
  <c r="J1749" i="4"/>
  <c r="J1970" i="4"/>
  <c r="J2016" i="4"/>
  <c r="I1508" i="4"/>
  <c r="I1527" i="4"/>
  <c r="I1721" i="4"/>
  <c r="I1723" i="4"/>
  <c r="I1725" i="4"/>
  <c r="I1733" i="4"/>
  <c r="I1738" i="4"/>
  <c r="I1750" i="4"/>
  <c r="J1794" i="4"/>
  <c r="J1963" i="4"/>
  <c r="I360" i="4"/>
  <c r="J469" i="4"/>
  <c r="J473" i="4"/>
  <c r="J475" i="4"/>
  <c r="J545" i="4"/>
  <c r="J556" i="4"/>
  <c r="K734" i="4"/>
  <c r="J356" i="4"/>
  <c r="I354" i="4"/>
  <c r="J392" i="4"/>
  <c r="I391" i="4"/>
  <c r="I451" i="4"/>
  <c r="K354" i="4"/>
  <c r="J364" i="4"/>
  <c r="I363" i="4"/>
  <c r="J389" i="4"/>
  <c r="I388" i="4"/>
  <c r="I398" i="4"/>
  <c r="J447" i="4"/>
  <c r="J503" i="4"/>
  <c r="I501" i="4"/>
  <c r="J575" i="4"/>
  <c r="J581" i="4"/>
  <c r="I580" i="4"/>
  <c r="J617" i="4"/>
  <c r="J717" i="4"/>
  <c r="J584" i="4"/>
  <c r="J620" i="4"/>
  <c r="J685" i="4"/>
  <c r="J691" i="4"/>
  <c r="I711" i="4"/>
  <c r="J720" i="4"/>
  <c r="J866" i="4"/>
  <c r="A762" i="1" l="1"/>
  <c r="A763" i="1" s="1"/>
  <c r="A2765" i="4"/>
  <c r="A2768" i="4" s="1"/>
  <c r="A2771" i="4" s="1"/>
  <c r="A2774" i="4" s="1"/>
  <c r="A2777" i="4" s="1"/>
  <c r="A2780" i="4" s="1"/>
  <c r="A2783" i="4" s="1"/>
  <c r="A346" i="1"/>
  <c r="J441" i="4"/>
  <c r="A738" i="1"/>
  <c r="A394" i="1"/>
  <c r="A707" i="1"/>
  <c r="A41" i="1"/>
  <c r="I1780" i="4"/>
  <c r="N357" i="1"/>
  <c r="P357" i="1"/>
  <c r="J334" i="1"/>
  <c r="J113" i="1"/>
  <c r="A1567" i="4"/>
  <c r="A1570" i="4" s="1"/>
  <c r="A412" i="1"/>
  <c r="Q487" i="1"/>
  <c r="I1736" i="4"/>
  <c r="Q455" i="1"/>
  <c r="A78" i="1"/>
  <c r="H407" i="1"/>
  <c r="A230" i="4"/>
  <c r="A233" i="4" s="1"/>
  <c r="A236" i="4" s="1"/>
  <c r="A239" i="4" s="1"/>
  <c r="A244" i="4" s="1"/>
  <c r="A247" i="4" s="1"/>
  <c r="A250" i="4" s="1"/>
  <c r="J1795" i="4"/>
  <c r="Q140" i="1"/>
  <c r="J360" i="4"/>
  <c r="I1922" i="4"/>
  <c r="Q461" i="1"/>
  <c r="J1923" i="4"/>
  <c r="Q424" i="1"/>
  <c r="G407" i="1"/>
  <c r="A93" i="1"/>
  <c r="G10" i="1"/>
  <c r="I10" i="1"/>
  <c r="H10" i="1"/>
  <c r="P150" i="1"/>
  <c r="A379" i="4"/>
  <c r="A383" i="4" s="1"/>
  <c r="O10" i="1"/>
  <c r="P140" i="1"/>
  <c r="J1999" i="4"/>
  <c r="I1764" i="4"/>
  <c r="J1522" i="4"/>
  <c r="J1715" i="4"/>
  <c r="J1698" i="4"/>
  <c r="I2012" i="4"/>
  <c r="J1747" i="4"/>
  <c r="J1649" i="4"/>
  <c r="J1964" i="4"/>
  <c r="J1834" i="4"/>
  <c r="I1710" i="4"/>
  <c r="N272" i="1"/>
  <c r="P272" i="1"/>
  <c r="N150" i="1"/>
  <c r="J549" i="4"/>
  <c r="J2740" i="4"/>
  <c r="I1590" i="4"/>
  <c r="I719" i="4"/>
  <c r="I2745" i="4"/>
  <c r="J2863" i="4"/>
  <c r="J755" i="4"/>
  <c r="J378" i="4"/>
  <c r="J566" i="4"/>
  <c r="J1581" i="4"/>
  <c r="J686" i="4"/>
  <c r="J546" i="4"/>
  <c r="J867" i="4"/>
  <c r="J621" i="4"/>
  <c r="J448" i="4"/>
  <c r="J594" i="4"/>
  <c r="J470" i="4"/>
  <c r="J1527" i="4"/>
  <c r="I2798" i="4"/>
  <c r="J2800" i="4"/>
  <c r="J2899" i="4"/>
  <c r="J2854" i="4"/>
  <c r="J2983" i="4"/>
  <c r="J2937" i="4"/>
  <c r="J2845" i="4"/>
  <c r="I625" i="4"/>
  <c r="I564" i="4"/>
  <c r="J557" i="4"/>
  <c r="I1948" i="4"/>
  <c r="J1664" i="4"/>
  <c r="I1914" i="4"/>
  <c r="J2857" i="4"/>
  <c r="J2801" i="4"/>
  <c r="J2014" i="4"/>
  <c r="J1916" i="4"/>
  <c r="J1807" i="4"/>
  <c r="J1766" i="4"/>
  <c r="J1594" i="4"/>
  <c r="J692" i="4"/>
  <c r="J627" i="4"/>
  <c r="J579" i="4"/>
  <c r="J472" i="4"/>
  <c r="J465" i="4"/>
  <c r="J425" i="4"/>
  <c r="J2747" i="4"/>
  <c r="J1950" i="4"/>
  <c r="J1596" i="4"/>
  <c r="J721" i="4"/>
  <c r="J585" i="4"/>
  <c r="J474" i="4"/>
  <c r="J1618" i="4"/>
  <c r="I865" i="4"/>
  <c r="I684" i="4"/>
  <c r="I619" i="4"/>
  <c r="I592" i="4"/>
  <c r="I583" i="4"/>
  <c r="I577" i="4"/>
  <c r="I446" i="4"/>
  <c r="I376" i="4"/>
  <c r="I555" i="4"/>
  <c r="I544" i="4"/>
  <c r="I1793" i="4"/>
  <c r="I1745" i="4"/>
  <c r="J1712" i="4"/>
  <c r="J1592" i="4"/>
  <c r="I1696" i="4"/>
  <c r="I1647" i="4"/>
  <c r="I1520" i="4"/>
  <c r="J1508" i="4"/>
  <c r="J1567" i="4"/>
  <c r="I468" i="4"/>
  <c r="J1845" i="4"/>
  <c r="I1832" i="4"/>
  <c r="N140" i="1"/>
  <c r="J504" i="4"/>
  <c r="J110" i="1"/>
  <c r="J758" i="4"/>
  <c r="J173" i="1"/>
  <c r="J710" i="4"/>
  <c r="J633" i="4"/>
  <c r="J618" i="4"/>
  <c r="J576" i="4"/>
  <c r="J143" i="1"/>
  <c r="J122" i="1"/>
  <c r="J413" i="4"/>
  <c r="J375" i="4"/>
  <c r="J91" i="1"/>
  <c r="J2017" i="4"/>
  <c r="J1971" i="4"/>
  <c r="J1961" i="4"/>
  <c r="J1738" i="4"/>
  <c r="J1723" i="4"/>
  <c r="J412" i="1"/>
  <c r="J1538" i="4"/>
  <c r="J1515" i="4"/>
  <c r="J1966" i="4"/>
  <c r="J1695" i="4"/>
  <c r="J494" i="1"/>
  <c r="J815" i="1"/>
  <c r="J793" i="1"/>
  <c r="J781" i="1"/>
  <c r="J777" i="1"/>
  <c r="J766" i="1"/>
  <c r="J2946" i="4"/>
  <c r="J2924" i="4"/>
  <c r="J2894" i="4"/>
  <c r="J2835" i="4"/>
  <c r="J2831" i="4"/>
  <c r="J756" i="1"/>
  <c r="J2770" i="4"/>
  <c r="J115" i="1"/>
  <c r="J429" i="4"/>
  <c r="J425" i="1"/>
  <c r="J440" i="1"/>
  <c r="J1672" i="4"/>
  <c r="J870" i="4"/>
  <c r="J741" i="4"/>
  <c r="J718" i="4"/>
  <c r="J689" i="4"/>
  <c r="J624" i="4"/>
  <c r="J588" i="4"/>
  <c r="J563" i="4"/>
  <c r="J415" i="4"/>
  <c r="J102" i="1"/>
  <c r="J99" i="1"/>
  <c r="J385" i="4"/>
  <c r="J92" i="1"/>
  <c r="J100" i="1"/>
  <c r="J846" i="4"/>
  <c r="J2002" i="4"/>
  <c r="J1750" i="4"/>
  <c r="J473" i="1"/>
  <c r="J1725" i="4"/>
  <c r="J1721" i="4"/>
  <c r="J1536" i="4"/>
  <c r="J454" i="1"/>
  <c r="J123" i="1"/>
  <c r="J801" i="1"/>
  <c r="J783" i="1"/>
  <c r="J780" i="1"/>
  <c r="J3017" i="4"/>
  <c r="J2979" i="4"/>
  <c r="J2944" i="4"/>
  <c r="J2862" i="4"/>
  <c r="J2833" i="4"/>
  <c r="J2797" i="4"/>
  <c r="J499" i="1"/>
  <c r="J461" i="4"/>
  <c r="J431" i="1"/>
  <c r="J1566" i="4"/>
  <c r="J388" i="4"/>
  <c r="Q179" i="1"/>
  <c r="J1733" i="4"/>
  <c r="J1829" i="4"/>
  <c r="Q212" i="1"/>
  <c r="Q114" i="1"/>
  <c r="J580" i="4"/>
  <c r="J451" i="4"/>
  <c r="J711" i="4"/>
  <c r="J398" i="4"/>
  <c r="J363" i="4"/>
  <c r="J391" i="4"/>
  <c r="J354" i="4"/>
  <c r="J2771" i="4"/>
  <c r="Q525" i="1"/>
  <c r="Q150" i="1"/>
  <c r="Q89" i="1"/>
  <c r="I2892" i="4"/>
  <c r="J501" i="4"/>
  <c r="I423" i="4"/>
  <c r="I1671" i="4"/>
  <c r="I1565" i="4"/>
  <c r="I460" i="4"/>
  <c r="I1962" i="4"/>
  <c r="I1694" i="4"/>
  <c r="J747" i="1"/>
  <c r="J409" i="1"/>
  <c r="I2795" i="4"/>
  <c r="I1534" i="4"/>
  <c r="I1513" i="4"/>
  <c r="I2015" i="4"/>
  <c r="I3015" i="4"/>
  <c r="I2977" i="4"/>
  <c r="I2860" i="4"/>
  <c r="I2829" i="4"/>
  <c r="I2768" i="4"/>
  <c r="I2940" i="4"/>
  <c r="I2922" i="4"/>
  <c r="J1718" i="4"/>
  <c r="I1969" i="4"/>
  <c r="I1748" i="4"/>
  <c r="I2000" i="4"/>
  <c r="I1719" i="4"/>
  <c r="J1802" i="4"/>
  <c r="I1801" i="4"/>
  <c r="J89" i="1"/>
  <c r="I373" i="4"/>
  <c r="J560" i="4"/>
  <c r="I558" i="4"/>
  <c r="I411" i="4"/>
  <c r="I383" i="4"/>
  <c r="J735" i="4"/>
  <c r="I734" i="4"/>
  <c r="I739" i="4"/>
  <c r="I716" i="4"/>
  <c r="I708" i="4"/>
  <c r="I622" i="4"/>
  <c r="I616" i="4"/>
  <c r="I574" i="4"/>
  <c r="I561" i="4"/>
  <c r="K1049" i="4"/>
  <c r="A347" i="1" l="1"/>
  <c r="A2786" i="4"/>
  <c r="A2789" i="4" s="1"/>
  <c r="A2792" i="4" s="1"/>
  <c r="A2795" i="4" s="1"/>
  <c r="A2798" i="4" s="1"/>
  <c r="A2801" i="4" s="1"/>
  <c r="A2804" i="4" s="1"/>
  <c r="A2807" i="4" s="1"/>
  <c r="A2810" i="4" s="1"/>
  <c r="A2813" i="4" s="1"/>
  <c r="A2816" i="4" s="1"/>
  <c r="A2819" i="4" s="1"/>
  <c r="A2822" i="4" s="1"/>
  <c r="A2829" i="4" s="1"/>
  <c r="A2836" i="4" s="1"/>
  <c r="A2845" i="4" s="1"/>
  <c r="I2739" i="4"/>
  <c r="I1507" i="4"/>
  <c r="I347" i="4"/>
  <c r="A395" i="1"/>
  <c r="A739" i="1"/>
  <c r="A708" i="1"/>
  <c r="A42" i="1"/>
  <c r="J1780" i="4"/>
  <c r="J1793" i="4"/>
  <c r="N334" i="1"/>
  <c r="A1572" i="4"/>
  <c r="A1574" i="4" s="1"/>
  <c r="A1576" i="4" s="1"/>
  <c r="A1578" i="4" s="1"/>
  <c r="A1581" i="4" s="1"/>
  <c r="J1993" i="4"/>
  <c r="A413" i="1"/>
  <c r="A414" i="1" s="1"/>
  <c r="A415" i="1" s="1"/>
  <c r="J1805" i="4"/>
  <c r="J1736" i="4"/>
  <c r="A94" i="1"/>
  <c r="A79" i="1"/>
  <c r="A348" i="1"/>
  <c r="J1922" i="4"/>
  <c r="J3015" i="4"/>
  <c r="J2768" i="4"/>
  <c r="J2892" i="4"/>
  <c r="J2795" i="4"/>
  <c r="J2860" i="4"/>
  <c r="J2977" i="4"/>
  <c r="J2922" i="4"/>
  <c r="J2745" i="4"/>
  <c r="J2798" i="4"/>
  <c r="J525" i="1"/>
  <c r="J383" i="4"/>
  <c r="J561" i="4"/>
  <c r="J622" i="4"/>
  <c r="J716" i="4"/>
  <c r="J868" i="4"/>
  <c r="J616" i="4"/>
  <c r="J708" i="4"/>
  <c r="J756" i="4"/>
  <c r="J583" i="4"/>
  <c r="J577" i="4"/>
  <c r="J690" i="4"/>
  <c r="J446" i="4"/>
  <c r="J865" i="4"/>
  <c r="J684" i="4"/>
  <c r="J376" i="4"/>
  <c r="J547" i="4"/>
  <c r="J460" i="4"/>
  <c r="J845" i="4"/>
  <c r="J586" i="4"/>
  <c r="J687" i="4"/>
  <c r="J739" i="4"/>
  <c r="J373" i="4"/>
  <c r="J574" i="4"/>
  <c r="J631" i="4"/>
  <c r="J719" i="4"/>
  <c r="J625" i="4"/>
  <c r="J555" i="4"/>
  <c r="J592" i="4"/>
  <c r="J619" i="4"/>
  <c r="J544" i="4"/>
  <c r="J564" i="4"/>
  <c r="J753" i="4"/>
  <c r="P783" i="1"/>
  <c r="P766" i="1"/>
  <c r="P781" i="1"/>
  <c r="P815" i="1"/>
  <c r="N780" i="1"/>
  <c r="P801" i="1"/>
  <c r="N756" i="1"/>
  <c r="P777" i="1"/>
  <c r="P793" i="1"/>
  <c r="J1565" i="4"/>
  <c r="J1748" i="4"/>
  <c r="J1671" i="4"/>
  <c r="P425" i="1"/>
  <c r="N494" i="1"/>
  <c r="J1969" i="4"/>
  <c r="J1710" i="4"/>
  <c r="J1948" i="4"/>
  <c r="J2012" i="4"/>
  <c r="J1832" i="4"/>
  <c r="J1647" i="4"/>
  <c r="J1745" i="4"/>
  <c r="J1696" i="4"/>
  <c r="J1713" i="4"/>
  <c r="J1520" i="4"/>
  <c r="P431" i="1"/>
  <c r="N499" i="1"/>
  <c r="P454" i="1"/>
  <c r="N473" i="1"/>
  <c r="J2000" i="4"/>
  <c r="N440" i="1"/>
  <c r="J1694" i="4"/>
  <c r="J1513" i="4"/>
  <c r="P412" i="1"/>
  <c r="J2015" i="4"/>
  <c r="J219" i="1"/>
  <c r="P123" i="1"/>
  <c r="N92" i="1"/>
  <c r="P99" i="1"/>
  <c r="N91" i="1"/>
  <c r="N173" i="1"/>
  <c r="N110" i="1"/>
  <c r="N100" i="1"/>
  <c r="N102" i="1"/>
  <c r="N115" i="1"/>
  <c r="N113" i="1"/>
  <c r="P143" i="1"/>
  <c r="J1962" i="4"/>
  <c r="P122" i="1"/>
  <c r="J465" i="1"/>
  <c r="J481" i="1"/>
  <c r="J549" i="1"/>
  <c r="J116" i="1"/>
  <c r="J137" i="1"/>
  <c r="J176" i="1"/>
  <c r="J433" i="1"/>
  <c r="J134" i="1"/>
  <c r="J111" i="1"/>
  <c r="J142" i="1"/>
  <c r="J147" i="1"/>
  <c r="J164" i="1"/>
  <c r="J748" i="1"/>
  <c r="J451" i="1"/>
  <c r="J95" i="1"/>
  <c r="J154" i="1"/>
  <c r="J185" i="1"/>
  <c r="J485" i="1"/>
  <c r="J144" i="1"/>
  <c r="J166" i="1"/>
  <c r="J489" i="1"/>
  <c r="J423" i="4"/>
  <c r="J466" i="1"/>
  <c r="J131" i="1"/>
  <c r="J132" i="1"/>
  <c r="J152" i="1"/>
  <c r="N454" i="1"/>
  <c r="J468" i="4"/>
  <c r="P92" i="1"/>
  <c r="P102" i="1"/>
  <c r="J411" i="4"/>
  <c r="J1719" i="4"/>
  <c r="N815" i="1"/>
  <c r="J1534" i="4"/>
  <c r="P494" i="1"/>
  <c r="N777" i="1"/>
  <c r="J765" i="1"/>
  <c r="J2829" i="4"/>
  <c r="J2940" i="4"/>
  <c r="N801" i="1"/>
  <c r="N783" i="1"/>
  <c r="P756" i="1"/>
  <c r="J1959" i="4"/>
  <c r="J1590" i="4"/>
  <c r="J1764" i="4"/>
  <c r="J1914" i="4"/>
  <c r="J522" i="1"/>
  <c r="J534" i="1"/>
  <c r="J495" i="1"/>
  <c r="J411" i="1"/>
  <c r="J462" i="1"/>
  <c r="J475" i="1"/>
  <c r="J544" i="1"/>
  <c r="N425" i="1"/>
  <c r="P113" i="1"/>
  <c r="N99" i="1"/>
  <c r="P100" i="1"/>
  <c r="P91" i="1"/>
  <c r="N123" i="1"/>
  <c r="N766" i="1"/>
  <c r="N781" i="1"/>
  <c r="P499" i="1"/>
  <c r="P780" i="1"/>
  <c r="N793" i="1"/>
  <c r="P115" i="1"/>
  <c r="N431" i="1"/>
  <c r="N412" i="1"/>
  <c r="N143" i="1"/>
  <c r="P110" i="1"/>
  <c r="P173" i="1"/>
  <c r="N122" i="1"/>
  <c r="P473" i="1"/>
  <c r="P440" i="1"/>
  <c r="J1051" i="4"/>
  <c r="J136" i="1"/>
  <c r="J145" i="1"/>
  <c r="J153" i="1"/>
  <c r="J165" i="1"/>
  <c r="J175" i="1"/>
  <c r="J186" i="1"/>
  <c r="J179" i="1"/>
  <c r="J97" i="1"/>
  <c r="J487" i="1"/>
  <c r="J469" i="1"/>
  <c r="J484" i="1"/>
  <c r="J545" i="1"/>
  <c r="J539" i="1"/>
  <c r="J802" i="1"/>
  <c r="J755" i="1"/>
  <c r="J782" i="1"/>
  <c r="J813" i="1"/>
  <c r="J550" i="1"/>
  <c r="J413" i="1"/>
  <c r="J764" i="1"/>
  <c r="J538" i="1"/>
  <c r="J424" i="1"/>
  <c r="J108" i="1"/>
  <c r="J141" i="1"/>
  <c r="J151" i="1"/>
  <c r="J156" i="1"/>
  <c r="J172" i="1"/>
  <c r="J180" i="1"/>
  <c r="J220" i="1"/>
  <c r="J106" i="1"/>
  <c r="J135" i="1"/>
  <c r="J474" i="1"/>
  <c r="J537" i="1"/>
  <c r="J476" i="1"/>
  <c r="J467" i="1"/>
  <c r="J798" i="1"/>
  <c r="J822" i="1"/>
  <c r="J816" i="1" s="1"/>
  <c r="J410" i="1"/>
  <c r="J461" i="1"/>
  <c r="J114" i="1"/>
  <c r="J455" i="1"/>
  <c r="J212" i="1"/>
  <c r="J791" i="1"/>
  <c r="J734" i="4"/>
  <c r="J1716" i="4"/>
  <c r="N409" i="1"/>
  <c r="Q278" i="1"/>
  <c r="J558" i="4"/>
  <c r="J1801" i="4"/>
  <c r="J775" i="1"/>
  <c r="P409" i="1"/>
  <c r="N747" i="1"/>
  <c r="P747" i="1"/>
  <c r="J94" i="1"/>
  <c r="P89" i="1"/>
  <c r="N89" i="1"/>
  <c r="I1049" i="4"/>
  <c r="J784" i="1" l="1"/>
  <c r="A2848" i="4"/>
  <c r="A2851" i="4" s="1"/>
  <c r="A2854" i="4" s="1"/>
  <c r="A2857" i="4" s="1"/>
  <c r="A2860" i="4" s="1"/>
  <c r="A2863" i="4" s="1"/>
  <c r="A2866" i="4" s="1"/>
  <c r="A2869" i="4" s="1"/>
  <c r="A2872" i="4" s="1"/>
  <c r="A2875" i="4" s="1"/>
  <c r="A2882" i="4" s="1"/>
  <c r="A2885" i="4" s="1"/>
  <c r="A416" i="1"/>
  <c r="A417" i="1" s="1"/>
  <c r="A418" i="1" s="1"/>
  <c r="A419" i="1" s="1"/>
  <c r="A420" i="1" s="1"/>
  <c r="A421" i="1" s="1"/>
  <c r="A422" i="1" s="1"/>
  <c r="A423" i="1" s="1"/>
  <c r="A424" i="1" s="1"/>
  <c r="A43" i="1"/>
  <c r="A1588" i="4"/>
  <c r="A1590" i="4" s="1"/>
  <c r="A1597" i="4" s="1"/>
  <c r="A1599" i="4" s="1"/>
  <c r="A349" i="1"/>
  <c r="A396" i="1"/>
  <c r="J138" i="1"/>
  <c r="J1049" i="4"/>
  <c r="A740" i="1"/>
  <c r="A709" i="1"/>
  <c r="A95" i="1"/>
  <c r="J773" i="1"/>
  <c r="J746" i="1"/>
  <c r="J526" i="1"/>
  <c r="N525" i="1"/>
  <c r="J448" i="1"/>
  <c r="J408" i="1"/>
  <c r="J198" i="1"/>
  <c r="N219" i="1"/>
  <c r="J85" i="1"/>
  <c r="A80" i="1"/>
  <c r="P525" i="1"/>
  <c r="N791" i="1"/>
  <c r="P798" i="1"/>
  <c r="P813" i="1"/>
  <c r="N822" i="1"/>
  <c r="P755" i="1"/>
  <c r="N748" i="1"/>
  <c r="P764" i="1"/>
  <c r="P782" i="1"/>
  <c r="P802" i="1"/>
  <c r="N765" i="1"/>
  <c r="P455" i="1"/>
  <c r="N461" i="1"/>
  <c r="N467" i="1"/>
  <c r="N537" i="1"/>
  <c r="N424" i="1"/>
  <c r="P550" i="1"/>
  <c r="N545" i="1"/>
  <c r="N469" i="1"/>
  <c r="N475" i="1"/>
  <c r="P411" i="1"/>
  <c r="P534" i="1"/>
  <c r="N466" i="1"/>
  <c r="P489" i="1"/>
  <c r="P549" i="1"/>
  <c r="P465" i="1"/>
  <c r="N410" i="1"/>
  <c r="P476" i="1"/>
  <c r="N474" i="1"/>
  <c r="N538" i="1"/>
  <c r="P413" i="1"/>
  <c r="N539" i="1"/>
  <c r="P484" i="1"/>
  <c r="P487" i="1"/>
  <c r="P522" i="1"/>
  <c r="P485" i="1"/>
  <c r="N433" i="1"/>
  <c r="P481" i="1"/>
  <c r="N451" i="1"/>
  <c r="P219" i="1"/>
  <c r="P135" i="1"/>
  <c r="N172" i="1"/>
  <c r="P114" i="1"/>
  <c r="P106" i="1"/>
  <c r="P180" i="1"/>
  <c r="P156" i="1"/>
  <c r="P108" i="1"/>
  <c r="N179" i="1"/>
  <c r="P175" i="1"/>
  <c r="P153" i="1"/>
  <c r="P136" i="1"/>
  <c r="P132" i="1"/>
  <c r="N144" i="1"/>
  <c r="P185" i="1"/>
  <c r="P220" i="1"/>
  <c r="N151" i="1"/>
  <c r="P97" i="1"/>
  <c r="P186" i="1"/>
  <c r="N165" i="1"/>
  <c r="P145" i="1"/>
  <c r="N152" i="1"/>
  <c r="P131" i="1"/>
  <c r="P166" i="1"/>
  <c r="N154" i="1"/>
  <c r="N95" i="1"/>
  <c r="N164" i="1"/>
  <c r="P147" i="1"/>
  <c r="P142" i="1"/>
  <c r="P111" i="1"/>
  <c r="P134" i="1"/>
  <c r="N176" i="1"/>
  <c r="P137" i="1"/>
  <c r="P116" i="1"/>
  <c r="J119" i="1"/>
  <c r="A386" i="4"/>
  <c r="A388" i="4" s="1"/>
  <c r="A391" i="4" s="1"/>
  <c r="A394" i="4" s="1"/>
  <c r="A398" i="4" s="1"/>
  <c r="A401" i="4" s="1"/>
  <c r="A405" i="4" s="1"/>
  <c r="A409" i="4" s="1"/>
  <c r="A411" i="4" s="1"/>
  <c r="A416" i="4" s="1"/>
  <c r="A423" i="4" s="1"/>
  <c r="A432" i="4" s="1"/>
  <c r="A441" i="4" s="1"/>
  <c r="A446" i="4" s="1"/>
  <c r="I1048" i="4"/>
  <c r="N465" i="1"/>
  <c r="N481" i="1"/>
  <c r="N212" i="1"/>
  <c r="N141" i="1"/>
  <c r="P176" i="1"/>
  <c r="N142" i="1"/>
  <c r="N549" i="1"/>
  <c r="N137" i="1"/>
  <c r="N134" i="1"/>
  <c r="N111" i="1"/>
  <c r="P748" i="1"/>
  <c r="P164" i="1"/>
  <c r="N147" i="1"/>
  <c r="P433" i="1"/>
  <c r="P424" i="1"/>
  <c r="N116" i="1"/>
  <c r="N813" i="1"/>
  <c r="N550" i="1"/>
  <c r="P95" i="1"/>
  <c r="P451" i="1"/>
  <c r="P144" i="1"/>
  <c r="N131" i="1"/>
  <c r="P152" i="1"/>
  <c r="J468" i="1"/>
  <c r="N132" i="1"/>
  <c r="N185" i="1"/>
  <c r="P765" i="1"/>
  <c r="P466" i="1"/>
  <c r="N485" i="1"/>
  <c r="N489" i="1"/>
  <c r="P154" i="1"/>
  <c r="N166" i="1"/>
  <c r="N522" i="1"/>
  <c r="N135" i="1"/>
  <c r="N153" i="1"/>
  <c r="P475" i="1"/>
  <c r="P172" i="1"/>
  <c r="N175" i="1"/>
  <c r="N136" i="1"/>
  <c r="N534" i="1"/>
  <c r="N411" i="1"/>
  <c r="P544" i="1"/>
  <c r="N544" i="1"/>
  <c r="N462" i="1"/>
  <c r="P462" i="1"/>
  <c r="P495" i="1"/>
  <c r="N495" i="1"/>
  <c r="P179" i="1"/>
  <c r="N220" i="1"/>
  <c r="P151" i="1"/>
  <c r="N97" i="1"/>
  <c r="N186" i="1"/>
  <c r="P165" i="1"/>
  <c r="N145" i="1"/>
  <c r="P545" i="1"/>
  <c r="N487" i="1"/>
  <c r="N755" i="1"/>
  <c r="P538" i="1"/>
  <c r="N455" i="1"/>
  <c r="N106" i="1"/>
  <c r="N180" i="1"/>
  <c r="N156" i="1"/>
  <c r="P539" i="1"/>
  <c r="N484" i="1"/>
  <c r="P469" i="1"/>
  <c r="N476" i="1"/>
  <c r="P474" i="1"/>
  <c r="N764" i="1"/>
  <c r="N782" i="1"/>
  <c r="N802" i="1"/>
  <c r="N413" i="1"/>
  <c r="N108" i="1"/>
  <c r="N798" i="1"/>
  <c r="P467" i="1"/>
  <c r="P410" i="1"/>
  <c r="P822" i="1"/>
  <c r="P791" i="1"/>
  <c r="P461" i="1"/>
  <c r="P141" i="1"/>
  <c r="P537" i="1"/>
  <c r="P212" i="1"/>
  <c r="N114" i="1"/>
  <c r="J278" i="1"/>
  <c r="P775" i="1"/>
  <c r="N775" i="1"/>
  <c r="N94" i="1"/>
  <c r="P94" i="1"/>
  <c r="K1077" i="4"/>
  <c r="K1074" i="4"/>
  <c r="K1071" i="4"/>
  <c r="A1071" i="4"/>
  <c r="A1074" i="4" s="1"/>
  <c r="A1077" i="4" s="1"/>
  <c r="K1066" i="4"/>
  <c r="N784" i="1" l="1"/>
  <c r="A397" i="1"/>
  <c r="A44" i="1"/>
  <c r="A350" i="1"/>
  <c r="A425" i="1"/>
  <c r="A426" i="1" s="1"/>
  <c r="A427" i="1" s="1"/>
  <c r="A1601" i="4"/>
  <c r="A1606" i="4" s="1"/>
  <c r="A1613" i="4" s="1"/>
  <c r="A1615" i="4" s="1"/>
  <c r="A1618" i="4" s="1"/>
  <c r="A1621" i="4" s="1"/>
  <c r="A1624" i="4" s="1"/>
  <c r="A1626" i="4" s="1"/>
  <c r="A1628" i="4" s="1"/>
  <c r="A1630" i="4" s="1"/>
  <c r="A1635" i="4" s="1"/>
  <c r="A1637" i="4" s="1"/>
  <c r="A1639" i="4" s="1"/>
  <c r="A1643" i="4" s="1"/>
  <c r="A1647" i="4" s="1"/>
  <c r="A1650" i="4" s="1"/>
  <c r="A1655" i="4" s="1"/>
  <c r="A1664" i="4" s="1"/>
  <c r="A1671" i="4" s="1"/>
  <c r="A1673" i="4" s="1"/>
  <c r="A1682" i="4" s="1"/>
  <c r="A1687" i="4" s="1"/>
  <c r="N138" i="1"/>
  <c r="A741" i="1"/>
  <c r="A710" i="1"/>
  <c r="A2892" i="4"/>
  <c r="A2895" i="4" s="1"/>
  <c r="A2899" i="4" s="1"/>
  <c r="N816" i="1"/>
  <c r="N773" i="1"/>
  <c r="N746" i="1"/>
  <c r="N526" i="1"/>
  <c r="N448" i="1"/>
  <c r="N408" i="1"/>
  <c r="N198" i="1"/>
  <c r="N85" i="1"/>
  <c r="A449" i="4"/>
  <c r="A451" i="4" s="1"/>
  <c r="A460" i="4" s="1"/>
  <c r="A465" i="4" s="1"/>
  <c r="A468" i="4" s="1"/>
  <c r="A477" i="4" s="1"/>
  <c r="A479" i="4" s="1"/>
  <c r="A482" i="4" s="1"/>
  <c r="A492" i="4" s="1"/>
  <c r="A501" i="4" s="1"/>
  <c r="A504" i="4" s="1"/>
  <c r="A81" i="1"/>
  <c r="Q284" i="1"/>
  <c r="J277" i="1"/>
  <c r="N119" i="1"/>
  <c r="J84" i="1"/>
  <c r="I2264" i="4"/>
  <c r="N468" i="1"/>
  <c r="J407" i="1"/>
  <c r="J1068" i="4"/>
  <c r="J1070" i="4"/>
  <c r="J1073" i="4"/>
  <c r="J1075" i="4"/>
  <c r="J1079" i="4"/>
  <c r="J2266" i="4"/>
  <c r="J1067" i="4"/>
  <c r="J1069" i="4"/>
  <c r="J1072" i="4"/>
  <c r="J1076" i="4"/>
  <c r="J2265" i="4"/>
  <c r="Q623" i="1"/>
  <c r="P278" i="1"/>
  <c r="J745" i="1"/>
  <c r="Q286" i="1"/>
  <c r="Q285" i="1"/>
  <c r="Q287" i="1"/>
  <c r="I1066" i="4"/>
  <c r="I1071" i="4"/>
  <c r="I1074" i="4"/>
  <c r="I1077" i="4"/>
  <c r="I3214" i="4"/>
  <c r="I3213" i="4"/>
  <c r="I3212" i="4"/>
  <c r="I3211" i="4"/>
  <c r="I3210" i="4"/>
  <c r="I3209" i="4"/>
  <c r="K3208" i="4"/>
  <c r="I2370" i="4"/>
  <c r="K2366" i="4"/>
  <c r="I2362" i="4"/>
  <c r="I2359" i="4"/>
  <c r="I2358" i="4"/>
  <c r="I2357" i="4"/>
  <c r="I2335" i="4"/>
  <c r="I2334" i="4"/>
  <c r="I2333" i="4"/>
  <c r="I2331" i="4"/>
  <c r="I2330" i="4"/>
  <c r="I2329" i="4"/>
  <c r="I2327" i="4"/>
  <c r="I2326" i="4"/>
  <c r="I2306" i="4"/>
  <c r="I2305" i="4"/>
  <c r="K2283" i="4"/>
  <c r="K2281" i="4"/>
  <c r="A2281" i="4"/>
  <c r="A2283" i="4" s="1"/>
  <c r="I2280" i="4"/>
  <c r="D2403" i="4"/>
  <c r="D2499" i="4"/>
  <c r="D2415" i="4" s="1"/>
  <c r="K2501" i="4"/>
  <c r="J1108" i="4"/>
  <c r="K1107" i="4"/>
  <c r="K1081" i="4"/>
  <c r="A398" i="1" l="1"/>
  <c r="A399" i="1" s="1"/>
  <c r="A351" i="1"/>
  <c r="A45" i="1"/>
  <c r="A46" i="1" s="1"/>
  <c r="A1690" i="4"/>
  <c r="A1692" i="4" s="1"/>
  <c r="A1694" i="4" s="1"/>
  <c r="A1696" i="4" s="1"/>
  <c r="A1699" i="4" s="1"/>
  <c r="A1701" i="4" s="1"/>
  <c r="A1710" i="4" s="1"/>
  <c r="A1713" i="4" s="1"/>
  <c r="A1716" i="4" s="1"/>
  <c r="A1719" i="4" s="1"/>
  <c r="A1726" i="4" s="1"/>
  <c r="J2405" i="4"/>
  <c r="I2263" i="4"/>
  <c r="A742" i="1"/>
  <c r="A711" i="1"/>
  <c r="A2902" i="4"/>
  <c r="A2905" i="4" s="1"/>
  <c r="A82" i="1"/>
  <c r="A511" i="4"/>
  <c r="A516" i="4" s="1"/>
  <c r="A521" i="4" s="1"/>
  <c r="A524" i="4" s="1"/>
  <c r="A526" i="4" s="1"/>
  <c r="A536" i="4" s="1"/>
  <c r="A541" i="4" s="1"/>
  <c r="A544" i="4" s="1"/>
  <c r="A547" i="4" s="1"/>
  <c r="A96" i="1"/>
  <c r="A97" i="1" s="1"/>
  <c r="K2500" i="4"/>
  <c r="Q881" i="1"/>
  <c r="A2285" i="4"/>
  <c r="A2292" i="4" s="1"/>
  <c r="J284" i="1"/>
  <c r="I2411" i="4"/>
  <c r="N745" i="1"/>
  <c r="J2264" i="4"/>
  <c r="J1077" i="4"/>
  <c r="J1074" i="4"/>
  <c r="J1071" i="4"/>
  <c r="J1066" i="4"/>
  <c r="I1063" i="4"/>
  <c r="N84" i="1"/>
  <c r="N407" i="1"/>
  <c r="J1083" i="4"/>
  <c r="J1109" i="4"/>
  <c r="J2412" i="4"/>
  <c r="I2403" i="4"/>
  <c r="J2280" i="4"/>
  <c r="J2286" i="4"/>
  <c r="J2289" i="4"/>
  <c r="J2290" i="4"/>
  <c r="J2294" i="4"/>
  <c r="J2295" i="4"/>
  <c r="J2298" i="4"/>
  <c r="J2305" i="4"/>
  <c r="J2327" i="4"/>
  <c r="J2333" i="4"/>
  <c r="J2335" i="4"/>
  <c r="J2338" i="4"/>
  <c r="J2339" i="4"/>
  <c r="J2342" i="4"/>
  <c r="J2357" i="4"/>
  <c r="J2359" i="4"/>
  <c r="J2362" i="4"/>
  <c r="J2373" i="4"/>
  <c r="J2374" i="4"/>
  <c r="J3210" i="4"/>
  <c r="J3212" i="4"/>
  <c r="J3214" i="4"/>
  <c r="J1082" i="4"/>
  <c r="J2287" i="4"/>
  <c r="J2288" i="4"/>
  <c r="J2291" i="4"/>
  <c r="J2293" i="4"/>
  <c r="J2296" i="4"/>
  <c r="J2297" i="4"/>
  <c r="J2306" i="4"/>
  <c r="J2326" i="4"/>
  <c r="J2329" i="4"/>
  <c r="J2331" i="4"/>
  <c r="J2337" i="4"/>
  <c r="J2340" i="4"/>
  <c r="J2341" i="4"/>
  <c r="J2370" i="4"/>
  <c r="J2372" i="4"/>
  <c r="J2375" i="4"/>
  <c r="J3209" i="4"/>
  <c r="J3211" i="4"/>
  <c r="J3213" i="4"/>
  <c r="Q631" i="1"/>
  <c r="Q648" i="1"/>
  <c r="Q289" i="1"/>
  <c r="Q296" i="1"/>
  <c r="Q654" i="1"/>
  <c r="Q630" i="1"/>
  <c r="K2360" i="4"/>
  <c r="K2279" i="4"/>
  <c r="K2285" i="4"/>
  <c r="K2292" i="4"/>
  <c r="K2303" i="4"/>
  <c r="J286" i="1"/>
  <c r="J287" i="1"/>
  <c r="J285" i="1"/>
  <c r="I2282" i="4"/>
  <c r="I2304" i="4"/>
  <c r="K2368" i="4"/>
  <c r="K2324" i="4"/>
  <c r="I2325" i="4"/>
  <c r="K2328" i="4"/>
  <c r="I2369" i="4"/>
  <c r="K2336" i="4"/>
  <c r="I3208" i="4"/>
  <c r="I3177" i="4" s="1"/>
  <c r="J2330" i="4"/>
  <c r="I2328" i="4"/>
  <c r="I2284" i="4"/>
  <c r="I2285" i="4"/>
  <c r="J2334" i="4"/>
  <c r="I2332" i="4"/>
  <c r="I2371" i="4"/>
  <c r="J2358" i="4"/>
  <c r="I2356" i="4"/>
  <c r="K2332" i="4"/>
  <c r="I2336" i="4"/>
  <c r="K2356" i="4"/>
  <c r="I2361" i="4"/>
  <c r="I2367" i="4"/>
  <c r="K2371" i="4"/>
  <c r="I1081" i="4"/>
  <c r="I1107" i="4"/>
  <c r="I2501" i="4"/>
  <c r="Q895" i="1"/>
  <c r="K1125" i="4"/>
  <c r="I3141" i="4"/>
  <c r="I3140" i="4"/>
  <c r="I3139" i="4"/>
  <c r="I3138" i="4"/>
  <c r="I3137" i="4"/>
  <c r="I2248" i="4"/>
  <c r="I2246" i="4"/>
  <c r="K2245" i="4"/>
  <c r="I1046" i="4"/>
  <c r="A352" i="1" l="1"/>
  <c r="J2404" i="4"/>
  <c r="A2916" i="4"/>
  <c r="A2919" i="4" s="1"/>
  <c r="A2922" i="4" s="1"/>
  <c r="A2925" i="4" s="1"/>
  <c r="A2932" i="4" s="1"/>
  <c r="A2937" i="4" s="1"/>
  <c r="A2940" i="4" s="1"/>
  <c r="A2947" i="4" s="1"/>
  <c r="A2950" i="4" s="1"/>
  <c r="A2953" i="4" s="1"/>
  <c r="A2956" i="4" s="1"/>
  <c r="A2959" i="4" s="1"/>
  <c r="A2962" i="4" s="1"/>
  <c r="A2965" i="4" s="1"/>
  <c r="A2968" i="4" s="1"/>
  <c r="A2971" i="4" s="1"/>
  <c r="A2974" i="4" s="1"/>
  <c r="A2977" i="4" s="1"/>
  <c r="A2980" i="4" s="1"/>
  <c r="A2983" i="4" s="1"/>
  <c r="A2986" i="4" s="1"/>
  <c r="A2989" i="4" s="1"/>
  <c r="A1729" i="4"/>
  <c r="A1731" i="4" s="1"/>
  <c r="A1733" i="4" s="1"/>
  <c r="A1736" i="4" s="1"/>
  <c r="A1745" i="4" s="1"/>
  <c r="A1748" i="4" s="1"/>
  <c r="A1751" i="4" s="1"/>
  <c r="A1753" i="4" s="1"/>
  <c r="A1758" i="4" s="1"/>
  <c r="A743" i="1"/>
  <c r="A712" i="1"/>
  <c r="A400" i="1"/>
  <c r="A47" i="1"/>
  <c r="A83" i="1"/>
  <c r="A550" i="4"/>
  <c r="A555" i="4" s="1"/>
  <c r="A558" i="4" s="1"/>
  <c r="A561" i="4" s="1"/>
  <c r="A564" i="4" s="1"/>
  <c r="I1080" i="4"/>
  <c r="J2411" i="4"/>
  <c r="A2299" i="4"/>
  <c r="A2303" i="4" s="1"/>
  <c r="A2307" i="4" s="1"/>
  <c r="A2314" i="4" s="1"/>
  <c r="A2324" i="4" s="1"/>
  <c r="A2328" i="4" s="1"/>
  <c r="A2332" i="4" s="1"/>
  <c r="A2336" i="4" s="1"/>
  <c r="A98" i="1"/>
  <c r="N284" i="1"/>
  <c r="P284" i="1"/>
  <c r="J282" i="1"/>
  <c r="J2336" i="4"/>
  <c r="J1107" i="4"/>
  <c r="J3208" i="4"/>
  <c r="J2285" i="4"/>
  <c r="J1081" i="4"/>
  <c r="J1046" i="4"/>
  <c r="J2246" i="4"/>
  <c r="J2248" i="4"/>
  <c r="J3137" i="4"/>
  <c r="J3139" i="4"/>
  <c r="J3141" i="4"/>
  <c r="J1127" i="4"/>
  <c r="N634" i="1"/>
  <c r="J632" i="1"/>
  <c r="J881" i="1"/>
  <c r="J2304" i="4"/>
  <c r="J2279" i="4"/>
  <c r="J623" i="1"/>
  <c r="J622" i="1" s="1"/>
  <c r="J1047" i="4"/>
  <c r="J2242" i="4"/>
  <c r="J2247" i="4"/>
  <c r="J2249" i="4"/>
  <c r="J3138" i="4"/>
  <c r="J3140" i="4"/>
  <c r="J1126" i="4"/>
  <c r="J296" i="1"/>
  <c r="J289" i="1"/>
  <c r="J641" i="1"/>
  <c r="N651" i="1"/>
  <c r="J645" i="1"/>
  <c r="J650" i="1"/>
  <c r="P642" i="1"/>
  <c r="J640" i="1"/>
  <c r="J2284" i="4"/>
  <c r="J639" i="1"/>
  <c r="J655" i="1"/>
  <c r="J2369" i="4"/>
  <c r="J2325" i="4"/>
  <c r="J2282" i="4"/>
  <c r="N287" i="1"/>
  <c r="Q646" i="1"/>
  <c r="Q302" i="1"/>
  <c r="Q650" i="1"/>
  <c r="Q645" i="1"/>
  <c r="J2356" i="4"/>
  <c r="J2328" i="4"/>
  <c r="Q655" i="1"/>
  <c r="Q635" i="1"/>
  <c r="Q632" i="1"/>
  <c r="Q617" i="1"/>
  <c r="Q640" i="1"/>
  <c r="J2292" i="4"/>
  <c r="Q639" i="1"/>
  <c r="Q637" i="1"/>
  <c r="Q633" i="1"/>
  <c r="Q629" i="1"/>
  <c r="J2371" i="4"/>
  <c r="J2332" i="4"/>
  <c r="Q641" i="1"/>
  <c r="Q644" i="1"/>
  <c r="Q649" i="1"/>
  <c r="Q647" i="1"/>
  <c r="I2324" i="4"/>
  <c r="I2283" i="4"/>
  <c r="J2353" i="4"/>
  <c r="N285" i="1"/>
  <c r="P285" i="1"/>
  <c r="N286" i="1"/>
  <c r="P286" i="1"/>
  <c r="P287" i="1"/>
  <c r="I2368" i="4"/>
  <c r="I2281" i="4"/>
  <c r="I2279" i="4"/>
  <c r="I2303" i="4"/>
  <c r="Q638" i="1"/>
  <c r="J2367" i="4"/>
  <c r="I2366" i="4"/>
  <c r="J2361" i="4"/>
  <c r="I2360" i="4"/>
  <c r="K3135" i="4"/>
  <c r="I2500" i="4"/>
  <c r="J2501" i="4"/>
  <c r="Q660" i="1"/>
  <c r="J895" i="1"/>
  <c r="I1125" i="4"/>
  <c r="I3136" i="4"/>
  <c r="K1045" i="4"/>
  <c r="I2245" i="4"/>
  <c r="I1045" i="4"/>
  <c r="A1032" i="4"/>
  <c r="A1035" i="4" s="1"/>
  <c r="K1027" i="4"/>
  <c r="A353" i="1" l="1"/>
  <c r="J894" i="1"/>
  <c r="A2996" i="4"/>
  <c r="A2999" i="4" s="1"/>
  <c r="A3012" i="4" s="1"/>
  <c r="A3015" i="4" s="1"/>
  <c r="A3018" i="4" s="1"/>
  <c r="A3021" i="4" s="1"/>
  <c r="A3024" i="4" s="1"/>
  <c r="A3027" i="4" s="1"/>
  <c r="A3032" i="4" s="1"/>
  <c r="A3039" i="4" s="1"/>
  <c r="A3042" i="4" s="1"/>
  <c r="A1762" i="4"/>
  <c r="A1764" i="4" s="1"/>
  <c r="A1767" i="4" s="1"/>
  <c r="A1771" i="4" s="1"/>
  <c r="A1780" i="4" s="1"/>
  <c r="A1793" i="4" s="1"/>
  <c r="A1796" i="4" s="1"/>
  <c r="A1801" i="4" s="1"/>
  <c r="A1803" i="4" s="1"/>
  <c r="A1805" i="4" s="1"/>
  <c r="A1813" i="4" s="1"/>
  <c r="A1818" i="4" s="1"/>
  <c r="A1821" i="4" s="1"/>
  <c r="A1826" i="4" s="1"/>
  <c r="A1829" i="4" s="1"/>
  <c r="A1832" i="4" s="1"/>
  <c r="I2278" i="4"/>
  <c r="J2352" i="4"/>
  <c r="I2237" i="4"/>
  <c r="A744" i="1"/>
  <c r="A401" i="1"/>
  <c r="A402" i="1" s="1"/>
  <c r="A403" i="1" s="1"/>
  <c r="A713" i="1"/>
  <c r="A48" i="1"/>
  <c r="A567" i="4"/>
  <c r="A569" i="4" s="1"/>
  <c r="A574" i="4" s="1"/>
  <c r="A577" i="4" s="1"/>
  <c r="A580" i="4" s="1"/>
  <c r="A583" i="4" s="1"/>
  <c r="A586" i="4" s="1"/>
  <c r="A589" i="4" s="1"/>
  <c r="A592" i="4" s="1"/>
  <c r="A354" i="1"/>
  <c r="J2281" i="4"/>
  <c r="J2283" i="4"/>
  <c r="J2303" i="4"/>
  <c r="J2324" i="4"/>
  <c r="J2368" i="4"/>
  <c r="J2238" i="4"/>
  <c r="J874" i="1"/>
  <c r="N639" i="1"/>
  <c r="N640" i="1"/>
  <c r="N650" i="1"/>
  <c r="P655" i="1"/>
  <c r="N645" i="1"/>
  <c r="P641" i="1"/>
  <c r="P632" i="1"/>
  <c r="A2343" i="4"/>
  <c r="P623" i="1"/>
  <c r="A99" i="1"/>
  <c r="N282" i="1"/>
  <c r="I1038" i="4"/>
  <c r="I1124" i="4"/>
  <c r="J288" i="1"/>
  <c r="P650" i="1"/>
  <c r="J1125" i="4"/>
  <c r="N655" i="1"/>
  <c r="J1045" i="4"/>
  <c r="N641" i="1"/>
  <c r="N623" i="1"/>
  <c r="J2245" i="4"/>
  <c r="N632" i="1"/>
  <c r="N642" i="1"/>
  <c r="P639" i="1"/>
  <c r="P651" i="1"/>
  <c r="P634" i="1"/>
  <c r="P640" i="1"/>
  <c r="P645" i="1"/>
  <c r="J1029" i="4"/>
  <c r="J1031" i="4"/>
  <c r="J1034" i="4"/>
  <c r="J3136" i="4"/>
  <c r="J302" i="1"/>
  <c r="I2499" i="4"/>
  <c r="J660" i="1"/>
  <c r="J646" i="1"/>
  <c r="J654" i="1"/>
  <c r="J648" i="1"/>
  <c r="P636" i="1"/>
  <c r="J635" i="1"/>
  <c r="J629" i="1"/>
  <c r="J630" i="1"/>
  <c r="J638" i="1"/>
  <c r="J1028" i="4"/>
  <c r="J1030" i="4"/>
  <c r="J617" i="1"/>
  <c r="J275" i="1"/>
  <c r="J633" i="1"/>
  <c r="J649" i="1"/>
  <c r="J631" i="1"/>
  <c r="J647" i="1"/>
  <c r="J644" i="1"/>
  <c r="J637" i="1"/>
  <c r="Q270" i="1"/>
  <c r="Q271" i="1"/>
  <c r="Q615" i="1"/>
  <c r="J2360" i="4"/>
  <c r="J2366" i="4"/>
  <c r="J2500" i="4"/>
  <c r="Q861" i="1"/>
  <c r="I3135" i="4"/>
  <c r="I3060" i="4"/>
  <c r="I3059" i="4"/>
  <c r="I3058" i="4"/>
  <c r="I3057" i="4"/>
  <c r="K3056" i="4"/>
  <c r="A1835" i="4" l="1"/>
  <c r="A1837" i="4" s="1"/>
  <c r="A1842" i="4" s="1"/>
  <c r="A1845" i="4" s="1"/>
  <c r="A1854" i="4" s="1"/>
  <c r="A1856" i="4" s="1"/>
  <c r="A1859" i="4" s="1"/>
  <c r="A1864" i="4" s="1"/>
  <c r="A1868" i="4" s="1"/>
  <c r="A595" i="4"/>
  <c r="A597" i="4" s="1"/>
  <c r="A600" i="4" s="1"/>
  <c r="A616" i="4" s="1"/>
  <c r="A619" i="4" s="1"/>
  <c r="A622" i="4" s="1"/>
  <c r="A625" i="4" s="1"/>
  <c r="A628" i="4" s="1"/>
  <c r="A631" i="4" s="1"/>
  <c r="A634" i="4" s="1"/>
  <c r="A644" i="4" s="1"/>
  <c r="A649" i="4" s="1"/>
  <c r="A658" i="4" s="1"/>
  <c r="A668" i="4" s="1"/>
  <c r="A672" i="4" s="1"/>
  <c r="A2350" i="4"/>
  <c r="A2352" i="4" s="1"/>
  <c r="A2356" i="4" s="1"/>
  <c r="A714" i="1"/>
  <c r="A355" i="1"/>
  <c r="A49" i="1"/>
  <c r="N622" i="1"/>
  <c r="J3135" i="4"/>
  <c r="N660" i="1"/>
  <c r="J301" i="1"/>
  <c r="N649" i="1"/>
  <c r="P638" i="1"/>
  <c r="J628" i="1"/>
  <c r="P648" i="1"/>
  <c r="P654" i="1"/>
  <c r="P637" i="1"/>
  <c r="N633" i="1"/>
  <c r="P635" i="1"/>
  <c r="P646" i="1"/>
  <c r="A100" i="1"/>
  <c r="I3134" i="4"/>
  <c r="J1032" i="4"/>
  <c r="J1027" i="4"/>
  <c r="P660" i="1"/>
  <c r="P633" i="1"/>
  <c r="N654" i="1"/>
  <c r="N646" i="1"/>
  <c r="N637" i="1"/>
  <c r="N638" i="1"/>
  <c r="N636" i="1"/>
  <c r="N648" i="1"/>
  <c r="P649" i="1"/>
  <c r="N635" i="1"/>
  <c r="J3058" i="4"/>
  <c r="J3060" i="4"/>
  <c r="J861" i="1"/>
  <c r="J3057" i="4"/>
  <c r="J3059" i="4"/>
  <c r="J270" i="1"/>
  <c r="P644" i="1"/>
  <c r="N644" i="1"/>
  <c r="P647" i="1"/>
  <c r="N647" i="1"/>
  <c r="Q836" i="1"/>
  <c r="J271" i="1"/>
  <c r="I3056" i="4"/>
  <c r="A356" i="1" l="1"/>
  <c r="A2360" i="4"/>
  <c r="A2363" i="4" s="1"/>
  <c r="A2366" i="4" s="1"/>
  <c r="A2368" i="4" s="1"/>
  <c r="A2371" i="4" s="1"/>
  <c r="A2376" i="4" s="1"/>
  <c r="A2381" i="4" s="1"/>
  <c r="A2388" i="4" s="1"/>
  <c r="A2395" i="4" s="1"/>
  <c r="A2399" i="4" s="1"/>
  <c r="I3055" i="4"/>
  <c r="I2415" i="4" s="1"/>
  <c r="A50" i="1"/>
  <c r="A404" i="1"/>
  <c r="A405" i="1" s="1"/>
  <c r="A715" i="1"/>
  <c r="A1871" i="4"/>
  <c r="A1876" i="4" s="1"/>
  <c r="A1879" i="4" s="1"/>
  <c r="A1882" i="4" s="1"/>
  <c r="A1884" i="4" s="1"/>
  <c r="A1886" i="4" s="1"/>
  <c r="A1888" i="4" s="1"/>
  <c r="A1891" i="4" s="1"/>
  <c r="A1893" i="4" s="1"/>
  <c r="A1896" i="4" s="1"/>
  <c r="A1898" i="4" s="1"/>
  <c r="A1900" i="4" s="1"/>
  <c r="A1902" i="4" s="1"/>
  <c r="A1904" i="4" s="1"/>
  <c r="A1906" i="4" s="1"/>
  <c r="A1908" i="4" s="1"/>
  <c r="A681" i="4"/>
  <c r="A684" i="4" s="1"/>
  <c r="A687" i="4" s="1"/>
  <c r="A690" i="4" s="1"/>
  <c r="A693" i="4" s="1"/>
  <c r="A101" i="1"/>
  <c r="J267" i="1"/>
  <c r="J3056" i="4"/>
  <c r="P271" i="1"/>
  <c r="N271" i="1"/>
  <c r="N270" i="1"/>
  <c r="P270" i="1"/>
  <c r="J836" i="1"/>
  <c r="J835" i="1" l="1"/>
  <c r="A357" i="1"/>
  <c r="A51" i="1"/>
  <c r="A406" i="1"/>
  <c r="A716" i="1"/>
  <c r="A1911" i="4"/>
  <c r="A1914" i="4" s="1"/>
  <c r="A1917" i="4" s="1"/>
  <c r="A1920" i="4" s="1"/>
  <c r="A1922" i="4" s="1"/>
  <c r="A1924" i="4" s="1"/>
  <c r="A1926" i="4" s="1"/>
  <c r="A1929" i="4" s="1"/>
  <c r="A1934" i="4" s="1"/>
  <c r="A698" i="4"/>
  <c r="A701" i="4" s="1"/>
  <c r="A703" i="4" s="1"/>
  <c r="A706" i="4" s="1"/>
  <c r="A708" i="4" s="1"/>
  <c r="A711" i="4" s="1"/>
  <c r="A102" i="1"/>
  <c r="N267" i="1"/>
  <c r="N836" i="1"/>
  <c r="P836" i="1"/>
  <c r="A575" i="1"/>
  <c r="A576" i="1" s="1"/>
  <c r="I2129" i="4"/>
  <c r="K2128" i="4"/>
  <c r="I2126" i="4"/>
  <c r="A2128" i="4"/>
  <c r="A245" i="1"/>
  <c r="I965" i="4"/>
  <c r="I962" i="4"/>
  <c r="A963" i="4"/>
  <c r="A966" i="4" s="1"/>
  <c r="A969" i="4" s="1"/>
  <c r="K946" i="4"/>
  <c r="A52" i="1" l="1"/>
  <c r="N835" i="1"/>
  <c r="A358" i="1"/>
  <c r="A714" i="4"/>
  <c r="A716" i="4" s="1"/>
  <c r="A719" i="4" s="1"/>
  <c r="A722" i="4" s="1"/>
  <c r="A731" i="4" s="1"/>
  <c r="A734" i="4" s="1"/>
  <c r="A739" i="4" s="1"/>
  <c r="A742" i="4" s="1"/>
  <c r="A577" i="1"/>
  <c r="A2133" i="4"/>
  <c r="A2135" i="4" s="1"/>
  <c r="A717" i="1"/>
  <c r="A1938" i="4"/>
  <c r="A53" i="1"/>
  <c r="Q239" i="1"/>
  <c r="A246" i="1"/>
  <c r="A103" i="1"/>
  <c r="I2125" i="4"/>
  <c r="I961" i="4"/>
  <c r="I955" i="4"/>
  <c r="J947" i="4"/>
  <c r="J949" i="4"/>
  <c r="J957" i="4"/>
  <c r="J2126" i="4"/>
  <c r="J2130" i="4"/>
  <c r="J2132" i="4"/>
  <c r="J948" i="4"/>
  <c r="J950" i="4"/>
  <c r="J962" i="4"/>
  <c r="J965" i="4"/>
  <c r="J2127" i="4"/>
  <c r="J2129" i="4"/>
  <c r="J2131" i="4"/>
  <c r="Q575" i="1"/>
  <c r="Q574" i="1"/>
  <c r="K963" i="4"/>
  <c r="I964" i="4"/>
  <c r="I2128" i="4"/>
  <c r="I946" i="4"/>
  <c r="A1943" i="4" l="1"/>
  <c r="A1945" i="4" s="1"/>
  <c r="A1948" i="4" s="1"/>
  <c r="A359" i="1"/>
  <c r="I2124" i="4"/>
  <c r="A718" i="1"/>
  <c r="A744" i="4"/>
  <c r="A54" i="1"/>
  <c r="I936" i="4"/>
  <c r="J961" i="4"/>
  <c r="J955" i="4"/>
  <c r="A247" i="1"/>
  <c r="A104" i="1"/>
  <c r="J2125" i="4"/>
  <c r="J239" i="1"/>
  <c r="J2128" i="4"/>
  <c r="J946" i="4"/>
  <c r="J574" i="1"/>
  <c r="J964" i="4"/>
  <c r="J575" i="1"/>
  <c r="Q245" i="1"/>
  <c r="Q244" i="1"/>
  <c r="Q577" i="1"/>
  <c r="Q242" i="1"/>
  <c r="I963" i="4"/>
  <c r="K50" i="4"/>
  <c r="K45" i="4"/>
  <c r="A719" i="1" l="1"/>
  <c r="A1953" i="4"/>
  <c r="A1956" i="4" s="1"/>
  <c r="A1959" i="4" s="1"/>
  <c r="A1962" i="4" s="1"/>
  <c r="A1969" i="4" s="1"/>
  <c r="A1972" i="4" s="1"/>
  <c r="A1979" i="4" s="1"/>
  <c r="A360" i="1"/>
  <c r="A747" i="4"/>
  <c r="A750" i="4" s="1"/>
  <c r="A753" i="4" s="1"/>
  <c r="A756" i="4" s="1"/>
  <c r="A759" i="4" s="1"/>
  <c r="A762" i="4" s="1"/>
  <c r="A764" i="4" s="1"/>
  <c r="A766" i="4" s="1"/>
  <c r="A775" i="4" s="1"/>
  <c r="A777" i="4" s="1"/>
  <c r="A779" i="4" s="1"/>
  <c r="A782" i="4" s="1"/>
  <c r="A785" i="4" s="1"/>
  <c r="A787" i="4" s="1"/>
  <c r="A764" i="1"/>
  <c r="A55" i="1"/>
  <c r="J963" i="4"/>
  <c r="N575" i="1"/>
  <c r="P574" i="1"/>
  <c r="J234" i="1"/>
  <c r="A105" i="1"/>
  <c r="I954" i="4"/>
  <c r="P575" i="1"/>
  <c r="N574" i="1"/>
  <c r="J46" i="4"/>
  <c r="J48" i="4"/>
  <c r="J52" i="4"/>
  <c r="J244" i="1"/>
  <c r="J245" i="1"/>
  <c r="J47" i="4"/>
  <c r="J49" i="4"/>
  <c r="J577" i="1"/>
  <c r="J242" i="1"/>
  <c r="Q27" i="1"/>
  <c r="Q28" i="1"/>
  <c r="I45" i="4"/>
  <c r="I50" i="4"/>
  <c r="K7" i="4"/>
  <c r="A720" i="1" l="1"/>
  <c r="A1986" i="4"/>
  <c r="A1988" i="4" s="1"/>
  <c r="A1993" i="4" s="1"/>
  <c r="A2000" i="4" s="1"/>
  <c r="A361" i="1"/>
  <c r="A789" i="4"/>
  <c r="A791" i="4" s="1"/>
  <c r="A793" i="4" s="1"/>
  <c r="A812" i="4" s="1"/>
  <c r="A815" i="4" s="1"/>
  <c r="A819" i="4" s="1"/>
  <c r="A823" i="4" s="1"/>
  <c r="A826" i="4" s="1"/>
  <c r="A829" i="4" s="1"/>
  <c r="A831" i="4" s="1"/>
  <c r="A765" i="1"/>
  <c r="A56" i="1"/>
  <c r="A57" i="1" s="1"/>
  <c r="P244" i="1"/>
  <c r="P577" i="1"/>
  <c r="P245" i="1"/>
  <c r="I44" i="4"/>
  <c r="A106" i="1"/>
  <c r="P242" i="1"/>
  <c r="J241" i="1"/>
  <c r="N245" i="1"/>
  <c r="N577" i="1"/>
  <c r="J50" i="4"/>
  <c r="J45" i="4"/>
  <c r="N242" i="1"/>
  <c r="N244" i="1"/>
  <c r="J8" i="4"/>
  <c r="J10" i="4"/>
  <c r="J28" i="1"/>
  <c r="J9" i="4"/>
  <c r="J11" i="4"/>
  <c r="J27" i="1"/>
  <c r="Q12" i="1"/>
  <c r="I7" i="4"/>
  <c r="A721" i="1" l="1"/>
  <c r="A722" i="1" s="1"/>
  <c r="A2003" i="4"/>
  <c r="A2005" i="4" s="1"/>
  <c r="A2010" i="4" s="1"/>
  <c r="A2012" i="4" s="1"/>
  <c r="A2015" i="4" s="1"/>
  <c r="A2018" i="4" s="1"/>
  <c r="A2021" i="4" s="1"/>
  <c r="A2036" i="4" s="1"/>
  <c r="A362" i="1"/>
  <c r="I6" i="4"/>
  <c r="A766" i="1"/>
  <c r="A58" i="1"/>
  <c r="J26" i="1"/>
  <c r="A107" i="1"/>
  <c r="N241" i="1"/>
  <c r="J7" i="4"/>
  <c r="J12" i="1"/>
  <c r="A767" i="1" l="1"/>
  <c r="A768" i="1" s="1"/>
  <c r="A2049" i="4"/>
  <c r="A2072" i="4" s="1"/>
  <c r="A2077" i="4" s="1"/>
  <c r="A2082" i="4" s="1"/>
  <c r="A2085" i="4" s="1"/>
  <c r="A2089" i="4" s="1"/>
  <c r="A2091" i="4" s="1"/>
  <c r="A2047" i="4"/>
  <c r="A363" i="1"/>
  <c r="A723" i="1"/>
  <c r="A833" i="4"/>
  <c r="A835" i="4" s="1"/>
  <c r="A839" i="4" s="1"/>
  <c r="A843" i="4" s="1"/>
  <c r="A845" i="4" s="1"/>
  <c r="A849" i="4" s="1"/>
  <c r="A852" i="4" s="1"/>
  <c r="A59" i="1"/>
  <c r="A108" i="1"/>
  <c r="J308" i="1"/>
  <c r="N12" i="1"/>
  <c r="P12" i="1"/>
  <c r="A364" i="1" l="1"/>
  <c r="A855" i="4"/>
  <c r="A858" i="4" s="1"/>
  <c r="A860" i="4" s="1"/>
  <c r="A863" i="4" s="1"/>
  <c r="A865" i="4" s="1"/>
  <c r="A868" i="4" s="1"/>
  <c r="A769" i="1"/>
  <c r="A428" i="1"/>
  <c r="A60" i="1"/>
  <c r="I5" i="4"/>
  <c r="A109" i="1"/>
  <c r="N308" i="1"/>
  <c r="J11" i="1"/>
  <c r="A365" i="1" l="1"/>
  <c r="A871" i="4"/>
  <c r="A874" i="4" s="1"/>
  <c r="A884" i="4" s="1"/>
  <c r="A886" i="4" s="1"/>
  <c r="A894" i="4" s="1"/>
  <c r="A900" i="4" s="1"/>
  <c r="A912" i="4" s="1"/>
  <c r="A922" i="4" s="1"/>
  <c r="A925" i="4" s="1"/>
  <c r="A770" i="1"/>
  <c r="A429" i="1"/>
  <c r="A61" i="1"/>
  <c r="N11" i="1"/>
  <c r="A110" i="1"/>
  <c r="A366" i="1" l="1"/>
  <c r="A771" i="1"/>
  <c r="A430" i="1"/>
  <c r="A62" i="1"/>
  <c r="A111" i="1"/>
  <c r="A112" i="1" s="1"/>
  <c r="O692" i="1"/>
  <c r="M692" i="1"/>
  <c r="L692" i="1"/>
  <c r="K692" i="1"/>
  <c r="I692" i="1"/>
  <c r="H692" i="1"/>
  <c r="G692" i="1"/>
  <c r="A367" i="1" l="1"/>
  <c r="A772" i="1"/>
  <c r="A431" i="1"/>
  <c r="A113" i="1"/>
  <c r="A63" i="1"/>
  <c r="A432" i="1" l="1"/>
  <c r="A433" i="1" s="1"/>
  <c r="A434" i="1" s="1"/>
  <c r="A368" i="1"/>
  <c r="A774" i="1"/>
  <c r="A724" i="1"/>
  <c r="D1136" i="4"/>
  <c r="A64" i="1"/>
  <c r="A114" i="1"/>
  <c r="O860" i="1"/>
  <c r="I860" i="1"/>
  <c r="H860" i="1"/>
  <c r="G860" i="1"/>
  <c r="A369" i="1" l="1"/>
  <c r="A775" i="1"/>
  <c r="A725" i="1"/>
  <c r="A65" i="1"/>
  <c r="N326" i="1"/>
  <c r="A115" i="1"/>
  <c r="P861" i="1"/>
  <c r="N861" i="1"/>
  <c r="A370" i="1" l="1"/>
  <c r="A776" i="1"/>
  <c r="A435" i="1"/>
  <c r="A436" i="1" s="1"/>
  <c r="A726" i="1"/>
  <c r="A66" i="1"/>
  <c r="N325" i="1"/>
  <c r="A116" i="1"/>
  <c r="A437" i="1" l="1"/>
  <c r="A438" i="1" s="1"/>
  <c r="A439" i="1" s="1"/>
  <c r="A440" i="1" s="1"/>
  <c r="A371" i="1"/>
  <c r="A777" i="1"/>
  <c r="A117" i="1"/>
  <c r="A727" i="1"/>
  <c r="A67" i="1"/>
  <c r="N324" i="1"/>
  <c r="N895" i="1"/>
  <c r="N894" i="1" l="1"/>
  <c r="A778" i="1"/>
  <c r="A779" i="1" s="1"/>
  <c r="A780" i="1" s="1"/>
  <c r="A372" i="1"/>
  <c r="A728" i="1"/>
  <c r="A118" i="1"/>
  <c r="A68" i="1"/>
  <c r="N323" i="1"/>
  <c r="P895" i="1"/>
  <c r="A373" i="1" l="1"/>
  <c r="A120" i="1"/>
  <c r="N322" i="1"/>
  <c r="A374" i="1" l="1"/>
  <c r="A781" i="1"/>
  <c r="A441" i="1"/>
  <c r="A121" i="1"/>
  <c r="N321" i="1"/>
  <c r="P881" i="1"/>
  <c r="A375" i="1" l="1"/>
  <c r="A782" i="1"/>
  <c r="A442" i="1"/>
  <c r="A122" i="1"/>
  <c r="N319" i="1"/>
  <c r="N881" i="1"/>
  <c r="A376" i="1" l="1"/>
  <c r="A783" i="1"/>
  <c r="A785" i="1" s="1"/>
  <c r="A443" i="1"/>
  <c r="A123" i="1"/>
  <c r="N318" i="1"/>
  <c r="N874" i="1"/>
  <c r="A786" i="1" l="1"/>
  <c r="A377" i="1"/>
  <c r="A444" i="1"/>
  <c r="A124" i="1"/>
  <c r="N317" i="1"/>
  <c r="A630" i="1"/>
  <c r="A787" i="1" l="1"/>
  <c r="A788" i="1" s="1"/>
  <c r="A378" i="1"/>
  <c r="A445" i="1"/>
  <c r="A125" i="1"/>
  <c r="N316" i="1"/>
  <c r="A631" i="1"/>
  <c r="A789" i="1" l="1"/>
  <c r="A790" i="1" s="1"/>
  <c r="A379" i="1"/>
  <c r="A446" i="1"/>
  <c r="A126" i="1"/>
  <c r="N315" i="1"/>
  <c r="A632" i="1"/>
  <c r="A633" i="1" s="1"/>
  <c r="O663" i="1"/>
  <c r="I663" i="1"/>
  <c r="H663" i="1"/>
  <c r="G663" i="1"/>
  <c r="O573" i="1"/>
  <c r="M573" i="1"/>
  <c r="L573" i="1"/>
  <c r="K573" i="1"/>
  <c r="I573" i="1"/>
  <c r="H573" i="1"/>
  <c r="G573" i="1"/>
  <c r="A380" i="1" l="1"/>
  <c r="A791" i="1"/>
  <c r="A447" i="1"/>
  <c r="A127" i="1"/>
  <c r="N314" i="1"/>
  <c r="A634" i="1"/>
  <c r="A635" i="1" s="1"/>
  <c r="A381" i="1" l="1"/>
  <c r="A792" i="1"/>
  <c r="A449" i="1"/>
  <c r="A128" i="1"/>
  <c r="N313" i="1"/>
  <c r="A636" i="1"/>
  <c r="J573" i="1"/>
  <c r="N573" i="1"/>
  <c r="A382" i="1" l="1"/>
  <c r="A793" i="1"/>
  <c r="A450" i="1"/>
  <c r="A129" i="1"/>
  <c r="N312" i="1"/>
  <c r="N311" i="1" s="1"/>
  <c r="A637" i="1"/>
  <c r="A383" i="1" l="1"/>
  <c r="A794" i="1"/>
  <c r="A795" i="1" s="1"/>
  <c r="A796" i="1" s="1"/>
  <c r="A797" i="1" s="1"/>
  <c r="A798" i="1" s="1"/>
  <c r="A799" i="1" s="1"/>
  <c r="A451" i="1"/>
  <c r="A130" i="1"/>
  <c r="A638" i="1"/>
  <c r="A28" i="1"/>
  <c r="K275" i="1"/>
  <c r="L275" i="1"/>
  <c r="M275" i="1"/>
  <c r="A302" i="1"/>
  <c r="H614" i="1"/>
  <c r="I614" i="1"/>
  <c r="O614" i="1"/>
  <c r="K617" i="1"/>
  <c r="L617" i="1"/>
  <c r="M617" i="1"/>
  <c r="G656" i="1"/>
  <c r="G307" i="1" s="1"/>
  <c r="H656" i="1"/>
  <c r="I656" i="1"/>
  <c r="K656" i="1"/>
  <c r="L656" i="1"/>
  <c r="M656" i="1"/>
  <c r="O656" i="1"/>
  <c r="K860" i="1"/>
  <c r="L860" i="1"/>
  <c r="M860" i="1"/>
  <c r="A384" i="1" l="1"/>
  <c r="A452" i="1"/>
  <c r="A131" i="1"/>
  <c r="H307" i="1"/>
  <c r="O307" i="1"/>
  <c r="I307" i="1"/>
  <c r="A303" i="1"/>
  <c r="A639" i="1"/>
  <c r="M273" i="1"/>
  <c r="K273" i="1"/>
  <c r="L273" i="1"/>
  <c r="A29" i="1"/>
  <c r="K614" i="1"/>
  <c r="M614" i="1"/>
  <c r="L614" i="1"/>
  <c r="A453" i="1" l="1"/>
  <c r="A304" i="1"/>
  <c r="A305" i="1" s="1"/>
  <c r="A132" i="1"/>
  <c r="L250" i="1"/>
  <c r="K249" i="1"/>
  <c r="L249" i="1"/>
  <c r="K250" i="1"/>
  <c r="A640" i="1"/>
  <c r="A30" i="1"/>
  <c r="L584" i="1"/>
  <c r="L582" i="1"/>
  <c r="L580" i="1"/>
  <c r="L583" i="1"/>
  <c r="L581" i="1"/>
  <c r="K583" i="1"/>
  <c r="K581" i="1"/>
  <c r="K584" i="1"/>
  <c r="K582" i="1"/>
  <c r="K580" i="1"/>
  <c r="M584" i="1"/>
  <c r="M582" i="1"/>
  <c r="M580" i="1"/>
  <c r="M583" i="1"/>
  <c r="M581" i="1"/>
  <c r="M249" i="1"/>
  <c r="M250" i="1"/>
  <c r="A454" i="1" l="1"/>
  <c r="A133" i="1"/>
  <c r="K248" i="1"/>
  <c r="L248" i="1"/>
  <c r="L10" i="1" s="1"/>
  <c r="A641" i="1"/>
  <c r="N250" i="1"/>
  <c r="M578" i="1"/>
  <c r="M307" i="1" s="1"/>
  <c r="N580" i="1"/>
  <c r="K578" i="1"/>
  <c r="K307" i="1" s="1"/>
  <c r="N584" i="1"/>
  <c r="N583" i="1"/>
  <c r="L578" i="1"/>
  <c r="L307" i="1" s="1"/>
  <c r="N582" i="1"/>
  <c r="N581" i="1"/>
  <c r="N249" i="1"/>
  <c r="M248" i="1"/>
  <c r="A800" i="1" l="1"/>
  <c r="A455" i="1"/>
  <c r="A456" i="1" s="1"/>
  <c r="A134" i="1"/>
  <c r="K10" i="1"/>
  <c r="A642" i="1"/>
  <c r="N248" i="1"/>
  <c r="N578" i="1"/>
  <c r="M10" i="1"/>
  <c r="Q693" i="1"/>
  <c r="Q657" i="1"/>
  <c r="J615" i="1"/>
  <c r="A643" i="1" l="1"/>
  <c r="A644" i="1" s="1"/>
  <c r="A645" i="1" s="1"/>
  <c r="A457" i="1"/>
  <c r="A135" i="1"/>
  <c r="A801" i="1"/>
  <c r="J657" i="1"/>
  <c r="J860" i="1"/>
  <c r="J562" i="1"/>
  <c r="J693" i="1"/>
  <c r="N629" i="1"/>
  <c r="P629" i="1"/>
  <c r="P615" i="1"/>
  <c r="N615" i="1"/>
  <c r="A136" i="1" l="1"/>
  <c r="A802" i="1"/>
  <c r="A458" i="1"/>
  <c r="A646" i="1"/>
  <c r="J692" i="1"/>
  <c r="J663" i="1" s="1"/>
  <c r="J614" i="1"/>
  <c r="N27" i="1"/>
  <c r="P27" i="1"/>
  <c r="N28" i="1"/>
  <c r="P28" i="1"/>
  <c r="P617" i="1"/>
  <c r="N617" i="1"/>
  <c r="P631" i="1"/>
  <c r="N631" i="1"/>
  <c r="N693" i="1"/>
  <c r="P693" i="1"/>
  <c r="N630" i="1"/>
  <c r="P630" i="1"/>
  <c r="N562" i="1"/>
  <c r="N860" i="1"/>
  <c r="N657" i="1"/>
  <c r="J656" i="1"/>
  <c r="P657" i="1"/>
  <c r="A459" i="1" l="1"/>
  <c r="A460" i="1" s="1"/>
  <c r="A137" i="1"/>
  <c r="A803" i="1"/>
  <c r="N656" i="1"/>
  <c r="N692" i="1"/>
  <c r="N628" i="1"/>
  <c r="N26" i="1"/>
  <c r="N614" i="1"/>
  <c r="A139" i="1" l="1"/>
  <c r="A804" i="1"/>
  <c r="A461" i="1"/>
  <c r="A1125" i="4"/>
  <c r="A1128" i="4" s="1"/>
  <c r="A1131" i="4" s="1"/>
  <c r="A1134" i="4" s="1"/>
  <c r="A140" i="1" l="1"/>
  <c r="A805" i="1"/>
  <c r="A462" i="1"/>
  <c r="A141" i="1" l="1"/>
  <c r="A142" i="1" s="1"/>
  <c r="A806" i="1"/>
  <c r="A463" i="1"/>
  <c r="A647" i="1"/>
  <c r="N289" i="1"/>
  <c r="P289" i="1"/>
  <c r="P302" i="1"/>
  <c r="N302" i="1"/>
  <c r="N296" i="1"/>
  <c r="P296" i="1"/>
  <c r="A143" i="1" l="1"/>
  <c r="A807" i="1"/>
  <c r="A464" i="1"/>
  <c r="N301" i="1"/>
  <c r="A648" i="1"/>
  <c r="N288" i="1"/>
  <c r="Q276" i="1"/>
  <c r="A144" i="1" l="1"/>
  <c r="A808" i="1"/>
  <c r="A465" i="1"/>
  <c r="A649" i="1"/>
  <c r="Q275" i="1"/>
  <c r="N278" i="1"/>
  <c r="J276" i="1"/>
  <c r="A145" i="1" l="1"/>
  <c r="A146" i="1" s="1"/>
  <c r="A809" i="1"/>
  <c r="A466" i="1"/>
  <c r="A650" i="1"/>
  <c r="N277" i="1"/>
  <c r="J273" i="1"/>
  <c r="P239" i="1"/>
  <c r="N239" i="1"/>
  <c r="N276" i="1"/>
  <c r="P276" i="1"/>
  <c r="A810" i="1" l="1"/>
  <c r="A467" i="1"/>
  <c r="A147" i="1"/>
  <c r="A651" i="1"/>
  <c r="A652" i="1" s="1"/>
  <c r="N234" i="1"/>
  <c r="J10" i="1"/>
  <c r="P275" i="1"/>
  <c r="N275" i="1"/>
  <c r="A148" i="1" l="1"/>
  <c r="A149" i="1" s="1"/>
  <c r="A811" i="1"/>
  <c r="A469" i="1"/>
  <c r="N273" i="1"/>
  <c r="A812" i="1" l="1"/>
  <c r="A470" i="1"/>
  <c r="A150" i="1"/>
  <c r="A653" i="1"/>
  <c r="N10" i="1"/>
  <c r="A471" i="1" l="1"/>
  <c r="A472" i="1" s="1"/>
  <c r="A813" i="1"/>
  <c r="A151" i="1"/>
  <c r="A654" i="1"/>
  <c r="M838" i="1"/>
  <c r="M663" i="1" s="1"/>
  <c r="L838" i="1"/>
  <c r="L663" i="1" s="1"/>
  <c r="K838" i="1"/>
  <c r="K663" i="1" s="1"/>
  <c r="N838" i="1"/>
  <c r="N663" i="1" s="1"/>
  <c r="A814" i="1" l="1"/>
  <c r="A473" i="1"/>
  <c r="A152" i="1"/>
  <c r="A655" i="1"/>
  <c r="A815" i="1" l="1"/>
  <c r="A474" i="1"/>
  <c r="A153" i="1"/>
  <c r="A817" i="1" l="1"/>
  <c r="A475" i="1"/>
  <c r="A154" i="1"/>
  <c r="A818" i="1" l="1"/>
  <c r="A476" i="1"/>
  <c r="A155" i="1"/>
  <c r="A819" i="1" l="1"/>
  <c r="A820" i="1" s="1"/>
  <c r="A477" i="1"/>
  <c r="A478" i="1" s="1"/>
  <c r="A479" i="1" s="1"/>
  <c r="A156" i="1"/>
  <c r="A821" i="1" l="1"/>
  <c r="A822" i="1" s="1"/>
  <c r="A480" i="1"/>
  <c r="A481" i="1" s="1"/>
  <c r="A482" i="1" s="1"/>
  <c r="A157" i="1"/>
  <c r="A823" i="1" l="1"/>
  <c r="A158" i="1"/>
  <c r="A824" i="1" l="1"/>
  <c r="A159" i="1"/>
  <c r="A825" i="1" l="1"/>
  <c r="A483" i="1"/>
  <c r="A160" i="1"/>
  <c r="A826" i="1" l="1"/>
  <c r="A484" i="1"/>
  <c r="A161" i="1"/>
  <c r="A827" i="1" l="1"/>
  <c r="A485" i="1"/>
  <c r="A162" i="1"/>
  <c r="A828" i="1" l="1"/>
  <c r="A486" i="1"/>
  <c r="A163" i="1"/>
  <c r="A829" i="1" l="1"/>
  <c r="A487" i="1"/>
  <c r="A164" i="1"/>
  <c r="A488" i="1" l="1"/>
  <c r="A165" i="1"/>
  <c r="A489" i="1" l="1"/>
  <c r="A166" i="1"/>
  <c r="A490" i="1" l="1"/>
  <c r="A167" i="1"/>
  <c r="A491" i="1" l="1"/>
  <c r="A168" i="1"/>
  <c r="A492" i="1" l="1"/>
  <c r="A493" i="1" s="1"/>
  <c r="A169" i="1"/>
  <c r="A494" i="1" l="1"/>
  <c r="A170" i="1"/>
  <c r="A495" i="1" l="1"/>
  <c r="A496" i="1" s="1"/>
  <c r="A497" i="1" s="1"/>
  <c r="A498" i="1" s="1"/>
  <c r="A171" i="1"/>
  <c r="A172" i="1" s="1"/>
  <c r="A173" i="1" s="1"/>
  <c r="A174" i="1" l="1"/>
  <c r="A175" i="1" s="1"/>
  <c r="A176" i="1" s="1"/>
  <c r="A177" i="1" s="1"/>
  <c r="A499" i="1" l="1"/>
  <c r="A500" i="1" s="1"/>
  <c r="A501" i="1" s="1"/>
  <c r="A502" i="1" s="1"/>
  <c r="A503" i="1" s="1"/>
  <c r="A178" i="1" l="1"/>
  <c r="A504" i="1" l="1"/>
  <c r="A179" i="1"/>
  <c r="A505" i="1" l="1"/>
  <c r="A180" i="1"/>
  <c r="A506" i="1" l="1"/>
  <c r="A181" i="1"/>
  <c r="A182" i="1" l="1"/>
  <c r="A507" i="1"/>
  <c r="A183" i="1" l="1"/>
  <c r="A508" i="1"/>
  <c r="A184" i="1" l="1"/>
  <c r="A185" i="1" s="1"/>
  <c r="A186" i="1" s="1"/>
  <c r="A509" i="1"/>
  <c r="A510" i="1" l="1"/>
  <c r="A511" i="1" l="1"/>
  <c r="A187" i="1"/>
  <c r="A512" i="1" l="1"/>
  <c r="A188" i="1"/>
  <c r="A513" i="1" l="1"/>
  <c r="A189" i="1"/>
  <c r="A514" i="1" l="1"/>
  <c r="A190" i="1"/>
  <c r="A515" i="1" l="1"/>
  <c r="A191" i="1"/>
  <c r="A516" i="1" l="1"/>
  <c r="A192" i="1"/>
  <c r="A517" i="1" l="1"/>
  <c r="A193" i="1"/>
  <c r="A518" i="1" l="1"/>
  <c r="A194" i="1"/>
  <c r="A519" i="1" l="1"/>
  <c r="A195" i="1"/>
  <c r="A520" i="1" l="1"/>
  <c r="A196" i="1"/>
  <c r="A197" i="1" l="1"/>
  <c r="A521" i="1"/>
  <c r="A199" i="1" l="1"/>
  <c r="A522" i="1"/>
  <c r="A200" i="1" l="1"/>
  <c r="A201" i="1" s="1"/>
  <c r="A202" i="1" s="1"/>
  <c r="A203" i="1" s="1"/>
  <c r="A523" i="1"/>
  <c r="A204" i="1" l="1"/>
  <c r="A524" i="1"/>
  <c r="A205" i="1" l="1"/>
  <c r="A206" i="1" s="1"/>
  <c r="A207" i="1" s="1"/>
  <c r="A208" i="1" s="1"/>
  <c r="A209" i="1" s="1"/>
  <c r="A210" i="1" s="1"/>
  <c r="A211" i="1" s="1"/>
  <c r="A212" i="1" s="1"/>
  <c r="A213" i="1" s="1"/>
  <c r="A525" i="1"/>
  <c r="A214" i="1" l="1"/>
  <c r="A527" i="1"/>
  <c r="A215" i="1" l="1"/>
  <c r="A528" i="1"/>
  <c r="A529" i="1" s="1"/>
  <c r="A216" i="1" l="1"/>
  <c r="A530" i="1"/>
  <c r="A217" i="1" l="1"/>
  <c r="A218" i="1" s="1"/>
  <c r="A219" i="1" s="1"/>
  <c r="A220" i="1" s="1"/>
  <c r="A221" i="1" s="1"/>
  <c r="A222" i="1" s="1"/>
  <c r="A531" i="1"/>
  <c r="A532" i="1" s="1"/>
  <c r="A533" i="1" s="1"/>
  <c r="A223" i="1" l="1"/>
  <c r="A224" i="1" s="1"/>
  <c r="A534" i="1" l="1"/>
  <c r="A535" i="1" l="1"/>
  <c r="A536" i="1" l="1"/>
  <c r="A537" i="1" l="1"/>
  <c r="A538" i="1" l="1"/>
  <c r="A539" i="1" l="1"/>
  <c r="A540" i="1" l="1"/>
  <c r="A541" i="1" l="1"/>
  <c r="A542" i="1" l="1"/>
  <c r="A543" i="1" s="1"/>
  <c r="A544" i="1" l="1"/>
  <c r="A545" i="1" l="1"/>
  <c r="A546" i="1" l="1"/>
  <c r="A547" i="1" s="1"/>
  <c r="A548" i="1" s="1"/>
  <c r="A549" i="1" s="1"/>
  <c r="A550" i="1" s="1"/>
  <c r="A225" i="1" l="1"/>
  <c r="A226" i="1" l="1"/>
  <c r="A551" i="1" l="1"/>
  <c r="A227" i="1"/>
  <c r="A552" i="1" l="1"/>
  <c r="A228" i="1"/>
  <c r="A553" i="1" l="1"/>
  <c r="A229" i="1"/>
  <c r="A554" i="1" l="1"/>
  <c r="A555" i="1" s="1"/>
  <c r="A556" i="1" s="1"/>
  <c r="A557" i="1" s="1"/>
  <c r="A558" i="1" s="1"/>
  <c r="A559" i="1" l="1"/>
  <c r="A560" i="1" l="1"/>
  <c r="A561" i="1" l="1"/>
  <c r="J2105" i="4" l="1"/>
  <c r="J567" i="1"/>
  <c r="P567" i="1" s="1"/>
  <c r="J566" i="1" l="1"/>
  <c r="N567" i="1"/>
  <c r="J2103" i="4"/>
  <c r="N566" i="1" l="1"/>
  <c r="J2409" i="4" l="1"/>
  <c r="I2408" i="4"/>
  <c r="I2407" i="4" l="1"/>
  <c r="J659" i="1"/>
  <c r="J658" i="1" s="1"/>
  <c r="J2408" i="4"/>
  <c r="I1136" i="4" l="1"/>
  <c r="N659" i="1"/>
  <c r="N658" i="1" s="1"/>
  <c r="P659" i="1"/>
  <c r="J307" i="1" l="1"/>
  <c r="N307" i="1" l="1"/>
</calcChain>
</file>

<file path=xl/comments1.xml><?xml version="1.0" encoding="utf-8"?>
<comments xmlns="http://schemas.openxmlformats.org/spreadsheetml/2006/main">
  <authors>
    <author>Карпова Светлана Сергеевна</author>
  </authors>
  <commentList>
    <comment ref="I430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Карпова Светлана Сергеевна:</t>
        </r>
        <r>
          <rPr>
            <sz val="9"/>
            <color indexed="81"/>
            <rFont val="Tahoma"/>
            <family val="2"/>
            <charset val="204"/>
          </rPr>
          <t xml:space="preserve">
2 684 807.28 по ПСД</t>
        </r>
      </text>
    </comment>
    <comment ref="I505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Карпова Светлана Сергеевна:</t>
        </r>
        <r>
          <rPr>
            <sz val="9"/>
            <color indexed="81"/>
            <rFont val="Tahoma"/>
            <family val="2"/>
            <charset val="204"/>
          </rPr>
          <t xml:space="preserve">
по ПСД выше</t>
        </r>
      </text>
    </comment>
    <comment ref="I507" authorId="0" shapeId="0">
      <text>
        <r>
          <rPr>
            <b/>
            <sz val="9"/>
            <color indexed="81"/>
            <rFont val="Tahoma"/>
            <family val="2"/>
            <charset val="204"/>
          </rPr>
          <t>Карпова Светлана Сергеевна:</t>
        </r>
        <r>
          <rPr>
            <sz val="9"/>
            <color indexed="81"/>
            <rFont val="Tahoma"/>
            <family val="2"/>
            <charset val="204"/>
          </rPr>
          <t xml:space="preserve">
2 628 902.23 по ПСД</t>
        </r>
      </text>
    </comment>
  </commentList>
</comments>
</file>

<file path=xl/sharedStrings.xml><?xml version="1.0" encoding="utf-8"?>
<sst xmlns="http://schemas.openxmlformats.org/spreadsheetml/2006/main" count="9858" uniqueCount="754">
  <si>
    <t>№ п/п</t>
  </si>
  <si>
    <t>Адрес МКД</t>
  </si>
  <si>
    <t>Количество этажей</t>
  </si>
  <si>
    <t>Общая площадь МКД, всего</t>
  </si>
  <si>
    <t>Стоимость капитального ремонта</t>
  </si>
  <si>
    <t>Плановая дата завершения работ</t>
  </si>
  <si>
    <t>за счет средств Фонда</t>
  </si>
  <si>
    <t>за счет средств бюджета субъекта Российской Федерации</t>
  </si>
  <si>
    <t>за счет средств местного бюджета</t>
  </si>
  <si>
    <t>кв. м</t>
  </si>
  <si>
    <t>чел.</t>
  </si>
  <si>
    <t>руб.</t>
  </si>
  <si>
    <t>руб./кв. м</t>
  </si>
  <si>
    <t>Х</t>
  </si>
  <si>
    <t>всего</t>
  </si>
  <si>
    <t>в том числе</t>
  </si>
  <si>
    <t>Итого по Александровскому району</t>
  </si>
  <si>
    <t>Примечание:</t>
  </si>
  <si>
    <t>Количество жителей, зарегистрированных в МКД на дату утверждения краткосрочного плана</t>
  </si>
  <si>
    <t>Площадь помещений МКД, кв. м</t>
  </si>
  <si>
    <t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</si>
  <si>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</si>
  <si>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>Стоимость работы (услуги), руб.</t>
  </si>
  <si>
    <t>Удельная стоимость работы (услуги), руб./кв. м</t>
  </si>
  <si>
    <t>Предельная стоимость работы (услуги), руб./кв. м</t>
  </si>
  <si>
    <t>№
п/п</t>
  </si>
  <si>
    <t>за счет средств собственников 
помещений в МКД</t>
  </si>
  <si>
    <t>за счет других не запрещенных законом источников</t>
  </si>
  <si>
    <t>Код МКД</t>
  </si>
  <si>
    <t>Итого по Асиновскому району</t>
  </si>
  <si>
    <t>Итого по Верхнекетскому району</t>
  </si>
  <si>
    <t>Итого по Зырянскому району</t>
  </si>
  <si>
    <t>Итого по Каргасокскому району</t>
  </si>
  <si>
    <t>Итого по городу Кедровому</t>
  </si>
  <si>
    <t>Итого по Кожевниковскому району</t>
  </si>
  <si>
    <t>Итого по Колпашевскому району</t>
  </si>
  <si>
    <t>Итого по Кривошеинскому району</t>
  </si>
  <si>
    <t xml:space="preserve">Итого по Молчановскому району </t>
  </si>
  <si>
    <t>Итого по Парабельскому району</t>
  </si>
  <si>
    <t xml:space="preserve">Итого по Первомайскому району </t>
  </si>
  <si>
    <t xml:space="preserve">Итого по городской округ ЗАТО Северск </t>
  </si>
  <si>
    <t>Итого по городскому округу Стрежевой</t>
  </si>
  <si>
    <t>Итого по Городу Томску</t>
  </si>
  <si>
    <t xml:space="preserve">Итого по Томскому району </t>
  </si>
  <si>
    <t>Итого по Чаинскому району</t>
  </si>
  <si>
    <t xml:space="preserve">Итого по Шегарскому району </t>
  </si>
  <si>
    <t>Всего по Томской области</t>
  </si>
  <si>
    <t>Итого по городскому округу ЗАТО Северск</t>
  </si>
  <si>
    <t>Итого по Молчановскому району</t>
  </si>
  <si>
    <t>Итого по Томскому району</t>
  </si>
  <si>
    <t>Итого по Шегарскому району</t>
  </si>
  <si>
    <t>Итого по Первомайскому району</t>
  </si>
  <si>
    <t xml:space="preserve">Итого по Чаинскому району </t>
  </si>
  <si>
    <t>Год ввода в эксплуатацию</t>
  </si>
  <si>
    <t>Площадь помещений в МКД</t>
  </si>
  <si>
    <t>Способ формирования фонда капитального ремонта многоквартирного дома &lt;3&gt;</t>
  </si>
  <si>
    <t>Материал стен &lt;4&gt;</t>
  </si>
  <si>
    <t xml:space="preserve">&lt;1&gt; </t>
  </si>
  <si>
    <t>&lt;2&gt;</t>
  </si>
  <si>
    <t>выбирается из списка: ПСД, СМР –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–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– завершение работ по капитальному ремонту и осуществление строительного контроля; ПСД – разработка проектно-сметной документации, включая проведение проверки достоверности определения сметной стоимости; СМР – выполнение работ по капитальному ремонту и осуществление строительного контроля;</t>
  </si>
  <si>
    <t>&lt;3&gt;</t>
  </si>
  <si>
    <t xml:space="preserve">&lt;4&gt; </t>
  </si>
  <si>
    <t>выбирается из списка: К - кирпичные, П - панельные, Д - деревянные, Пр - прочие.</t>
  </si>
  <si>
    <t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– 5;</t>
  </si>
  <si>
    <t>П</t>
  </si>
  <si>
    <t>крыша</t>
  </si>
  <si>
    <t>Итого</t>
  </si>
  <si>
    <t>ремонт</t>
  </si>
  <si>
    <t>К</t>
  </si>
  <si>
    <t>строительный контроль</t>
  </si>
  <si>
    <t>внутридомовая инженерная система теплоснабжения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</si>
  <si>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</si>
  <si>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</si>
  <si>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Пр</t>
  </si>
  <si>
    <t>внутридомовая инженерная система газоснабжения</t>
  </si>
  <si>
    <t>фасад</t>
  </si>
  <si>
    <t>переустройство невентилируемой крыши на вентилируемую крышу</t>
  </si>
  <si>
    <t>внутридомовая инженерная система электроснабжения</t>
  </si>
  <si>
    <t>внутридомовая инженерная система водоотведения</t>
  </si>
  <si>
    <t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</si>
  <si>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>г. Томск, ул. Белинского, д. 28/1</t>
  </si>
  <si>
    <t>ПСД</t>
  </si>
  <si>
    <t>СМР</t>
  </si>
  <si>
    <t>ПСД, СМР (н)</t>
  </si>
  <si>
    <t>г. Асино, ул. им. Ивана Черных, д. 18</t>
  </si>
  <si>
    <t>г. Асино, ул. Транспортная, д. 1</t>
  </si>
  <si>
    <t>ЛО</t>
  </si>
  <si>
    <t>ПСД, СМР</t>
  </si>
  <si>
    <t>1988, 1989</t>
  </si>
  <si>
    <t>ТС</t>
  </si>
  <si>
    <t>ЭС</t>
  </si>
  <si>
    <t>Кировский район</t>
  </si>
  <si>
    <t>г. Томск, д. Лоскутово, ул. Ленина, д. 16</t>
  </si>
  <si>
    <t>ТС, ХВС, ГВС</t>
  </si>
  <si>
    <t>г. Томск, с. Тимирязевское, ул. Водозаборная, д. 3</t>
  </si>
  <si>
    <t>ГС</t>
  </si>
  <si>
    <t>г. Томск, ул. Советская, д. 105</t>
  </si>
  <si>
    <t>1982, 1983, 1985</t>
  </si>
  <si>
    <t>г. Томск, ул. Студенческая, д. 7</t>
  </si>
  <si>
    <t>г. Томск, ул. Усова, д. 15/1</t>
  </si>
  <si>
    <t>г. Томск, ул. Усова, д. 37а</t>
  </si>
  <si>
    <t>Ленинский район</t>
  </si>
  <si>
    <t>г. Томск, ул. Карла Ильмера, д. 19</t>
  </si>
  <si>
    <t>г. Томск, ул. Крымская, д. 43</t>
  </si>
  <si>
    <t>г. Томск, ул. Профсоюзная, д. 20а</t>
  </si>
  <si>
    <t xml:space="preserve">Октябрьский район </t>
  </si>
  <si>
    <t>г. Томск, ул. Бела Куна, д. 22/2</t>
  </si>
  <si>
    <t>ТС, ХВС, ГВС, ВО</t>
  </si>
  <si>
    <t>г. Томск, ул. Бела Куна, д. 24/2</t>
  </si>
  <si>
    <t>г. Томск, ул. Вокзальная, д. 23</t>
  </si>
  <si>
    <t>г. Томск, ул. Сергея Лазо, д. 17</t>
  </si>
  <si>
    <t>Советский район</t>
  </si>
  <si>
    <t>РУФ</t>
  </si>
  <si>
    <t>г. Асино, ул. им. Куйбышева, д. 8</t>
  </si>
  <si>
    <t>СМР (з)</t>
  </si>
  <si>
    <t>г. Асино, ул. Партизанская, д. 40</t>
  </si>
  <si>
    <t>г. Северск, ул. Мира, д. 2</t>
  </si>
  <si>
    <t>К, НОК</t>
  </si>
  <si>
    <t>г. Северск, ул. Тупиковая, д. 6</t>
  </si>
  <si>
    <t>г. Томск, д. Лоскутово, ул. Гагарина, д. 45</t>
  </si>
  <si>
    <t>г. Томск, ул. Дзержинского, д. 36</t>
  </si>
  <si>
    <t>г. Томск, ул. Елизаровых, д. 17</t>
  </si>
  <si>
    <t>г. Томск, ул. Карпова, д. 17</t>
  </si>
  <si>
    <t>г. Томск, ул. Киевская, д. 86г</t>
  </si>
  <si>
    <t>г. Томск, ул. Косарева, д. 23</t>
  </si>
  <si>
    <t>г. Томск, ул. Косарева, д. 25</t>
  </si>
  <si>
    <t>г. Томск, ул. Красноармейская, д. 89а</t>
  </si>
  <si>
    <t>г. Томск, ул. Кузнецова, д. 1</t>
  </si>
  <si>
    <t>г. Томск, ул. Мокрушина, д. 14</t>
  </si>
  <si>
    <t>г. Томск, ул. Усова, д. 52</t>
  </si>
  <si>
    <t>г. Томск, пер. Светлый, д. 36</t>
  </si>
  <si>
    <t>г. Томск, пер. Светлый, д. 40б</t>
  </si>
  <si>
    <t>г. Томск, ул. Войкова, д. 59а</t>
  </si>
  <si>
    <t>г. Томск, ул. Интернационалистов, д. 3</t>
  </si>
  <si>
    <t>г. Томск, ул. Нижне-Луговая, д. 1</t>
  </si>
  <si>
    <t>г. Томск, ул. Первомайская, д. 65</t>
  </si>
  <si>
    <t>г. Томск, ул. Первомайская, д. 65а</t>
  </si>
  <si>
    <t>г. Томск, ул. Профсоюзная, д. 35</t>
  </si>
  <si>
    <t>г. Томск, пер. Сергея Лазо, д. 2</t>
  </si>
  <si>
    <t>г. Томск, ул. 79 Гвардейской Дивизии, д. 3</t>
  </si>
  <si>
    <t>г. Томск, ул. Беринга, д. 5</t>
  </si>
  <si>
    <t>г. Томск, ул. Беринга, д. 5/2</t>
  </si>
  <si>
    <t>г. Томск, ул. Ивана Черных, д. 107/1</t>
  </si>
  <si>
    <t>г. Томск, ул. Ивана Черных, д. 109/3</t>
  </si>
  <si>
    <t>г. Томск, ул. Ивана Черных, д. 113а</t>
  </si>
  <si>
    <t>г. Томск, ул. Лазарева, д. 2</t>
  </si>
  <si>
    <t>г. Томск, ул. Лазарева, д. 5/1</t>
  </si>
  <si>
    <t>г. Томск, ул. Лазарева, д. 7</t>
  </si>
  <si>
    <t>г. Томск, ул. Лазарева, д. 9</t>
  </si>
  <si>
    <t>г. Томск, ул. Мичурина, д. 51/2</t>
  </si>
  <si>
    <t>г. Томск, ул. Партизанская, д. 6</t>
  </si>
  <si>
    <t>г. Томск, ул. Пушкина, д. 7а</t>
  </si>
  <si>
    <t>г. Томск, ул. Пушкина, д. 27з</t>
  </si>
  <si>
    <t>г. Томск, ул. Олега Кошевого, д. 70</t>
  </si>
  <si>
    <t>г. Томск, ул. Олега Кошевого, д. 73</t>
  </si>
  <si>
    <t>г. Томск, ул. Олега Кошевого, д. 77</t>
  </si>
  <si>
    <t>г. Томск, ул. Салтыкова-Щедрина, д. 48</t>
  </si>
  <si>
    <t>с. Зырянское, ул. Советская, д. 40</t>
  </si>
  <si>
    <t>ТС, ХВС</t>
  </si>
  <si>
    <t>г. Колпашево, ул. Обская, д. 75</t>
  </si>
  <si>
    <t>с. Озерное, ул. Трактовая, д. 5</t>
  </si>
  <si>
    <t>п. Рассвет, д. 2</t>
  </si>
  <si>
    <t>с. Подгорное, ул. 60 лет ВЛКСМ, д. 27</t>
  </si>
  <si>
    <t>1992, 1993</t>
  </si>
  <si>
    <t>г. Северск, ул. Ленина, д. 14</t>
  </si>
  <si>
    <t>г. Северск, ул. Парковая, д. 22</t>
  </si>
  <si>
    <t>г. Северск, ул. Царевского, д. 8</t>
  </si>
  <si>
    <t>Д</t>
  </si>
  <si>
    <t>разработка проектной документации, включая проведение проверки достоверности определения сметной стоимости</t>
  </si>
  <si>
    <t xml:space="preserve">ремонт </t>
  </si>
  <si>
    <t>лифтовое оборудование (подъезд № 1)</t>
  </si>
  <si>
    <t>замена</t>
  </si>
  <si>
    <t>лифтовое оборудование (подъезд № 5)</t>
  </si>
  <si>
    <t>лифтовое оборудование (подъезд № 2)</t>
  </si>
  <si>
    <t>лифтовое оборудование (подъезд № 3)</t>
  </si>
  <si>
    <t>лифтовое оборудование (подъезд № 4)</t>
  </si>
  <si>
    <t>коллективный (общедомовой) прибор учета потребления тепловой энергии, необходимый для предоставления теплоснабжения, узел управления и регулирования потребления тепловой энергии</t>
  </si>
  <si>
    <t>установка</t>
  </si>
  <si>
    <t>разработка проектной документации, включая проведение проверки достоверности определения сметной стоимости (ремонт)</t>
  </si>
  <si>
    <t>утепление</t>
  </si>
  <si>
    <t xml:space="preserve">Пр </t>
  </si>
  <si>
    <t xml:space="preserve">К </t>
  </si>
  <si>
    <t xml:space="preserve">фасад </t>
  </si>
  <si>
    <t>г. Асино, ул. им. Ю. Гагарина, д. 6</t>
  </si>
  <si>
    <t>г. Северск, ул. Солнечная, д. 7а</t>
  </si>
  <si>
    <t>г. Северск, ул. Солнечная, д. 13</t>
  </si>
  <si>
    <t>г. Томск, д. Лоскутово, ул. Ленина, д. 20</t>
  </si>
  <si>
    <t>г. Томск, пер. Ботанический, д. 7</t>
  </si>
  <si>
    <t>г. Томск, пер. Ботанический, д. 10</t>
  </si>
  <si>
    <t>г. Томск, пер. Ботанический, д. 12</t>
  </si>
  <si>
    <t>г. Томск, ул. Белинского, д. 21/1</t>
  </si>
  <si>
    <t>г. Томск, ул. Косарева, д. 8</t>
  </si>
  <si>
    <t>г. Томск, ул. Матросова, д. 6</t>
  </si>
  <si>
    <t>г. Томск, ул. Советская, д. 70</t>
  </si>
  <si>
    <t>г. Томск, ул. Советская, д. 99</t>
  </si>
  <si>
    <t>г. Томск, ул. Студенческая, д. 15/1</t>
  </si>
  <si>
    <t>г. Томск, пер. Карповский, д. 3</t>
  </si>
  <si>
    <t>г. Томск, пр-кт Ленина, д. 128/1</t>
  </si>
  <si>
    <t>г. Томск, пер. Баранчуковский, д. 35</t>
  </si>
  <si>
    <t>г. Томск, ул. Карла Ильмера, д. 21</t>
  </si>
  <si>
    <t>г. Томск, ул. Смирнова, д. 30</t>
  </si>
  <si>
    <t>г. Томск, ул. Смирнова, д. 35</t>
  </si>
  <si>
    <t>г. Томск, тракт Иркутский, д. 116</t>
  </si>
  <si>
    <t>г. Томск, пер. Карский, д. 13</t>
  </si>
  <si>
    <t>г. Томск, ул. Беринга, д. 22</t>
  </si>
  <si>
    <t>г. Томск, ул. Водопроводная, д. 11</t>
  </si>
  <si>
    <t>г. Томск, ул. Вокзальная, д. 43</t>
  </si>
  <si>
    <t>г. Томск, ул. Ивана Черных, д. 91</t>
  </si>
  <si>
    <t>г. Томск, ул. Ивановского, д. 16</t>
  </si>
  <si>
    <t>г. Томск, ул. Клюева, д. 26</t>
  </si>
  <si>
    <t>г. Томск, ул. Лазарева, д. 5/2</t>
  </si>
  <si>
    <t>г. Томск, ул. Мичурина, д. 2</t>
  </si>
  <si>
    <t>г. Томск, ул. Новосибирская, д. 31</t>
  </si>
  <si>
    <t>г. Томск, ул. Пушкина, д. 9</t>
  </si>
  <si>
    <t>г. Томск, ул. Пушкина, д. 22</t>
  </si>
  <si>
    <t>г. Томск, ул. Сергея Лазо, д. 6</t>
  </si>
  <si>
    <t>г. Томск, ул. Сергея Лазо, д. 26</t>
  </si>
  <si>
    <t>г. Томск, ул. Елизаровых, д. 48/1</t>
  </si>
  <si>
    <t>г. Томск, ул. Елизаровых, д. 68</t>
  </si>
  <si>
    <t>г. Томск, ул. Елизаровых, д. 76</t>
  </si>
  <si>
    <t>г. Томск, ул. Лебедева, д. 11</t>
  </si>
  <si>
    <t>г. Томск, ул. Лебедева, д. 87</t>
  </si>
  <si>
    <t>г. Томск, ул. Льва Толстого, д. 81</t>
  </si>
  <si>
    <t>СМР (н)</t>
  </si>
  <si>
    <t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электрической энергии,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–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–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</si>
  <si>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>Вид элемента строительных конструкций, оборудования, инженерных систем &lt;1&gt;</t>
  </si>
  <si>
    <t>Вид работы (услуги) по капитальному ремонту &lt;2&gt;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</si>
  <si>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</si>
  <si>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</si>
  <si>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>МКД - многоквартирный дом;</t>
  </si>
  <si>
    <t>ТС ХВС</t>
  </si>
  <si>
    <t xml:space="preserve">разработка проектной документации, включая проведение проверки достоверности определения сметной стоимости </t>
  </si>
  <si>
    <t>ХВС</t>
  </si>
  <si>
    <t>г. Стрежевой, 1-й микрорайон, д. 102а</t>
  </si>
  <si>
    <t>г. Стрежевой, 2-й микрорайон, д. 217</t>
  </si>
  <si>
    <t>г. Стрежевой, 2-й микрорайон, д. 218</t>
  </si>
  <si>
    <t>г. Стрежевой, 2-й микрорайон, д. 224</t>
  </si>
  <si>
    <t>г. Стрежевой, 2-й микрорайон, д. 238</t>
  </si>
  <si>
    <t>г. Стрежевой, 2-й микрорайон, д. 240</t>
  </si>
  <si>
    <t>г. Стрежевой, 1-й микрорайон, д. 182а</t>
  </si>
  <si>
    <t>г. Стрежевой, 1-й микрорайон, д. 185</t>
  </si>
  <si>
    <t>г. Стрежевой, 3-й микрорайон, д. 306</t>
  </si>
  <si>
    <t>г. Стрежевой, 4-й микрорайон, д. 419</t>
  </si>
  <si>
    <t>1970, 1971</t>
  </si>
  <si>
    <t>с. Каргасок, ул. Советская, д.29</t>
  </si>
  <si>
    <t>п. Победа, территория ОГСУ "дом интернат для престарелых и инвалидов, "Лесная дача", стр. 3</t>
  </si>
  <si>
    <t>1989, 1990, 1991</t>
  </si>
  <si>
    <t>г. Томск, тракт Иркутский, д. 72а</t>
  </si>
  <si>
    <t>г. Томск, тракт Иркутский, д. 102</t>
  </si>
  <si>
    <t>г. Томск, тракт Иркутский, д. 118/2</t>
  </si>
  <si>
    <t>г. Томск, тракт Иркутский, д. 120</t>
  </si>
  <si>
    <t>г. Томск, тракт Иркутский, д. 122</t>
  </si>
  <si>
    <t>г. Томск, тракт Иркутский, д. 128а</t>
  </si>
  <si>
    <t>г. Стрежевой, ул. Новая, д. 88а</t>
  </si>
  <si>
    <t>г. Стрежевой, ул. Новая, д. 90</t>
  </si>
  <si>
    <t>г. Стрежевой, ул. Новая, д. 94</t>
  </si>
  <si>
    <t>г. Томск, д. Лоскутово, ул. Ленина, д. 19</t>
  </si>
  <si>
    <t>Фонд - государственная корпорация - Фонд содействия реформированию жилищно-коммунального хозяйства.</t>
  </si>
  <si>
    <t>г. Северск, ул. Сосновая 16, д. 4</t>
  </si>
  <si>
    <t>с. Каргала, ул. Юбилейная, д. 7</t>
  </si>
  <si>
    <t>с. Каргала, ул. Юбилейная, д. 10</t>
  </si>
  <si>
    <t>с. Молчаново, ул. Димитрова, д. 73</t>
  </si>
  <si>
    <t>с. Александровское, ул. Гоголя, д. 19а</t>
  </si>
  <si>
    <t>п. Ягодное, ул. Строительная, д. 5</t>
  </si>
  <si>
    <t>рп. Белый Яр,  ул. Таежная, д. 2</t>
  </si>
  <si>
    <t>рп. Белый Яр, ул. Таежная, д. 44</t>
  </si>
  <si>
    <t>ЭС К</t>
  </si>
  <si>
    <t>с. Кривошеино, ул. Ленина, д. 61</t>
  </si>
  <si>
    <t>с. Кривошеино, ул. Ленина, д. 63</t>
  </si>
  <si>
    <t>с. Кривошеино, ул. Ленина, д. 71</t>
  </si>
  <si>
    <t>с. Кривошеино, ул. Октябрьская, д. 26</t>
  </si>
  <si>
    <t>п. Улу-Юл, ул. 50 лет Октября, д.1</t>
  </si>
  <si>
    <t>п. Улу-Юл, ул. Железнодорожная, д.18</t>
  </si>
  <si>
    <t>п. Улу-Юл, ул. Железнодорожная, д.20</t>
  </si>
  <si>
    <t>п. Улу-Юл, ул. Железнодорожная, д.22</t>
  </si>
  <si>
    <t>ХВС ВО</t>
  </si>
  <si>
    <t>с. Парабель, ул. Советская, д. 27</t>
  </si>
  <si>
    <t>1992, 1995, 2001</t>
  </si>
  <si>
    <t>г. Томск, тракт Иркутский, д. 13</t>
  </si>
  <si>
    <t>Краткосрочный план реализации в 2020 - 2022 гг. Региональной программы капитального ремонта общего имущества в многоквартирных домах, расположенных на территории Томской области</t>
  </si>
  <si>
    <t>1. Перечень многоквартирных домов, включенных в Краткосрочный план реализации в 2020 - 2022 гг. Региональной программы капитального ремонта общего имущества в многоквартирных домах, расположенных на территории Томской области</t>
  </si>
  <si>
    <t>2020 год</t>
  </si>
  <si>
    <t>2021 год</t>
  </si>
  <si>
    <t>2022 год</t>
  </si>
  <si>
    <t xml:space="preserve">2. Перечень работ и услуг по капитальному ремонту общего имущества в многоквартирных домах, включенных в Краткосрочный план реализации в 2020 - 2022 гг. Региональной программы капитального ремонта общего имущества в многоквартирных домах, расположенных на территории Томской области </t>
  </si>
  <si>
    <t>с. Александровское, ул. Ленина, д. 14</t>
  </si>
  <si>
    <t>ВО</t>
  </si>
  <si>
    <t>г. Кедровый, мкр. 1-й, д. 40</t>
  </si>
  <si>
    <t>с. Зырянское, ул. Смирнова, д. 19</t>
  </si>
  <si>
    <t>2020</t>
  </si>
  <si>
    <t>с. Кожевниково, ул. Гагарина, д. 11</t>
  </si>
  <si>
    <t>с. Кожевниково, ул. Ленина, д. 18</t>
  </si>
  <si>
    <t>с. Кожевниково, ул. Титова, д. 4</t>
  </si>
  <si>
    <t>с. Кожевниково, ул. Титова, д. 8</t>
  </si>
  <si>
    <t>с. Кожевниково, ул. Титова, д. 12</t>
  </si>
  <si>
    <t xml:space="preserve"> СМР</t>
  </si>
  <si>
    <t>с. Кривошеино, ул. Коммунистическая, д. 49</t>
  </si>
  <si>
    <t xml:space="preserve">с. Молчаново, ул. Димитрова, д. 73 </t>
  </si>
  <si>
    <t>с. Молчаново, ул. Степная, д. 1</t>
  </si>
  <si>
    <t>с. Молчаново, ул. Димитрова, д. 41</t>
  </si>
  <si>
    <t>с. Молчаново, ул. 60 лет Октября, д. 12</t>
  </si>
  <si>
    <t>с. Мельниково, ул. Коммунистическая, д. 11</t>
  </si>
  <si>
    <t>с. Мельниково, ул. Коммунистическая, д. 21</t>
  </si>
  <si>
    <t>п.Зональная Станция, ул. 40 Лет Победы, д. 1а</t>
  </si>
  <si>
    <t>д. Белоусово, ул. Мира, д. 13</t>
  </si>
  <si>
    <t>п. Аэропорт, д. 1</t>
  </si>
  <si>
    <t>п. Аэропорт, д. 2</t>
  </si>
  <si>
    <t>п.Зональная Станция, ул. 40 Лет Победы, д. 1б</t>
  </si>
  <si>
    <t>п. Копылово, ул. 1 Мая, д. 2</t>
  </si>
  <si>
    <t>п. Копылово, ул. 1 Мая, д. 6</t>
  </si>
  <si>
    <t>п. Копылово, ул. 1 Мая, д. 13</t>
  </si>
  <si>
    <t>п. Копылово, ул. 1 Мая, д. 15</t>
  </si>
  <si>
    <t>п. Копылово, ул. Зои Космодемьянской, д. 8</t>
  </si>
  <si>
    <t>п. Копылово, ул. Ленина, д. 1</t>
  </si>
  <si>
    <t>п. Копылово, ул. Ленина, д. 3</t>
  </si>
  <si>
    <t>п. Копылово, ул. Ленина, д. 4</t>
  </si>
  <si>
    <t>п. Копылово, ул. Ленина, д. 5</t>
  </si>
  <si>
    <t>п. Копылово, ул. Ленина, д. 6а</t>
  </si>
  <si>
    <t>п. Копылово, ул. Ленина, д. 9</t>
  </si>
  <si>
    <t>п. Рассвет, д. 1</t>
  </si>
  <si>
    <t>с. Богашево, ул. Новостройка, д. 1</t>
  </si>
  <si>
    <t>с. Кафтанчиково, ул. Коммунистическая, д. 91</t>
  </si>
  <si>
    <t>с. Корнилово, ул. Голикова, д. 12/1</t>
  </si>
  <si>
    <t>с.Моряковский Затон, пер. Больничный, д. 1</t>
  </si>
  <si>
    <t>с.Моряковский Затон, пер. Ремесленный, д. 1</t>
  </si>
  <si>
    <t>с.Моряковский Затон, ул. Октябрьская, д. 7</t>
  </si>
  <si>
    <t>с.Моряковский Затон, ул. Советская, д. 8</t>
  </si>
  <si>
    <t>с. Томское, ул. Маяковского, д. 22</t>
  </si>
  <si>
    <t>с. Томское, ул. Маяковского, д. 23</t>
  </si>
  <si>
    <t>с. Турунтаево, ул. Советская, д. 2</t>
  </si>
  <si>
    <t>с. Турунтаево, ул. Советская, д. 4</t>
  </si>
  <si>
    <t>п. Улу-Юл, ул. 50 лет Октября, д. 1</t>
  </si>
  <si>
    <t>д. Торбеево, ул. Строительная, д.1</t>
  </si>
  <si>
    <t>г. Стрежевой, 1-й микрорайон, д. 142</t>
  </si>
  <si>
    <t>г. Стрежевой, 1-й микрорайон, д. 143</t>
  </si>
  <si>
    <t>г. Стрежевой, 2-й микрорайон, д. 201</t>
  </si>
  <si>
    <t>г. Стрежевой, 2-й микрорайон, д. 207</t>
  </si>
  <si>
    <t>г. Стрежевой, 2-й микрорайон, д. 222</t>
  </si>
  <si>
    <t>г. Стрежевой, 2-й микрорайон, д. 223</t>
  </si>
  <si>
    <t>г. Стрежевой, 2-й микрорайон, д. 225</t>
  </si>
  <si>
    <t>г. Стрежевой, 2-й микрорайон, д. 228</t>
  </si>
  <si>
    <t>г. Стрежевой, 2-й микрорайон, д. 234</t>
  </si>
  <si>
    <t>г. Асино, ул. 9 Мая, д. 64</t>
  </si>
  <si>
    <t>г. Асино, ул. им. 370 Стрелковой дивизии, д. 30</t>
  </si>
  <si>
    <t>г. Асино, ул. им. 370 Стрелковой дивизии, д. 36</t>
  </si>
  <si>
    <t>г. Асино, ул. им. 370 Стрелковой дивизии, д. 38</t>
  </si>
  <si>
    <t>г. Асино, ул. им. 370 Стрелковой дивизии, д. 40</t>
  </si>
  <si>
    <t>г. Асино, ул. Павлика Морозова, д. 2</t>
  </si>
  <si>
    <t>г. Асино, ул. Павлика Морозова, д. 5</t>
  </si>
  <si>
    <t>г. Асино, ул. Партизанская, д. 45</t>
  </si>
  <si>
    <t>г. Асино, ул. Сельская, д. 53</t>
  </si>
  <si>
    <t>г. Асино, ул. Сельская, д. 55</t>
  </si>
  <si>
    <t>г. Асино, ул. Станционная, д. 25</t>
  </si>
  <si>
    <t>г. Асино, ул. Челюскина, д. 15</t>
  </si>
  <si>
    <t>ТС ХВС ГВС</t>
  </si>
  <si>
    <t>г. Томск, пр-кт Кирова, д. 54</t>
  </si>
  <si>
    <t>г. Томск, тракт Московский, д. 70/1</t>
  </si>
  <si>
    <t>г. Томск, ул. Усова, д. 21/6</t>
  </si>
  <si>
    <t>г. Томск, ул. Смирнова, д. 40/3</t>
  </si>
  <si>
    <t>г. Томск, пер. Сергея Лазо, д. 10/3</t>
  </si>
  <si>
    <t>г. Томск, тракт Иркутский, д. 212</t>
  </si>
  <si>
    <t>г. Томск, ул. Мичурина, д. 14</t>
  </si>
  <si>
    <t>г. Томск, ул. Кулагина, д. 45</t>
  </si>
  <si>
    <t>РУФ К</t>
  </si>
  <si>
    <t>ЭС ТС ХВС ГВС</t>
  </si>
  <si>
    <t>ТС ХВС ГВС ПУ УУ</t>
  </si>
  <si>
    <t>К ЛО</t>
  </si>
  <si>
    <t xml:space="preserve"> ЛО</t>
  </si>
  <si>
    <t xml:space="preserve">ЭС ТС ХВС ГВС </t>
  </si>
  <si>
    <t>г. Томск, ул. Вершинина, д. 68</t>
  </si>
  <si>
    <t>г. Томск, пр-кт Ленина, д. 177</t>
  </si>
  <si>
    <t>г. Томск, ул. Говорова, д. 48</t>
  </si>
  <si>
    <t>г. Томск, п. Светлый, д. 17</t>
  </si>
  <si>
    <t>г. Томск, ул. Ивана Черных, д. 32</t>
  </si>
  <si>
    <t>г. Томск, ул. Яковлева, д. 2</t>
  </si>
  <si>
    <t>2021</t>
  </si>
  <si>
    <t>ХВС ГВС ВО</t>
  </si>
  <si>
    <t>2022</t>
  </si>
  <si>
    <t>1994, 2001</t>
  </si>
  <si>
    <t>1993, 1997</t>
  </si>
  <si>
    <t>1983, 1984</t>
  </si>
  <si>
    <t xml:space="preserve">СМР </t>
  </si>
  <si>
    <t>г. Северск, пр-кт Коммунистический, д. 90а</t>
  </si>
  <si>
    <t>г. Северск, пр-кт Коммунистический, д. 96</t>
  </si>
  <si>
    <t xml:space="preserve">г. Северск, ул. Калинина, д. 4 </t>
  </si>
  <si>
    <t>г. Северск, ул. Ленина, д. 102</t>
  </si>
  <si>
    <t>г. Северск, ул. Ленина, д. 122</t>
  </si>
  <si>
    <t>г. Северск, ул. Ленина, д. 132</t>
  </si>
  <si>
    <t>г. Северск, ул. Северная, д. 8</t>
  </si>
  <si>
    <t>п. Самусь, ул. Розы Люксембург, д. 2</t>
  </si>
  <si>
    <t>г. Северск, пр-кт Коммунистический, д. 4</t>
  </si>
  <si>
    <t>г. Северск, пр-кт Коммунистический, д. 44</t>
  </si>
  <si>
    <t>г. Северск, пр-кт Коммунистический, д. 69</t>
  </si>
  <si>
    <t>г. Северск, пр-кт Коммунистический, д. 89</t>
  </si>
  <si>
    <t>г. Северск, ул. 40 лет Октября, д. 6</t>
  </si>
  <si>
    <t xml:space="preserve">г. Северск, ул. 40 лет Октября, д. 10 </t>
  </si>
  <si>
    <t>г. Северск, ул. Горького, д. 9а</t>
  </si>
  <si>
    <t>г. Северск, ул. Калинина, д. 95</t>
  </si>
  <si>
    <t>г. Северск, ул. Калинина, д. 99</t>
  </si>
  <si>
    <t>г. Северск, ул. Калинина, д. 103</t>
  </si>
  <si>
    <t>г. Северск, ул. Крупской, д. 6</t>
  </si>
  <si>
    <t>г. Северск, ул. Ленина, д. 18</t>
  </si>
  <si>
    <t>г. Северск, ул. Ленина, д. 64</t>
  </si>
  <si>
    <t>г. Северск, ул. Пионерская, д. 14</t>
  </si>
  <si>
    <t xml:space="preserve">г. Северск, ул. Свердлова, д. 17 </t>
  </si>
  <si>
    <t>г. Северск, ул. Свердлова, д. 19</t>
  </si>
  <si>
    <t>г. Северск, ул. Северная, д. 4</t>
  </si>
  <si>
    <t>г. Северск, ул. Северная, д. 10</t>
  </si>
  <si>
    <t>г. Северск, ул. Советская, д. 23</t>
  </si>
  <si>
    <t>г. Северск, ул. Советская, д. 34</t>
  </si>
  <si>
    <t>г. Северск, ул. Советская, д. 36</t>
  </si>
  <si>
    <t>г. Северск, ул. Строителей, д. 19</t>
  </si>
  <si>
    <t>г. Северск, ул. Строителей, д. 22</t>
  </si>
  <si>
    <t>г. Северск, ул. Строителей, д. 28</t>
  </si>
  <si>
    <t>г. Северск, ул. Строителей, д. 33</t>
  </si>
  <si>
    <t>п. Самусь, ул. Пекарского, д. 20</t>
  </si>
  <si>
    <t>г. Северск, пр-кт Коммунистический, д. 98</t>
  </si>
  <si>
    <t>г. Северск, ул. Курчатова, д. 8</t>
  </si>
  <si>
    <t>г. Северск, ул. Курчатова, д. 21</t>
  </si>
  <si>
    <t xml:space="preserve"> СМР </t>
  </si>
  <si>
    <t>г. Колпашево, ул. Победы, д. 63</t>
  </si>
  <si>
    <t>г. Колпашево, ул. Победы, д. 65</t>
  </si>
  <si>
    <t>г. Колпашево, ул. Победы, д. 67</t>
  </si>
  <si>
    <t>г. Колпашево, ул. Победы, д. 69</t>
  </si>
  <si>
    <t>г. Колпашево, ул. Победы, д. 81</t>
  </si>
  <si>
    <t>г. Колпашево, ул. Победы, д. 106</t>
  </si>
  <si>
    <t>г. Томск, ул. Котовского, д. 28</t>
  </si>
  <si>
    <t>г. Томск, ул. Красноармейская, д. 101</t>
  </si>
  <si>
    <t>г. Томск, ул. Красноармейская, д. 103</t>
  </si>
  <si>
    <t>г. Томск, ул. Красноармейская, д. 105</t>
  </si>
  <si>
    <t>г. Томск, пр-кт Фрунзе, д. 123</t>
  </si>
  <si>
    <t>г. Асино, ул. имени В.В. Липатова, д. 25</t>
  </si>
  <si>
    <t>г. Асино, ул. имени Ленина, д. 90</t>
  </si>
  <si>
    <t xml:space="preserve">г. Колпашево, ул. Ленина, д. 41/1 </t>
  </si>
  <si>
    <t>г. Колпашево, ул. Ленина, д. 41/1</t>
  </si>
  <si>
    <t>с. Зырянское, пер. Энергетический, д. 4</t>
  </si>
  <si>
    <t>с. Зырянское, ул. Смирнова, д. 23</t>
  </si>
  <si>
    <t>г. Северск, пр-кт Коммунистический, д. 147</t>
  </si>
  <si>
    <t>г. Северск, пр-кт Коммунистический, д. 147а</t>
  </si>
  <si>
    <t>г. Северск, ул. Калинина, д. 92</t>
  </si>
  <si>
    <t>лифтовое оборудование (подъезд № 6)</t>
  </si>
  <si>
    <t>г. Северск, ул. Калинина, д. 133</t>
  </si>
  <si>
    <t>г. Томск, ул. Мокрушина, д. 16</t>
  </si>
  <si>
    <t>г. Томск, ул. 5 Армии, д. 7</t>
  </si>
  <si>
    <t>г. Томск, пер. Заозерный, д. 3</t>
  </si>
  <si>
    <t>г. Томск, ул. Междугородная, д. 20</t>
  </si>
  <si>
    <t>г. Стрежевой, ул. Коммунальная, д. 61</t>
  </si>
  <si>
    <t>г. Стрежевой, ул. Строителей, д. 53</t>
  </si>
  <si>
    <t>г. Стрежевой, ул. Строителей, д. 59</t>
  </si>
  <si>
    <t>лифтовое оборудование (подъезд № 7)</t>
  </si>
  <si>
    <t>п. Геологический, ул. Герасимовская, д. 3</t>
  </si>
  <si>
    <t>п. Геологический, ул. Герасимовская, д. 5</t>
  </si>
  <si>
    <t>г. Томск, пр-кт Академический, д. 15</t>
  </si>
  <si>
    <t>г. Томск, ул. Иртышская, д. 21</t>
  </si>
  <si>
    <t>1992, 1995</t>
  </si>
  <si>
    <t>г. Томск, ул. Больничная, д. 4/1</t>
  </si>
  <si>
    <t>г. Томск, ул. Кулева, д. 3</t>
  </si>
  <si>
    <t>лифтовое оборудование (подъезд № 8)</t>
  </si>
  <si>
    <t>ВО ХВС</t>
  </si>
  <si>
    <t>п. Ягодное, ул. Октябрьская, д. 3</t>
  </si>
  <si>
    <t xml:space="preserve">ТС ХВС </t>
  </si>
  <si>
    <t>ТС ВО</t>
  </si>
  <si>
    <t>г. Северск, пр-кт Коммунистический, д. 151</t>
  </si>
  <si>
    <t>лифтовое оборудование (подъезд № 19)</t>
  </si>
  <si>
    <t>итого</t>
  </si>
  <si>
    <t>г. Северск, ул. Калинина, д. 100</t>
  </si>
  <si>
    <t>г. Северск, ул. Кирова, д. 2</t>
  </si>
  <si>
    <t>г. Северск, ул. Кирова, д. 10</t>
  </si>
  <si>
    <t>г. Северск, ул. Крупской, д. 14а</t>
  </si>
  <si>
    <t>г. Северск, ул. Ленина, д. 34</t>
  </si>
  <si>
    <t>г. Северск, ул. Северная, д. 34</t>
  </si>
  <si>
    <t>г. Северск, ул. Советская, д. 5</t>
  </si>
  <si>
    <t>пос. Самусь, ул. Карла Маркса, д. 1</t>
  </si>
  <si>
    <t>фундамент</t>
  </si>
  <si>
    <t>1994, 1995, 1996, 1997, 1998</t>
  </si>
  <si>
    <t xml:space="preserve">ПСД, СМР </t>
  </si>
  <si>
    <t>ХВС, ГВС, ВО, ТС</t>
  </si>
  <si>
    <t>1994, 1995</t>
  </si>
  <si>
    <t>Ф</t>
  </si>
  <si>
    <t>г. Стрежевой, 3-й микрорайон, д. 305</t>
  </si>
  <si>
    <t>г. Томск, ул. Дзержинского, д. 56</t>
  </si>
  <si>
    <t>г. Томск, пер. Дербышевский, д. 26А</t>
  </si>
  <si>
    <t>г. Томск, ул. 79 Гвардейской Дивизии, д. 9/1</t>
  </si>
  <si>
    <t>г. Томск, ул. Ивана Черных, д. 24</t>
  </si>
  <si>
    <t>г. Томск, ул. Северный городок, д. 58</t>
  </si>
  <si>
    <t>г. Томск, ул. Северный городок, д. 59</t>
  </si>
  <si>
    <t>1993, 1994</t>
  </si>
  <si>
    <t>п. Геологический, ул. Герасимовская, д. 29</t>
  </si>
  <si>
    <t>разработка проектной документации, включая проведение проверки достоверности определения сметной стоимости (утепление)</t>
  </si>
  <si>
    <t>с. Каргасок, ул. Красноармейская, д. 80</t>
  </si>
  <si>
    <t>с. Каргасок, ул. Учебная, д. 2</t>
  </si>
  <si>
    <t>с. Кожевниково, ул. Комарова, д. 9</t>
  </si>
  <si>
    <t>г. Колпашево, пер. Чапаева, д. 17</t>
  </si>
  <si>
    <t>г. Колпашево, пер. Чапаева, д. 19</t>
  </si>
  <si>
    <t>г. Колпашево, ул. Кирова, д. 89</t>
  </si>
  <si>
    <t>г. Колпашево, ул. Комсомольская, д. 2</t>
  </si>
  <si>
    <t>г. Колпашево, ул. Мира, д. 22</t>
  </si>
  <si>
    <t>г. Колпашево, ул. Советский Север, д. 53</t>
  </si>
  <si>
    <t>с. Тогур, ул. Чапаева, д. 2</t>
  </si>
  <si>
    <t>с. Тогур, ул. Чапаева, д. 4</t>
  </si>
  <si>
    <t>г. Колпашево, ул. Победы, д. 83</t>
  </si>
  <si>
    <t>г. Колпашево, ул. Победы, д. 86</t>
  </si>
  <si>
    <t>г. Колпашево, ул. Победы, д. 108</t>
  </si>
  <si>
    <t>г. Колпашево, ул. Победы, д. 110</t>
  </si>
  <si>
    <t>г. Колпашево, ул. Победы, д. 80</t>
  </si>
  <si>
    <t>г. Колпашево,  ул. Победы, д. 108</t>
  </si>
  <si>
    <t>г. Колпашево,  ул. Победы, д. 110</t>
  </si>
  <si>
    <t>с. Парабель, ул. Техническая, д. 3</t>
  </si>
  <si>
    <t>с. Парабель, ул. Чехова, д. 14</t>
  </si>
  <si>
    <t>разработка проектной документации, включая проведение проверки достоверности определения сметной стоимости  (ремонт)</t>
  </si>
  <si>
    <t>разработка проектной документации, включая проведение проверки достоверности определения сметной стоимости  (утепление)</t>
  </si>
  <si>
    <t>с. Парабель, ул. Чехова, д. 20</t>
  </si>
  <si>
    <t>с. Александровское, ул. Химиков, д. 1</t>
  </si>
  <si>
    <t>с. Александровское, ул. Химиков, д. 3</t>
  </si>
  <si>
    <t>с. Бакчар, ул. Ленина, д. 46</t>
  </si>
  <si>
    <t>Итого по Бакчарскому району</t>
  </si>
  <si>
    <t xml:space="preserve"> ХВС</t>
  </si>
  <si>
    <t>г. Колпашево, пер. Клубный, д. 5</t>
  </si>
  <si>
    <t>г. Колпашево, ул. Кедровая, д. 3</t>
  </si>
  <si>
    <t>г. Колпашево, ул. Мира, д. 34</t>
  </si>
  <si>
    <t>с. Тогур, ул. Мичурина, д. 9</t>
  </si>
  <si>
    <t>с. Тогур, ул. Мичурина, д. 13</t>
  </si>
  <si>
    <t>с. Тогур, ул. Некрасова, д. 2</t>
  </si>
  <si>
    <t>г. Колпашево, ул. Ленина, д. 39/1</t>
  </si>
  <si>
    <t>г. Колпашево, ул. Победы, д. 85</t>
  </si>
  <si>
    <t>г. Северск, ул. Победы, д. 17</t>
  </si>
  <si>
    <t>г. Томск, ул. Беринга, д. 1/3</t>
  </si>
  <si>
    <t>г. Томск, ул. Ивана Черных, д. 20</t>
  </si>
  <si>
    <t>г. Томск, ул. Пушкина, д. 52в</t>
  </si>
  <si>
    <t>К, РУФ, НОК</t>
  </si>
  <si>
    <t>г. Томск, ул. Железнодорожная, д. 5</t>
  </si>
  <si>
    <t>г. Томск, ул. Елизаровых, д. 38</t>
  </si>
  <si>
    <t>г. Томск, ул. Елизаровых, д. 40</t>
  </si>
  <si>
    <t>г. Томск, ул. Карташова, д. 70</t>
  </si>
  <si>
    <t>г. Томск, ул. Киевская, д. 88а</t>
  </si>
  <si>
    <t>г. Томск, пр-кт Мира, д. 31</t>
  </si>
  <si>
    <t>г. Томск, ул. Мичурина, д. 79</t>
  </si>
  <si>
    <t>г. Томск, пер. Фруктовый, д. 28</t>
  </si>
  <si>
    <t>г. Томск, пр-кт Комсомольский, д. 39/2</t>
  </si>
  <si>
    <t>г. Томск, пр-кт Комсомольский, д. 69</t>
  </si>
  <si>
    <t>г. Томск, ул. Сибирская, д. 90</t>
  </si>
  <si>
    <t>г. Томск, ул. Герцена, д. 54а</t>
  </si>
  <si>
    <t>с. Бакчар, ул. Хомутского, д. 51</t>
  </si>
  <si>
    <t>с. Каргасок, ул. Советская, д. 29</t>
  </si>
  <si>
    <t>п. Копылово, ул.1 Мая, д. 13</t>
  </si>
  <si>
    <t>п. Копылово, ул.1 Мая, д. 15</t>
  </si>
  <si>
    <t>с. Богашево, ул.Новостройка, д. 1</t>
  </si>
  <si>
    <t>г. Томск, ул. Кулагина, д. 27</t>
  </si>
  <si>
    <t>1990, 1991, 1992</t>
  </si>
  <si>
    <t>с. Зырянское, ул. Советская, д. 32</t>
  </si>
  <si>
    <t>г. Северск, пр-кт Коммунистический, д. 112</t>
  </si>
  <si>
    <t>лифтовое оборудование (подъезд № 9)</t>
  </si>
  <si>
    <t>лифтовое оборудование (подъезд № 13)</t>
  </si>
  <si>
    <t>лифтовое оборудование (подъезд № 14)</t>
  </si>
  <si>
    <t>лифтовое оборудование (подъезд № 15)</t>
  </si>
  <si>
    <t>г. Северск, ул. Курчатова, д. 13</t>
  </si>
  <si>
    <t>г. Северск, ул. Ленинградская, д. 12</t>
  </si>
  <si>
    <t>г. Северск, ул. Победы, д. 23</t>
  </si>
  <si>
    <t>г. Северск, ул. Северная, д. 30</t>
  </si>
  <si>
    <t>г. Северск, ул. Солнечная, д. 8</t>
  </si>
  <si>
    <t>г. Северск, пр-кт Коммунистический, д. 120</t>
  </si>
  <si>
    <t>лифтовое оборудование (подъезд № 16)</t>
  </si>
  <si>
    <t>лифтовое оборудование (подъезд № 12)</t>
  </si>
  <si>
    <t>г. Северск, ул. Победы, д. 13</t>
  </si>
  <si>
    <t>1983, 1984, 1985</t>
  </si>
  <si>
    <t>г. Стрежевой, 5-й микрорайон, д. 517</t>
  </si>
  <si>
    <t>г. Стрежевой, 4-й микрорайон, д. 436</t>
  </si>
  <si>
    <t>г. Стрежевой, ул. Строителей, д. 80</t>
  </si>
  <si>
    <t>с. Малиновка, ул. Рабочая, д. 25</t>
  </si>
  <si>
    <t xml:space="preserve"> СМР (з)</t>
  </si>
  <si>
    <t>г. Колпашево, ул. И. Лугинца, д. 33</t>
  </si>
  <si>
    <t>ЭС, ВО</t>
  </si>
  <si>
    <t>с. Первомайское, ул. Советская, д. 59</t>
  </si>
  <si>
    <t>г. Томск, пр-кт Кирова, д. 53/1</t>
  </si>
  <si>
    <t>г. Томск, пр-кт Кирова, д. 53/2</t>
  </si>
  <si>
    <t>г. Томск, пр-кт Кирова, д. 53/4</t>
  </si>
  <si>
    <t>г. Томск, ул. Усова, д. 12</t>
  </si>
  <si>
    <t>г. Томск, ул. Усова, д. 58</t>
  </si>
  <si>
    <t>г. Томск, ул. Учебная, д. 1/1</t>
  </si>
  <si>
    <t>г. Томск, пер. Совпартшкольный, д. 2а</t>
  </si>
  <si>
    <t>г. Томск, пр-кт Ленина, д. 193</t>
  </si>
  <si>
    <t>г. Томск, пр-кт Ленина, д. 210</t>
  </si>
  <si>
    <t>г. Томск, пр-кт Ленина, д. 224</t>
  </si>
  <si>
    <t>г. Томск, ул. Карла Маркса, д. 24</t>
  </si>
  <si>
    <t>г. Томск, п. Светлый, д. 23</t>
  </si>
  <si>
    <t>г. Томск, тракт Иркутский, д. 194</t>
  </si>
  <si>
    <t>г. Томск, ул. Бирюкова, д. 10</t>
  </si>
  <si>
    <t>г. Томск, ул. Бирюкова, д. 12</t>
  </si>
  <si>
    <t>г. Томск, ул. Клюева, д. 2</t>
  </si>
  <si>
    <t>г. Томск, ул. Клюева, д. 3</t>
  </si>
  <si>
    <t>г. Томск, ул. Клюева, д. 4</t>
  </si>
  <si>
    <t>г. Томск, ул. Клюева, д. 5</t>
  </si>
  <si>
    <t>г. Томск, ул. Междугородная, д. 28</t>
  </si>
  <si>
    <t>г. Томск, ул. Обручева, д. 20</t>
  </si>
  <si>
    <t>г. Томск, ул. Пушкина, д. 52</t>
  </si>
  <si>
    <t>г. Томск, ул. Пушкина, д. 52а</t>
  </si>
  <si>
    <t>г. Томск, ул. Пушкина, д. 54</t>
  </si>
  <si>
    <t>г. Томск, ул. Пушкина, д. 56</t>
  </si>
  <si>
    <t>г. Томск, ул. Сергея Лазо, д. 4</t>
  </si>
  <si>
    <t>г. Томск, ул. Сергея Лазо, д. 4/1</t>
  </si>
  <si>
    <t>г. Томск, пр-кт Комсомольский, д. 39</t>
  </si>
  <si>
    <t>г. Томск, ул. Алтайская, д. 97/1</t>
  </si>
  <si>
    <t>г. Томск, ул. Алтайская, д. 135</t>
  </si>
  <si>
    <t>г. Томск, ул. Киевская, д. 11</t>
  </si>
  <si>
    <t>г. Томск, ул. Лебедева, д. 76/1</t>
  </si>
  <si>
    <t>г. Томск, ул. Никитина, д. 12</t>
  </si>
  <si>
    <t>г. Томск, ул. Сибирская, д. 33</t>
  </si>
  <si>
    <t>г. Томск, ул. Сибирская, д. 102/1</t>
  </si>
  <si>
    <t>г. Томск, ул. Сибирская, д. 102/3</t>
  </si>
  <si>
    <t>г. Томск, ул. Сибирская, д. 104</t>
  </si>
  <si>
    <t>лифтовое оборудование (подъезд № 10)</t>
  </si>
  <si>
    <t>лифтовое оборудование (подъезд № 11)</t>
  </si>
  <si>
    <t>г. Томск, ул. Сибирская, д. 106</t>
  </si>
  <si>
    <t>г. Томск, ул. Сибирская, д. 108</t>
  </si>
  <si>
    <t>г. Томск, ул. Сибирская, д. 110</t>
  </si>
  <si>
    <t>г. Томск, пр-кт Кирова, д. 53/6</t>
  </si>
  <si>
    <t>г. Томск, пр-кт Кирова, д. 53/7</t>
  </si>
  <si>
    <t>г. Томск, пр-кт Кирова, д. 55</t>
  </si>
  <si>
    <t>г. Томск, пр-кт Кирова, д. 57</t>
  </si>
  <si>
    <t>г. Томск, ул. Дзержинского, д. 60а</t>
  </si>
  <si>
    <t>г. Томск, ул. Карташова, д. 31</t>
  </si>
  <si>
    <t>г. Томск, ул. Карташова, д. 42</t>
  </si>
  <si>
    <t>г. Томск, ул. Карташова, д. 42а</t>
  </si>
  <si>
    <t>г. Томск, ул. Советская, д. 46</t>
  </si>
  <si>
    <t>г. Томск, ул. Советская, д. 48</t>
  </si>
  <si>
    <t>г. Томск, ул. Усова, д. 60</t>
  </si>
  <si>
    <t>г. Томск, ул. Усова, д. 62</t>
  </si>
  <si>
    <t>г. Томск, ул. Усова, д. 64</t>
  </si>
  <si>
    <t>г. Томск, ул. Учебная, д. 42</t>
  </si>
  <si>
    <t>г. Томск, ул. Щорса, д. 13</t>
  </si>
  <si>
    <t>г. Томск, пер. Баранчуковский, д. 31</t>
  </si>
  <si>
    <t>г. Томск, пер. Ново-Станционный, д. 21</t>
  </si>
  <si>
    <t>г. Томск, ул. Войкова, д. 78</t>
  </si>
  <si>
    <t>г. Томск, пер. Пушкина, д. 5</t>
  </si>
  <si>
    <t>г. Томск, тракт Иркутский, д. 204</t>
  </si>
  <si>
    <t>г. Томск, ул. Бирюкова, д. 11</t>
  </si>
  <si>
    <t>г. Томск, ул. Ивановского, д. 11</t>
  </si>
  <si>
    <t>1992, 1994</t>
  </si>
  <si>
    <t>1990, 1991, 1993</t>
  </si>
  <si>
    <t>г. Томск, ул. Обручева, д. 14</t>
  </si>
  <si>
    <t>г. Томск, ул. Обручева, д. 18</t>
  </si>
  <si>
    <t>г. Томск, ул. Пушкина, д. 52г</t>
  </si>
  <si>
    <t>г. Томск, ул. Пушкина, д. 52д</t>
  </si>
  <si>
    <t>г. Томск, ул. Пушкина, д. 54б</t>
  </si>
  <si>
    <t>г. Томск, ул. Северный городок, д. 49</t>
  </si>
  <si>
    <t>г. Томск, ул. Северный городок, д. 50</t>
  </si>
  <si>
    <t>г. Томск, ул. Северный городок, д. 51</t>
  </si>
  <si>
    <t>г. Томск, ул. Северный городок, д. 57</t>
  </si>
  <si>
    <t>г. Томск, ул. Циолковского, д. 24</t>
  </si>
  <si>
    <t>г. Томск, пер. Нечевский, д. 15</t>
  </si>
  <si>
    <t>г. Томск, пр-кт Фрунзе, д. 130</t>
  </si>
  <si>
    <t>г. Томск, ул. Жуковского, д. 35</t>
  </si>
  <si>
    <t>г. Томск, ул. Сибирская, д. 112</t>
  </si>
  <si>
    <t>г. Томск, ул. Сибирская, д. 114</t>
  </si>
  <si>
    <t>г. Томск, ул. Шевченко, д. 39в</t>
  </si>
  <si>
    <t>г. Томск, ул. Шевченко, д. 39л/2</t>
  </si>
  <si>
    <t>РУФ, ЛО</t>
  </si>
  <si>
    <t>К, ЛО</t>
  </si>
  <si>
    <t>1996, 1997</t>
  </si>
  <si>
    <t>1995, 1998</t>
  </si>
  <si>
    <t>1990, 1992, 1995</t>
  </si>
  <si>
    <t>ТС, ЛО</t>
  </si>
  <si>
    <t>г. Асино, ул. Павлика Морозова, д. 3</t>
  </si>
  <si>
    <t>с. Ягодное, ул. Школьная, д. 1в</t>
  </si>
  <si>
    <t>г. Асино, ул. АВПУ, д. 2</t>
  </si>
  <si>
    <t>г. Асино, ул. АВПУ, д. 4</t>
  </si>
  <si>
    <t>г. Асино, ул. им. Крупской, д. 21</t>
  </si>
  <si>
    <t>г. Асино, ул. имени Ленина, д. 23</t>
  </si>
  <si>
    <t>г. Асино, ул. Рабочая, д. 103</t>
  </si>
  <si>
    <t>г. Асино, ул. Станционная, д. 9</t>
  </si>
  <si>
    <t>г. Асино, ул. Центральная, д. 6</t>
  </si>
  <si>
    <t>г. Асино, ул. имени Ленина д. 23</t>
  </si>
  <si>
    <t>с. Бакчар, ул. Хомутского, д. 33</t>
  </si>
  <si>
    <t>п. Ягодное, ул. Октябрьская, д. 4</t>
  </si>
  <si>
    <t>г. Северск, пр-кт Коммунистический, д. 58</t>
  </si>
  <si>
    <t>г. Северск, ул. Горького, д. 14</t>
  </si>
  <si>
    <t>г. Северск, ул. Крупской, д. 18</t>
  </si>
  <si>
    <t>г. Северск, ул. Ленина, д. 62</t>
  </si>
  <si>
    <t>г. Северск, пр-кт Коммунистический, д. 100</t>
  </si>
  <si>
    <t>лифтовое оборудование (подъезд № 17)</t>
  </si>
  <si>
    <t>лифтовое оборудование (подъезд № 18)</t>
  </si>
  <si>
    <t>г. Северск, ул. Курчатова, д. 19</t>
  </si>
  <si>
    <t>г. Северск, ул. Победы, д. 33</t>
  </si>
  <si>
    <t>г. Стрежевой, 2-й микрорайон, д. 210</t>
  </si>
  <si>
    <t>г. Стрежевой, 4-й микрорайон, д. 433</t>
  </si>
  <si>
    <t>разработка проектной документации, включая проведение проверки достоверности определения сметной стоимости (переустройство невентилируемой крыши на вентилируемую крышу)</t>
  </si>
  <si>
    <t>г. Стрежевой, 3-й микрорайон, д. 317</t>
  </si>
  <si>
    <t>г. Стрежевой, 4-й микрорайон, д. 428</t>
  </si>
  <si>
    <t>г. Стрежевой, ул. Кедровая, д. 65</t>
  </si>
  <si>
    <t>г. Стрежевой, ул. Молодежная, д. 21</t>
  </si>
  <si>
    <t>лифтовое оборудование (подъезд №4)</t>
  </si>
  <si>
    <t>с. Каргасок, ул. Лесная, д.26</t>
  </si>
  <si>
    <t>с. Каргасок, ул. Лесная, д. 26</t>
  </si>
  <si>
    <t>с. Кожевниково, ул. Титова, д. 10</t>
  </si>
  <si>
    <t xml:space="preserve"> СМР (н)</t>
  </si>
  <si>
    <t>с. Кривошеино, ул. Тракторная, д. 6</t>
  </si>
  <si>
    <t>с. Кривошеино, ул. Тракторная д. 6</t>
  </si>
  <si>
    <t>с. Кривошеино, ул. Гагарина, д. 18</t>
  </si>
  <si>
    <t>с. Кривошеино, ул. Кирова, д. 29</t>
  </si>
  <si>
    <t>с. Молчаново, ул. Димитрова, д. 77</t>
  </si>
  <si>
    <t>с. Парабель, ул. Советская, д. 54</t>
  </si>
  <si>
    <t>с. Парабель, ул. Шишкова, д. 118</t>
  </si>
  <si>
    <t>К НОК</t>
  </si>
  <si>
    <t>с. Первомайское, ул. Карла Маркса, д. 11</t>
  </si>
  <si>
    <t>с. Первомайское, ул. Карла Маркса, д. 34</t>
  </si>
  <si>
    <t>с. Первомайское, ул. Карла Маркса, д. 36</t>
  </si>
  <si>
    <t>с. Первомайское, пер. Молодежный, д. 6</t>
  </si>
  <si>
    <t>с. Первомайское, ул. Карла Маркса, д. 13</t>
  </si>
  <si>
    <t>п. Копылово, ул. Новая, д. 12</t>
  </si>
  <si>
    <t>п. Молодежный, д. 7</t>
  </si>
  <si>
    <t>п. Молодежный, д. 8</t>
  </si>
  <si>
    <t>п. Рассвет, д. 12</t>
  </si>
  <si>
    <t>п. Рассвет, д. 13</t>
  </si>
  <si>
    <t>с. Богашево, ул.Новостройка, д. 5</t>
  </si>
  <si>
    <t>п. Молодежный, д.7</t>
  </si>
  <si>
    <t>п. Молодежный, д.8</t>
  </si>
  <si>
    <t>с. Богашево, ул. Новостройка, д. 5</t>
  </si>
  <si>
    <t>с. Мельниково, ул. Свердлова, д. 62</t>
  </si>
  <si>
    <t>с. Мельниково, ул. Свердлова, д.62</t>
  </si>
  <si>
    <t>с. Мельниково, ул. Титова, д. 8</t>
  </si>
  <si>
    <t>с. Мельниково, ул. Чапаева, д. 21</t>
  </si>
  <si>
    <t>с. Мельниково, ул. Школьная, д. 7</t>
  </si>
  <si>
    <t>Итого по Тегульдетскому району</t>
  </si>
  <si>
    <t>с. Тегульдет, ул. Парковая, д. 7</t>
  </si>
  <si>
    <t>с. Тегульдетское, ул. Парковая, д. 7</t>
  </si>
  <si>
    <t>г. Колпашево, ул. Комсомольская, д. 27</t>
  </si>
  <si>
    <t>с. Тогур, ул. Лермонтова, д. 8</t>
  </si>
  <si>
    <t>с. Тогур, ул. Мичурина, д. 15</t>
  </si>
  <si>
    <t>с. Александровское, пер. Лесной, д. 42</t>
  </si>
  <si>
    <t>с. Александровское, ул. Гоголя, д. 22</t>
  </si>
  <si>
    <t>с. Александровское, ул. Советская, д. 20</t>
  </si>
  <si>
    <t>с. Александровское, ул. Юргина, д. 56</t>
  </si>
  <si>
    <t>ПСД СМР</t>
  </si>
  <si>
    <t>г. Томск, ул. Новосибирская, д. 37</t>
  </si>
  <si>
    <t>г. Томск, ул. Якимовича, д. 6</t>
  </si>
  <si>
    <t>г. Томск, пр-кт Фрунзе, д. 218</t>
  </si>
  <si>
    <t>г. Томск, ул. Лебедева, д. 87/1</t>
  </si>
  <si>
    <t>Кчс</t>
  </si>
  <si>
    <t>г. Томск, пер. Нахимова, д. 10</t>
  </si>
  <si>
    <t>г. Томск, ул. Артема, д. 5</t>
  </si>
  <si>
    <t>г. Томск, ул. Кузнецова, д. 22</t>
  </si>
  <si>
    <t>г. Томск, ул. Усова, д. 11а</t>
  </si>
  <si>
    <t>г. Томск, пер. Карский, д. 29</t>
  </si>
  <si>
    <t>г. Томск, тракт Иркутский, д. 138</t>
  </si>
  <si>
    <t>г. Томск, ул. Беринга, д. 13/1</t>
  </si>
  <si>
    <t>г. Томск, ул. Лазарева, д. 6</t>
  </si>
  <si>
    <t>г. Томск, ул. Мичурина, д. 65</t>
  </si>
  <si>
    <t>г. Томск, ул. Алтайская, д. 105</t>
  </si>
  <si>
    <t>г. Томск, ул. Мусы Джалиля, д. 32</t>
  </si>
  <si>
    <t>г. Томск, ул. Новгородская, д. 42</t>
  </si>
  <si>
    <t>г. Томск, ул. Сибирская, д. 102/10</t>
  </si>
  <si>
    <t>ХВС ГВС</t>
  </si>
  <si>
    <t>г. Томск, с. Тимирязевское, ул. Водозаборная,д. 3</t>
  </si>
  <si>
    <t>Приложение
к приказу Департамента ЖКХ и государственного 
жилищного надзора Томской области
от  29.12.2020  №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</si>
</sst>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12"/>
      <color indexed="8"/>
      <name val="PT Astra Serif"/>
      <family val="1"/>
      <charset val="204"/>
    </font>
    <font>
      <sz val="12"/>
      <color rgb="FF000000"/>
      <name val="PT Astra Serif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PT Astra Serif"/>
      <family val="1"/>
      <charset val="204"/>
    </font>
    <font>
      <sz val="10"/>
      <name val="PT Astra Serif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PT Astra Serif"/>
      <family val="1"/>
      <charset val="204"/>
    </font>
    <font>
      <sz val="11"/>
      <color indexed="8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52">
    <xf numFmtId="0" fontId="0" fillId="0" borderId="0" xfId="0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Alignment="1">
      <alignment wrapText="1"/>
    </xf>
    <xf numFmtId="4" fontId="5" fillId="0" borderId="0" xfId="0" applyNumberFormat="1" applyFont="1" applyFill="1"/>
    <xf numFmtId="4" fontId="5" fillId="0" borderId="1" xfId="0" applyNumberFormat="1" applyFont="1" applyFill="1" applyBorder="1" applyAlignment="1">
      <alignment horizontal="center" vertical="center" textRotation="90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top"/>
    </xf>
    <xf numFmtId="4" fontId="5" fillId="0" borderId="1" xfId="0" applyNumberFormat="1" applyFont="1" applyFill="1" applyBorder="1" applyAlignment="1">
      <alignment horizontal="center" vertical="top"/>
    </xf>
    <xf numFmtId="1" fontId="5" fillId="0" borderId="1" xfId="0" applyNumberFormat="1" applyFont="1" applyFill="1" applyBorder="1" applyAlignment="1">
      <alignment horizontal="center" vertical="top" wrapText="1"/>
    </xf>
    <xf numFmtId="3" fontId="5" fillId="0" borderId="1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" fontId="5" fillId="0" borderId="1" xfId="0" quotePrefix="1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center"/>
    </xf>
    <xf numFmtId="4" fontId="5" fillId="0" borderId="1" xfId="0" quotePrefix="1" applyNumberFormat="1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top"/>
    </xf>
    <xf numFmtId="4" fontId="5" fillId="0" borderId="2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3" fontId="5" fillId="0" borderId="1" xfId="3" applyNumberFormat="1" applyFont="1" applyFill="1" applyBorder="1" applyAlignment="1">
      <alignment horizontal="center" vertical="top"/>
    </xf>
    <xf numFmtId="1" fontId="5" fillId="0" borderId="1" xfId="0" quotePrefix="1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 applyProtection="1">
      <alignment horizontal="center" vertical="top"/>
      <protection locked="0"/>
    </xf>
    <xf numFmtId="4" fontId="5" fillId="0" borderId="1" xfId="0" applyNumberFormat="1" applyFont="1" applyFill="1" applyBorder="1" applyAlignment="1" applyProtection="1">
      <alignment horizontal="center" vertical="top"/>
      <protection locked="0"/>
    </xf>
    <xf numFmtId="4" fontId="5" fillId="0" borderId="1" xfId="3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49" fontId="5" fillId="0" borderId="1" xfId="0" quotePrefix="1" applyNumberFormat="1" applyFont="1" applyFill="1" applyBorder="1" applyAlignment="1">
      <alignment horizontal="center" vertical="top"/>
    </xf>
    <xf numFmtId="3" fontId="5" fillId="0" borderId="1" xfId="0" applyNumberFormat="1" applyFont="1" applyFill="1" applyBorder="1" applyAlignment="1" applyProtection="1">
      <alignment horizontal="center" vertical="top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vertical="top" wrapText="1"/>
      <protection locked="0"/>
    </xf>
    <xf numFmtId="3" fontId="5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quotePrefix="1" applyNumberFormat="1" applyFont="1" applyFill="1" applyBorder="1" applyAlignment="1">
      <alignment horizontal="center" vertical="top"/>
    </xf>
    <xf numFmtId="2" fontId="5" fillId="0" borderId="1" xfId="0" applyNumberFormat="1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/>
      <protection locked="0"/>
    </xf>
    <xf numFmtId="3" fontId="5" fillId="0" borderId="0" xfId="0" applyNumberFormat="1" applyFont="1" applyFill="1" applyBorder="1" applyAlignment="1" applyProtection="1">
      <alignment horizontal="center" vertical="top"/>
      <protection locked="0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15" xfId="0" applyNumberFormat="1" applyFont="1" applyFill="1" applyBorder="1" applyAlignment="1" applyProtection="1">
      <alignment horizontal="center" vertical="center"/>
      <protection locked="0"/>
    </xf>
    <xf numFmtId="3" fontId="5" fillId="0" borderId="16" xfId="0" applyNumberFormat="1" applyFont="1" applyFill="1" applyBorder="1" applyAlignment="1" applyProtection="1">
      <alignment horizontal="center" vertical="center"/>
      <protection locked="0"/>
    </xf>
    <xf numFmtId="3" fontId="5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top"/>
      <protection locked="0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/>
    <xf numFmtId="4" fontId="5" fillId="0" borderId="1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vertical="top"/>
    </xf>
    <xf numFmtId="1" fontId="6" fillId="0" borderId="1" xfId="0" applyNumberFormat="1" applyFont="1" applyFill="1" applyBorder="1" applyAlignment="1">
      <alignment horizontal="center" wrapText="1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1" fontId="5" fillId="0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wrapText="1"/>
    </xf>
    <xf numFmtId="4" fontId="5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1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top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1" fontId="7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4" fontId="7" fillId="0" borderId="1" xfId="0" applyNumberFormat="1" applyFont="1" applyFill="1" applyBorder="1" applyAlignment="1">
      <alignment vertical="top" wrapText="1"/>
    </xf>
    <xf numFmtId="0" fontId="7" fillId="0" borderId="6" xfId="0" applyFont="1" applyFill="1" applyBorder="1" applyAlignment="1">
      <alignment wrapText="1"/>
    </xf>
    <xf numFmtId="0" fontId="7" fillId="0" borderId="12" xfId="0" applyFont="1" applyFill="1" applyBorder="1" applyAlignment="1">
      <alignment wrapText="1"/>
    </xf>
    <xf numFmtId="3" fontId="7" fillId="0" borderId="1" xfId="0" applyNumberFormat="1" applyFont="1" applyFill="1" applyBorder="1" applyAlignment="1">
      <alignment horizontal="center" wrapText="1"/>
    </xf>
    <xf numFmtId="0" fontId="7" fillId="0" borderId="2" xfId="0" applyFont="1" applyFill="1" applyBorder="1" applyAlignment="1">
      <alignment wrapText="1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top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1" fontId="6" fillId="0" borderId="0" xfId="0" applyNumberFormat="1" applyFont="1" applyFill="1" applyAlignment="1">
      <alignment horizontal="left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6" fillId="0" borderId="0" xfId="0" applyFont="1" applyFill="1" applyBorder="1"/>
    <xf numFmtId="0" fontId="6" fillId="0" borderId="0" xfId="0" applyFont="1" applyFill="1" applyAlignment="1">
      <alignment horizontal="left" vertical="center"/>
    </xf>
    <xf numFmtId="1" fontId="6" fillId="0" borderId="0" xfId="0" applyNumberFormat="1" applyFont="1" applyFill="1"/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0" fillId="0" borderId="0" xfId="0" applyFill="1"/>
    <xf numFmtId="3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wrapText="1"/>
    </xf>
    <xf numFmtId="0" fontId="10" fillId="0" borderId="5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center" vertical="top"/>
      <protection locked="0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4" fontId="10" fillId="0" borderId="1" xfId="0" applyNumberFormat="1" applyFont="1" applyFill="1" applyBorder="1" applyAlignment="1" applyProtection="1">
      <alignment horizontal="center" vertical="top"/>
      <protection locked="0"/>
    </xf>
    <xf numFmtId="4" fontId="10" fillId="0" borderId="1" xfId="0" applyNumberFormat="1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 applyProtection="1">
      <alignment horizontal="center" vertical="top"/>
      <protection locked="0"/>
    </xf>
    <xf numFmtId="1" fontId="10" fillId="0" borderId="1" xfId="0" quotePrefix="1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center"/>
    </xf>
    <xf numFmtId="0" fontId="12" fillId="0" borderId="0" xfId="0" applyFont="1" applyFill="1"/>
    <xf numFmtId="3" fontId="14" fillId="0" borderId="1" xfId="0" applyNumberFormat="1" applyFont="1" applyFill="1" applyBorder="1" applyAlignment="1" applyProtection="1">
      <alignment horizontal="center" vertical="top"/>
      <protection locked="0"/>
    </xf>
    <xf numFmtId="0" fontId="10" fillId="0" borderId="0" xfId="0" applyFont="1" applyFill="1"/>
    <xf numFmtId="0" fontId="15" fillId="0" borderId="0" xfId="0" applyFont="1" applyFill="1"/>
    <xf numFmtId="4" fontId="12" fillId="0" borderId="1" xfId="0" applyNumberFormat="1" applyFont="1" applyFill="1" applyBorder="1" applyAlignment="1" applyProtection="1">
      <alignment horizontal="center" vertical="top"/>
      <protection locked="0"/>
    </xf>
    <xf numFmtId="3" fontId="12" fillId="0" borderId="1" xfId="0" applyNumberFormat="1" applyFont="1" applyFill="1" applyBorder="1" applyAlignment="1" applyProtection="1">
      <alignment horizontal="center" vertical="top"/>
      <protection locked="0"/>
    </xf>
    <xf numFmtId="165" fontId="7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5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3" fontId="5" fillId="0" borderId="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3" fillId="0" borderId="0" xfId="0" applyFont="1" applyFill="1"/>
    <xf numFmtId="4" fontId="14" fillId="0" borderId="1" xfId="0" applyNumberFormat="1" applyFont="1" applyFill="1" applyBorder="1" applyAlignment="1" applyProtection="1">
      <alignment horizontal="center" vertical="top"/>
      <protection locked="0"/>
    </xf>
    <xf numFmtId="0" fontId="5" fillId="0" borderId="0" xfId="0" applyFont="1" applyFill="1" applyAlignment="1">
      <alignment vertical="top"/>
    </xf>
    <xf numFmtId="4" fontId="10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vertical="center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 wrapText="1"/>
      <protection locked="0"/>
    </xf>
    <xf numFmtId="0" fontId="14" fillId="0" borderId="1" xfId="0" applyFont="1" applyFill="1" applyBorder="1" applyAlignment="1" applyProtection="1">
      <alignment horizontal="center" vertical="top"/>
      <protection locked="0"/>
    </xf>
    <xf numFmtId="4" fontId="14" fillId="0" borderId="1" xfId="0" applyNumberFormat="1" applyFont="1" applyFill="1" applyBorder="1" applyAlignment="1">
      <alignment horizontal="center" vertical="top"/>
    </xf>
    <xf numFmtId="49" fontId="14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5" fillId="0" borderId="0" xfId="0" applyNumberFormat="1" applyFont="1" applyFill="1" applyAlignment="1">
      <alignment wrapText="1"/>
    </xf>
    <xf numFmtId="3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top"/>
      <protection locked="0"/>
    </xf>
    <xf numFmtId="0" fontId="9" fillId="0" borderId="6" xfId="0" applyFont="1" applyFill="1" applyBorder="1" applyAlignment="1">
      <alignment horizontal="center" vertical="center" wrapText="1"/>
    </xf>
    <xf numFmtId="1" fontId="10" fillId="0" borderId="1" xfId="0" quotePrefix="1" applyNumberFormat="1" applyFont="1" applyFill="1" applyBorder="1" applyAlignment="1">
      <alignment horizontal="center" vertical="center"/>
    </xf>
    <xf numFmtId="3" fontId="10" fillId="0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alignment horizontal="center" vertical="top"/>
      <protection locked="0"/>
    </xf>
    <xf numFmtId="4" fontId="12" fillId="0" borderId="1" xfId="0" applyNumberFormat="1" applyFont="1" applyFill="1" applyBorder="1" applyAlignment="1">
      <alignment horizontal="center" vertical="top"/>
    </xf>
    <xf numFmtId="1" fontId="12" fillId="0" borderId="1" xfId="0" quotePrefix="1" applyNumberFormat="1" applyFont="1" applyFill="1" applyBorder="1" applyAlignment="1">
      <alignment horizontal="center" vertical="top"/>
    </xf>
    <xf numFmtId="0" fontId="9" fillId="0" borderId="1" xfId="0" applyFont="1" applyFill="1" applyBorder="1"/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4" fontId="10" fillId="0" borderId="1" xfId="3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10" fillId="0" borderId="6" xfId="0" applyFont="1" applyFill="1" applyBorder="1" applyAlignment="1" applyProtection="1">
      <alignment horizontal="left" vertical="top" wrapText="1"/>
      <protection locked="0"/>
    </xf>
    <xf numFmtId="4" fontId="10" fillId="0" borderId="1" xfId="0" applyNumberFormat="1" applyFont="1" applyFill="1" applyBorder="1" applyAlignment="1" applyProtection="1">
      <alignment horizontal="center" vertical="center"/>
      <protection locked="0"/>
    </xf>
    <xf numFmtId="3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3" fontId="10" fillId="0" borderId="1" xfId="0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 applyProtection="1">
      <alignment vertical="top" wrapText="1"/>
      <protection locked="0"/>
    </xf>
    <xf numFmtId="0" fontId="10" fillId="0" borderId="1" xfId="0" applyFont="1" applyFill="1" applyBorder="1" applyAlignment="1">
      <alignment horizontal="center" vertical="top"/>
    </xf>
    <xf numFmtId="3" fontId="10" fillId="0" borderId="1" xfId="0" applyNumberFormat="1" applyFont="1" applyFill="1" applyBorder="1" applyAlignment="1" applyProtection="1">
      <alignment horizontal="center" vertical="top" wrapText="1"/>
      <protection locked="0"/>
    </xf>
    <xf numFmtId="49" fontId="10" fillId="0" borderId="1" xfId="0" quotePrefix="1" applyNumberFormat="1" applyFont="1" applyFill="1" applyBorder="1" applyAlignment="1">
      <alignment horizontal="center" vertical="top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4" fontId="6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16" fillId="0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1" fontId="5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4" fontId="5" fillId="0" borderId="1" xfId="3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3" fontId="12" fillId="0" borderId="1" xfId="0" quotePrefix="1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Fill="1" applyBorder="1" applyAlignment="1" applyProtection="1">
      <alignment horizontal="left" vertical="center" wrapText="1"/>
      <protection locked="0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4" fontId="5" fillId="0" borderId="1" xfId="0" applyNumberFormat="1" applyFont="1" applyFill="1" applyBorder="1" applyAlignment="1">
      <alignment horizontal="left" vertical="top"/>
    </xf>
    <xf numFmtId="4" fontId="5" fillId="0" borderId="1" xfId="0" applyNumberFormat="1" applyFont="1" applyFill="1" applyBorder="1" applyAlignment="1" applyProtection="1">
      <alignment horizontal="left" vertical="top" wrapText="1"/>
      <protection locked="0"/>
    </xf>
    <xf numFmtId="4" fontId="5" fillId="0" borderId="1" xfId="0" applyNumberFormat="1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3" fontId="5" fillId="0" borderId="1" xfId="0" applyNumberFormat="1" applyFont="1" applyFill="1" applyBorder="1" applyAlignment="1" applyProtection="1">
      <alignment horizontal="left" vertical="top" wrapText="1"/>
      <protection locked="0"/>
    </xf>
    <xf numFmtId="4" fontId="5" fillId="0" borderId="3" xfId="0" applyNumberFormat="1" applyFont="1" applyFill="1" applyBorder="1" applyAlignment="1">
      <alignment horizontal="center" vertical="center" textRotation="90" wrapText="1"/>
    </xf>
    <xf numFmtId="4" fontId="5" fillId="0" borderId="7" xfId="0" applyNumberFormat="1" applyFont="1" applyFill="1" applyBorder="1" applyAlignment="1">
      <alignment horizontal="center" vertical="center" textRotation="90" wrapText="1"/>
    </xf>
    <xf numFmtId="4" fontId="5" fillId="0" borderId="2" xfId="0" applyNumberFormat="1" applyFont="1" applyFill="1" applyBorder="1" applyAlignment="1">
      <alignment horizontal="center" vertical="center" textRotation="90" wrapText="1"/>
    </xf>
    <xf numFmtId="1" fontId="5" fillId="0" borderId="3" xfId="0" applyNumberFormat="1" applyFont="1" applyFill="1" applyBorder="1" applyAlignment="1">
      <alignment horizontal="center" vertical="center" textRotation="90" wrapText="1"/>
    </xf>
    <xf numFmtId="1" fontId="5" fillId="0" borderId="7" xfId="0" applyNumberFormat="1" applyFont="1" applyFill="1" applyBorder="1" applyAlignment="1">
      <alignment horizontal="center" vertical="center" textRotation="90" wrapText="1"/>
    </xf>
    <xf numFmtId="1" fontId="5" fillId="0" borderId="2" xfId="0" applyNumberFormat="1" applyFont="1" applyFill="1" applyBorder="1" applyAlignment="1">
      <alignment horizontal="center" vertical="center" textRotation="90" wrapText="1"/>
    </xf>
    <xf numFmtId="4" fontId="5" fillId="0" borderId="3" xfId="0" applyNumberFormat="1" applyFont="1" applyFill="1" applyBorder="1" applyAlignment="1">
      <alignment horizontal="center" vertical="center" wrapText="1"/>
    </xf>
    <xf numFmtId="4" fontId="5" fillId="0" borderId="7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textRotation="90" wrapText="1"/>
    </xf>
    <xf numFmtId="3" fontId="5" fillId="0" borderId="7" xfId="0" applyNumberFormat="1" applyFont="1" applyFill="1" applyBorder="1" applyAlignment="1">
      <alignment horizontal="center" vertical="center" textRotation="90" wrapText="1"/>
    </xf>
    <xf numFmtId="3" fontId="5" fillId="0" borderId="2" xfId="0" applyNumberFormat="1" applyFont="1" applyFill="1" applyBorder="1" applyAlignment="1">
      <alignment horizontal="center" vertical="center" textRotation="90" wrapText="1"/>
    </xf>
    <xf numFmtId="4" fontId="5" fillId="0" borderId="8" xfId="0" applyNumberFormat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left" vertical="top"/>
    </xf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left" vertical="top"/>
    </xf>
    <xf numFmtId="4" fontId="5" fillId="0" borderId="5" xfId="0" applyNumberFormat="1" applyFont="1" applyFill="1" applyBorder="1" applyAlignment="1">
      <alignment horizontal="left" vertical="top"/>
    </xf>
    <xf numFmtId="4" fontId="5" fillId="0" borderId="6" xfId="0" applyNumberFormat="1" applyFont="1" applyFill="1" applyBorder="1" applyAlignment="1">
      <alignment horizontal="left" vertical="top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4" fontId="7" fillId="0" borderId="3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 wrapText="1"/>
    </xf>
    <xf numFmtId="3" fontId="7" fillId="0" borderId="7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left" vertical="center" wrapText="1"/>
    </xf>
    <xf numFmtId="1" fontId="6" fillId="0" borderId="7" xfId="0" applyNumberFormat="1" applyFont="1" applyFill="1" applyBorder="1" applyAlignment="1">
      <alignment horizontal="left" vertical="center" wrapText="1"/>
    </xf>
    <xf numFmtId="1" fontId="6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/>
    </xf>
    <xf numFmtId="4" fontId="5" fillId="0" borderId="7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left" vertical="center" wrapText="1"/>
      <protection locked="0"/>
    </xf>
    <xf numFmtId="0" fontId="6" fillId="0" borderId="7" xfId="0" applyFont="1" applyFill="1" applyBorder="1" applyAlignment="1" applyProtection="1">
      <alignment horizontal="left" vertical="center" wrapText="1"/>
      <protection locked="0"/>
    </xf>
    <xf numFmtId="0" fontId="6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1" fontId="7" fillId="0" borderId="3" xfId="0" applyNumberFormat="1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1" fontId="5" fillId="0" borderId="3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justify" vertical="top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7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" fontId="6" fillId="0" borderId="3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3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center" wrapText="1"/>
    </xf>
  </cellXfs>
  <cellStyles count="4">
    <cellStyle name="Обычный" xfId="0" builtinId="0"/>
    <cellStyle name="Обычный 2" xfId="1"/>
    <cellStyle name="Финансовый" xfId="3" builtinId="3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5-04%20&#1050;&#1088;&#1072;&#1090;&#1082;&#1086;&#1089;&#1088;&#1086;&#1095;&#1085;&#1099;&#1077;%20&#1087;&#1083;&#1072;&#1085;&#1099;/2_&#1050;&#1088;&#1072;&#1090;&#1082;&#1086;&#1089;&#1088;&#1086;&#1095;&#1085;&#1099;&#1081;%20&#1087;&#1083;&#1072;&#1085;%202020%20-%202022%20&#1075;&#1075;/3%20&#1082;&#1086;&#1088;&#1088;&#1077;&#1082;&#1090;&#1080;&#1088;&#1086;&#1074;&#1082;&#1072;%20&#1050;&#1055;%202020-2022/&#1057;&#1090;&#1088;&#1077;&#1078;&#1077;&#1074;&#1086;&#1081;/&#1057;&#1090;&#1088;&#1077;&#1078;&#1077;&#1074;&#1086;&#1081;%203%20&#1082;&#1086;&#1088;&#1088;&#1077;&#1082;&#1090;&#1080;&#1088;&#1086;&#1074;&#1082;&#1072;%20&#1050;&#1055;%202020-2022%20&#1056;&#1040;&#1041;&#1054;&#1063;&#1048;&#1049;%20&#1060;&#1040;&#1049;&#105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5-04%20&#1050;&#1088;&#1072;&#1090;&#1082;&#1086;&#1089;&#1088;&#1086;&#1095;&#1085;&#1099;&#1077;%20&#1087;&#1083;&#1072;&#1085;&#1099;/2_&#1050;&#1088;&#1072;&#1090;&#1082;&#1086;&#1089;&#1088;&#1086;&#1095;&#1085;&#1099;&#1081;%20&#1087;&#1083;&#1072;&#1085;%202020%20-%202022%20&#1075;&#1075;/4%20&#1082;&#1086;&#1088;&#1088;&#1077;&#1082;&#1090;&#1080;&#1088;&#1086;&#1074;&#1082;&#1072;%20&#1050;&#1055;%202020-2022/&#1050;&#1086;&#1083;&#1087;&#1072;&#1096;&#1077;&#1074;&#1089;&#1082;&#1080;&#1081;%20&#1088;&#1072;&#1081;&#1086;&#1085;/&#1050;&#1086;&#1083;&#1087;&#1072;&#1096;&#1077;&#1074;&#1089;&#1082;&#1080;&#1081;%20&#1088;&#1072;&#1081;&#1086;&#1085;%204%20&#1082;&#1086;&#1088;&#1088;&#1077;&#1082;&#1090;&#1080;&#1088;&#1086;&#1074;&#1082;&#1072;%20&#1050;&#1055;%20&#1085;&#1072;%202020-2022%20&#1075;&#1075;%20&#1056;&#1040;&#1041;&#1054;&#1063;&#1048;&#10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1"/>
      <sheetName val="форма 2"/>
    </sheetNames>
    <sheetDataSet>
      <sheetData sheetId="0">
        <row r="11">
          <cell r="A11">
            <v>1</v>
          </cell>
        </row>
      </sheetData>
      <sheetData sheetId="1">
        <row r="7">
          <cell r="I7">
            <v>86575870.430000007</v>
          </cell>
        </row>
        <row r="173">
          <cell r="I173">
            <v>64562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1 "/>
      <sheetName val="Форма 2"/>
    </sheetNames>
    <sheetDataSet>
      <sheetData sheetId="0">
        <row r="12">
          <cell r="A12">
            <v>1</v>
          </cell>
        </row>
      </sheetData>
      <sheetData sheetId="1">
        <row r="7">
          <cell r="I7">
            <v>9671163.1799999997</v>
          </cell>
        </row>
        <row r="157">
          <cell r="I157">
            <v>1259384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899"/>
  <sheetViews>
    <sheetView tabSelected="1" zoomScale="60" zoomScaleNormal="60" zoomScaleSheetLayoutView="75" workbookViewId="0">
      <pane xSplit="3" ySplit="8" topLeftCell="D436" activePane="bottomRight" state="frozen"/>
      <selection pane="topRight" activeCell="D1" sqref="D1"/>
      <selection pane="bottomLeft" activeCell="A9" sqref="A9"/>
      <selection pane="bottomRight" activeCell="O1" sqref="O1:S1"/>
    </sheetView>
  </sheetViews>
  <sheetFormatPr defaultColWidth="9.140625" defaultRowHeight="15.75" x14ac:dyDescent="0.25"/>
  <cols>
    <col min="1" max="1" width="9.42578125" style="67" customWidth="1"/>
    <col min="2" max="2" width="9.5703125" style="67" customWidth="1"/>
    <col min="3" max="3" width="52" style="4" customWidth="1"/>
    <col min="4" max="4" width="16.42578125" style="68" customWidth="1"/>
    <col min="5" max="5" width="23.85546875" style="69" customWidth="1"/>
    <col min="6" max="6" width="16.5703125" style="69" customWidth="1"/>
    <col min="7" max="7" width="14.85546875" style="69" customWidth="1"/>
    <col min="8" max="8" width="16.42578125" style="69" customWidth="1"/>
    <col min="9" max="9" width="13.140625" style="70" customWidth="1"/>
    <col min="10" max="10" width="20.5703125" style="69" customWidth="1"/>
    <col min="11" max="11" width="12.140625" style="69" customWidth="1"/>
    <col min="12" max="13" width="12.85546875" style="69" customWidth="1"/>
    <col min="14" max="14" width="20.140625" style="69" customWidth="1"/>
    <col min="15" max="15" width="16.5703125" style="69" customWidth="1"/>
    <col min="16" max="16" width="13.7109375" style="69" customWidth="1"/>
    <col min="17" max="17" width="12.5703125" style="69" customWidth="1"/>
    <col min="18" max="18" width="8.85546875" style="69" customWidth="1"/>
    <col min="19" max="19" width="8.42578125" style="262" customWidth="1"/>
    <col min="20" max="76" width="12.85546875" style="4" bestFit="1" customWidth="1"/>
    <col min="77" max="77" width="13.42578125" style="4" bestFit="1" customWidth="1"/>
    <col min="78" max="16384" width="9.140625" style="4"/>
  </cols>
  <sheetData>
    <row r="1" spans="1:19" s="71" customFormat="1" ht="69.75" customHeight="1" x14ac:dyDescent="0.25">
      <c r="A1" s="1"/>
      <c r="B1" s="1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98" t="s">
        <v>753</v>
      </c>
      <c r="P1" s="298"/>
      <c r="Q1" s="298"/>
      <c r="R1" s="298"/>
      <c r="S1" s="298"/>
    </row>
    <row r="2" spans="1:19" s="71" customFormat="1" x14ac:dyDescent="0.25">
      <c r="A2" s="299" t="s">
        <v>279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</row>
    <row r="3" spans="1:19" x14ac:dyDescent="0.25">
      <c r="A3" s="297" t="s">
        <v>280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</row>
    <row r="4" spans="1:19" x14ac:dyDescent="0.25">
      <c r="A4" s="301" t="s">
        <v>0</v>
      </c>
      <c r="B4" s="288" t="s">
        <v>28</v>
      </c>
      <c r="C4" s="291" t="s">
        <v>1</v>
      </c>
      <c r="D4" s="285" t="s">
        <v>53</v>
      </c>
      <c r="E4" s="285" t="s">
        <v>225</v>
      </c>
      <c r="F4" s="285" t="s">
        <v>226</v>
      </c>
      <c r="G4" s="285" t="s">
        <v>3</v>
      </c>
      <c r="H4" s="285" t="s">
        <v>54</v>
      </c>
      <c r="I4" s="288" t="s">
        <v>18</v>
      </c>
      <c r="J4" s="274" t="s">
        <v>4</v>
      </c>
      <c r="K4" s="275"/>
      <c r="L4" s="275"/>
      <c r="M4" s="275"/>
      <c r="N4" s="275"/>
      <c r="O4" s="276"/>
      <c r="P4" s="285" t="s">
        <v>227</v>
      </c>
      <c r="Q4" s="285" t="s">
        <v>228</v>
      </c>
      <c r="R4" s="285" t="s">
        <v>5</v>
      </c>
      <c r="S4" s="294" t="s">
        <v>55</v>
      </c>
    </row>
    <row r="5" spans="1:19" x14ac:dyDescent="0.25">
      <c r="A5" s="302"/>
      <c r="B5" s="289"/>
      <c r="C5" s="292"/>
      <c r="D5" s="286"/>
      <c r="E5" s="286"/>
      <c r="F5" s="286"/>
      <c r="G5" s="286"/>
      <c r="H5" s="286"/>
      <c r="I5" s="289"/>
      <c r="J5" s="285" t="s">
        <v>14</v>
      </c>
      <c r="K5" s="274" t="s">
        <v>15</v>
      </c>
      <c r="L5" s="275"/>
      <c r="M5" s="275"/>
      <c r="N5" s="275"/>
      <c r="O5" s="276"/>
      <c r="P5" s="286"/>
      <c r="Q5" s="286"/>
      <c r="R5" s="286"/>
      <c r="S5" s="295"/>
    </row>
    <row r="6" spans="1:19" ht="131.25" x14ac:dyDescent="0.25">
      <c r="A6" s="302"/>
      <c r="B6" s="289"/>
      <c r="C6" s="292"/>
      <c r="D6" s="286"/>
      <c r="E6" s="286"/>
      <c r="F6" s="286"/>
      <c r="G6" s="287"/>
      <c r="H6" s="287"/>
      <c r="I6" s="290"/>
      <c r="J6" s="287"/>
      <c r="K6" s="5" t="s">
        <v>6</v>
      </c>
      <c r="L6" s="5" t="s">
        <v>7</v>
      </c>
      <c r="M6" s="5" t="s">
        <v>8</v>
      </c>
      <c r="N6" s="5" t="s">
        <v>26</v>
      </c>
      <c r="O6" s="5" t="s">
        <v>27</v>
      </c>
      <c r="P6" s="287"/>
      <c r="Q6" s="287"/>
      <c r="R6" s="286"/>
      <c r="S6" s="295"/>
    </row>
    <row r="7" spans="1:19" x14ac:dyDescent="0.25">
      <c r="A7" s="303"/>
      <c r="B7" s="290"/>
      <c r="C7" s="293"/>
      <c r="D7" s="287"/>
      <c r="E7" s="287"/>
      <c r="F7" s="287"/>
      <c r="G7" s="256" t="s">
        <v>9</v>
      </c>
      <c r="H7" s="256" t="s">
        <v>9</v>
      </c>
      <c r="I7" s="6" t="s">
        <v>10</v>
      </c>
      <c r="J7" s="256" t="s">
        <v>11</v>
      </c>
      <c r="K7" s="256" t="s">
        <v>11</v>
      </c>
      <c r="L7" s="256" t="s">
        <v>11</v>
      </c>
      <c r="M7" s="256" t="s">
        <v>11</v>
      </c>
      <c r="N7" s="256" t="s">
        <v>11</v>
      </c>
      <c r="O7" s="256" t="s">
        <v>11</v>
      </c>
      <c r="P7" s="256" t="s">
        <v>12</v>
      </c>
      <c r="Q7" s="256" t="s">
        <v>12</v>
      </c>
      <c r="R7" s="287"/>
      <c r="S7" s="296"/>
    </row>
    <row r="8" spans="1:19" x14ac:dyDescent="0.25">
      <c r="A8" s="7">
        <v>1</v>
      </c>
      <c r="B8" s="7">
        <v>2</v>
      </c>
      <c r="C8" s="7">
        <v>3</v>
      </c>
      <c r="D8" s="6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</row>
    <row r="9" spans="1:19" ht="15.75" customHeight="1" x14ac:dyDescent="0.25">
      <c r="A9" s="8" t="s">
        <v>281</v>
      </c>
      <c r="B9" s="7"/>
      <c r="C9" s="9"/>
      <c r="D9" s="10"/>
      <c r="E9" s="9"/>
      <c r="F9" s="9"/>
      <c r="G9" s="9"/>
      <c r="H9" s="9"/>
      <c r="I9" s="8"/>
      <c r="J9" s="9"/>
      <c r="K9" s="9"/>
      <c r="L9" s="9"/>
      <c r="M9" s="9"/>
      <c r="N9" s="9"/>
      <c r="O9" s="9"/>
      <c r="P9" s="9"/>
      <c r="Q9" s="9"/>
      <c r="R9" s="9"/>
      <c r="S9" s="15"/>
    </row>
    <row r="10" spans="1:19" ht="15.75" customHeight="1" x14ac:dyDescent="0.25">
      <c r="A10" s="277" t="s">
        <v>46</v>
      </c>
      <c r="B10" s="277"/>
      <c r="C10" s="277"/>
      <c r="D10" s="10" t="s">
        <v>13</v>
      </c>
      <c r="E10" s="9" t="s">
        <v>13</v>
      </c>
      <c r="F10" s="9" t="s">
        <v>13</v>
      </c>
      <c r="G10" s="9">
        <f t="shared" ref="G10:O10" si="0">G11+G15+G24+G26+G31+G69+G84+G230+G234+G241+G248+G267+G273+G277+G282+G288+G301</f>
        <v>1312182.53</v>
      </c>
      <c r="H10" s="9">
        <f t="shared" si="0"/>
        <v>1101665.32</v>
      </c>
      <c r="I10" s="11">
        <f t="shared" si="0"/>
        <v>41749</v>
      </c>
      <c r="J10" s="9">
        <f t="shared" si="0"/>
        <v>970091339.77999997</v>
      </c>
      <c r="K10" s="9">
        <f t="shared" si="0"/>
        <v>0</v>
      </c>
      <c r="L10" s="9">
        <f t="shared" si="0"/>
        <v>0</v>
      </c>
      <c r="M10" s="9">
        <f t="shared" si="0"/>
        <v>0</v>
      </c>
      <c r="N10" s="9">
        <f t="shared" si="0"/>
        <v>942619552.82000005</v>
      </c>
      <c r="O10" s="9">
        <f t="shared" si="0"/>
        <v>27471786.960000001</v>
      </c>
      <c r="P10" s="9" t="s">
        <v>13</v>
      </c>
      <c r="Q10" s="9" t="s">
        <v>13</v>
      </c>
      <c r="R10" s="9" t="s">
        <v>13</v>
      </c>
      <c r="S10" s="15" t="s">
        <v>13</v>
      </c>
    </row>
    <row r="11" spans="1:19" ht="15.75" customHeight="1" x14ac:dyDescent="0.25">
      <c r="A11" s="277" t="s">
        <v>16</v>
      </c>
      <c r="B11" s="277"/>
      <c r="C11" s="277"/>
      <c r="D11" s="10" t="s">
        <v>13</v>
      </c>
      <c r="E11" s="9" t="s">
        <v>13</v>
      </c>
      <c r="F11" s="9" t="s">
        <v>13</v>
      </c>
      <c r="G11" s="9">
        <f t="shared" ref="G11:O11" si="1">SUM(G12:G14)</f>
        <v>1087.2</v>
      </c>
      <c r="H11" s="9">
        <f t="shared" si="1"/>
        <v>985.5</v>
      </c>
      <c r="I11" s="11">
        <f t="shared" si="1"/>
        <v>56</v>
      </c>
      <c r="J11" s="9">
        <f t="shared" si="1"/>
        <v>1186798.42</v>
      </c>
      <c r="K11" s="9">
        <f t="shared" si="1"/>
        <v>0</v>
      </c>
      <c r="L11" s="9">
        <f t="shared" si="1"/>
        <v>0</v>
      </c>
      <c r="M11" s="9">
        <f t="shared" si="1"/>
        <v>0</v>
      </c>
      <c r="N11" s="9">
        <f t="shared" si="1"/>
        <v>1049709.21</v>
      </c>
      <c r="O11" s="9">
        <f t="shared" si="1"/>
        <v>137089.21</v>
      </c>
      <c r="P11" s="9" t="s">
        <v>13</v>
      </c>
      <c r="Q11" s="9" t="s">
        <v>13</v>
      </c>
      <c r="R11" s="9" t="s">
        <v>13</v>
      </c>
      <c r="S11" s="15" t="s">
        <v>13</v>
      </c>
    </row>
    <row r="12" spans="1:19" ht="15.75" customHeight="1" x14ac:dyDescent="0.25">
      <c r="A12" s="236">
        <v>1</v>
      </c>
      <c r="B12" s="236">
        <v>4661</v>
      </c>
      <c r="C12" s="12" t="s">
        <v>262</v>
      </c>
      <c r="D12" s="251">
        <v>1969</v>
      </c>
      <c r="E12" s="236" t="s">
        <v>230</v>
      </c>
      <c r="F12" s="13" t="s">
        <v>82</v>
      </c>
      <c r="G12" s="14">
        <v>366.6</v>
      </c>
      <c r="H12" s="14">
        <v>330.2</v>
      </c>
      <c r="I12" s="15">
        <v>14</v>
      </c>
      <c r="J12" s="9">
        <f>'Форма 2'!I7</f>
        <v>977819.92</v>
      </c>
      <c r="K12" s="9">
        <v>0</v>
      </c>
      <c r="L12" s="9">
        <v>0</v>
      </c>
      <c r="M12" s="9">
        <v>0</v>
      </c>
      <c r="N12" s="9">
        <f t="shared" ref="N12" si="2">J12-K12-L12-M12-O12</f>
        <v>865751.01</v>
      </c>
      <c r="O12" s="9">
        <v>112068.91</v>
      </c>
      <c r="P12" s="9">
        <f t="shared" ref="P12" si="3">J12/H12</f>
        <v>2961.3</v>
      </c>
      <c r="Q12" s="9">
        <f>'Форма 2'!K7</f>
        <v>3661</v>
      </c>
      <c r="R12" s="16">
        <v>2020</v>
      </c>
      <c r="S12" s="168">
        <v>1</v>
      </c>
    </row>
    <row r="13" spans="1:19" ht="15.75" customHeight="1" x14ac:dyDescent="0.25">
      <c r="A13" s="236">
        <f>A12+1</f>
        <v>2</v>
      </c>
      <c r="B13" s="253">
        <v>4753</v>
      </c>
      <c r="C13" s="19" t="s">
        <v>512</v>
      </c>
      <c r="D13" s="20">
        <v>1967</v>
      </c>
      <c r="E13" s="18" t="s">
        <v>68</v>
      </c>
      <c r="F13" s="13" t="s">
        <v>81</v>
      </c>
      <c r="G13" s="9">
        <v>358</v>
      </c>
      <c r="H13" s="9">
        <v>325.2</v>
      </c>
      <c r="I13" s="15">
        <v>18</v>
      </c>
      <c r="J13" s="9">
        <f>'Форма 2'!I12</f>
        <v>67567.600000000006</v>
      </c>
      <c r="K13" s="9">
        <v>0</v>
      </c>
      <c r="L13" s="9">
        <v>0</v>
      </c>
      <c r="M13" s="9">
        <v>0</v>
      </c>
      <c r="N13" s="9">
        <f>J13-K13-L13-M13-O13</f>
        <v>58690.43</v>
      </c>
      <c r="O13" s="9">
        <v>8877.17</v>
      </c>
      <c r="P13" s="9">
        <f>J13/H13</f>
        <v>207.77</v>
      </c>
      <c r="Q13" s="9">
        <f>'Форма 2'!K12</f>
        <v>259</v>
      </c>
      <c r="R13" s="16">
        <v>2020</v>
      </c>
      <c r="S13" s="168">
        <v>1</v>
      </c>
    </row>
    <row r="14" spans="1:19" ht="15.75" customHeight="1" x14ac:dyDescent="0.25">
      <c r="A14" s="236">
        <f>A13+1</f>
        <v>3</v>
      </c>
      <c r="B14" s="253">
        <v>4754</v>
      </c>
      <c r="C14" s="19" t="s">
        <v>513</v>
      </c>
      <c r="D14" s="20">
        <v>1967</v>
      </c>
      <c r="E14" s="18" t="s">
        <v>112</v>
      </c>
      <c r="F14" s="13" t="s">
        <v>81</v>
      </c>
      <c r="G14" s="9">
        <v>362.6</v>
      </c>
      <c r="H14" s="9">
        <v>330.1</v>
      </c>
      <c r="I14" s="15">
        <v>24</v>
      </c>
      <c r="J14" s="9">
        <f>'Форма 2'!I14</f>
        <v>141410.9</v>
      </c>
      <c r="K14" s="9">
        <v>0</v>
      </c>
      <c r="L14" s="9">
        <v>0</v>
      </c>
      <c r="M14" s="9">
        <v>0</v>
      </c>
      <c r="N14" s="9">
        <f>J14-K14-L14-M14-O14</f>
        <v>125267.77</v>
      </c>
      <c r="O14" s="9">
        <v>16143.13</v>
      </c>
      <c r="P14" s="9">
        <f>J14/H14</f>
        <v>428.39</v>
      </c>
      <c r="Q14" s="9">
        <f>'Форма 2'!K14</f>
        <v>464</v>
      </c>
      <c r="R14" s="16">
        <v>2020</v>
      </c>
      <c r="S14" s="168">
        <v>1</v>
      </c>
    </row>
    <row r="15" spans="1:19" ht="15.75" customHeight="1" x14ac:dyDescent="0.25">
      <c r="A15" s="277" t="s">
        <v>29</v>
      </c>
      <c r="B15" s="277"/>
      <c r="C15" s="277"/>
      <c r="D15" s="10" t="s">
        <v>13</v>
      </c>
      <c r="E15" s="9" t="s">
        <v>13</v>
      </c>
      <c r="F15" s="9" t="s">
        <v>13</v>
      </c>
      <c r="G15" s="9">
        <f>SUM(G16:G23)</f>
        <v>15225.26</v>
      </c>
      <c r="H15" s="9">
        <f t="shared" ref="H15:O15" si="4">SUM(H16:H23)</f>
        <v>12287.33</v>
      </c>
      <c r="I15" s="11">
        <f t="shared" si="4"/>
        <v>367</v>
      </c>
      <c r="J15" s="9">
        <f t="shared" si="4"/>
        <v>34125387.560000002</v>
      </c>
      <c r="K15" s="9">
        <f t="shared" si="4"/>
        <v>0</v>
      </c>
      <c r="L15" s="9">
        <f t="shared" si="4"/>
        <v>0</v>
      </c>
      <c r="M15" s="9">
        <f t="shared" si="4"/>
        <v>0</v>
      </c>
      <c r="N15" s="9">
        <f t="shared" si="4"/>
        <v>33465411.039999999</v>
      </c>
      <c r="O15" s="9">
        <f t="shared" si="4"/>
        <v>659976.52</v>
      </c>
      <c r="P15" s="9" t="s">
        <v>13</v>
      </c>
      <c r="Q15" s="9" t="s">
        <v>13</v>
      </c>
      <c r="R15" s="9" t="s">
        <v>13</v>
      </c>
      <c r="S15" s="15" t="s">
        <v>13</v>
      </c>
    </row>
    <row r="16" spans="1:19" s="71" customFormat="1" ht="15.75" customHeight="1" x14ac:dyDescent="0.25">
      <c r="A16" s="251">
        <v>1</v>
      </c>
      <c r="B16" s="251">
        <v>4405</v>
      </c>
      <c r="C16" s="252" t="s">
        <v>84</v>
      </c>
      <c r="D16" s="251">
        <v>1988</v>
      </c>
      <c r="E16" s="251" t="s">
        <v>68</v>
      </c>
      <c r="F16" s="236" t="s">
        <v>82</v>
      </c>
      <c r="G16" s="9">
        <v>2594.37</v>
      </c>
      <c r="H16" s="9">
        <v>1765.93</v>
      </c>
      <c r="I16" s="21">
        <v>47</v>
      </c>
      <c r="J16" s="22">
        <f>'Форма 2'!I18</f>
        <v>7206813.8799999999</v>
      </c>
      <c r="K16" s="9">
        <v>0</v>
      </c>
      <c r="L16" s="9">
        <v>0</v>
      </c>
      <c r="M16" s="9">
        <v>0</v>
      </c>
      <c r="N16" s="9">
        <f>J16-K16-L16-M16-O16</f>
        <v>7070826.0899999999</v>
      </c>
      <c r="O16" s="9">
        <v>135987.79</v>
      </c>
      <c r="P16" s="9">
        <f>J16/H16</f>
        <v>4081.03</v>
      </c>
      <c r="Q16" s="22">
        <f>'Форма 2'!K18</f>
        <v>5144</v>
      </c>
      <c r="R16" s="23" t="s">
        <v>289</v>
      </c>
      <c r="S16" s="168">
        <v>1</v>
      </c>
    </row>
    <row r="17" spans="1:19" s="71" customFormat="1" ht="15.75" customHeight="1" x14ac:dyDescent="0.25">
      <c r="A17" s="237">
        <f>A16+1</f>
        <v>2</v>
      </c>
      <c r="B17" s="237">
        <v>4563</v>
      </c>
      <c r="C17" s="240" t="s">
        <v>183</v>
      </c>
      <c r="D17" s="24">
        <v>1976</v>
      </c>
      <c r="E17" s="236" t="s">
        <v>68</v>
      </c>
      <c r="F17" s="236" t="s">
        <v>82</v>
      </c>
      <c r="G17" s="25">
        <v>4770.96</v>
      </c>
      <c r="H17" s="25">
        <v>4353.01</v>
      </c>
      <c r="I17" s="21">
        <v>123</v>
      </c>
      <c r="J17" s="26">
        <f>'Форма 2'!I21</f>
        <v>10662580.619999999</v>
      </c>
      <c r="K17" s="9">
        <v>0</v>
      </c>
      <c r="L17" s="9">
        <v>0</v>
      </c>
      <c r="M17" s="9">
        <v>0</v>
      </c>
      <c r="N17" s="9">
        <f>J17-K17-L17-M17-O17</f>
        <v>10468313.75</v>
      </c>
      <c r="O17" s="9">
        <v>194266.87</v>
      </c>
      <c r="P17" s="26">
        <f>J17/H17</f>
        <v>2449.4699999999998</v>
      </c>
      <c r="Q17" s="9">
        <f>'Форма 2'!K21</f>
        <v>3878</v>
      </c>
      <c r="R17" s="16" t="s">
        <v>289</v>
      </c>
      <c r="S17" s="168">
        <v>1</v>
      </c>
    </row>
    <row r="18" spans="1:19" s="71" customFormat="1" ht="15.75" customHeight="1" x14ac:dyDescent="0.25">
      <c r="A18" s="237">
        <f t="shared" ref="A18" si="5">A17+1</f>
        <v>3</v>
      </c>
      <c r="B18" s="237">
        <v>4598</v>
      </c>
      <c r="C18" s="240" t="s">
        <v>113</v>
      </c>
      <c r="D18" s="24">
        <v>1981</v>
      </c>
      <c r="E18" s="236" t="s">
        <v>68</v>
      </c>
      <c r="F18" s="236" t="s">
        <v>82</v>
      </c>
      <c r="G18" s="25">
        <v>818.97</v>
      </c>
      <c r="H18" s="25">
        <v>726.63</v>
      </c>
      <c r="I18" s="21">
        <v>20</v>
      </c>
      <c r="J18" s="26">
        <f>'Форма 2'!I24</f>
        <v>3434149.4</v>
      </c>
      <c r="K18" s="9">
        <v>0</v>
      </c>
      <c r="L18" s="9">
        <v>0</v>
      </c>
      <c r="M18" s="9">
        <v>0</v>
      </c>
      <c r="N18" s="9">
        <f t="shared" ref="N18" si="6">J18-K18-L18-M18-O18</f>
        <v>3356882.85</v>
      </c>
      <c r="O18" s="9">
        <v>77266.55</v>
      </c>
      <c r="P18" s="26">
        <f t="shared" ref="P18" si="7">J18/H18</f>
        <v>4726.13</v>
      </c>
      <c r="Q18" s="9">
        <f>'Форма 2'!K24</f>
        <v>7688</v>
      </c>
      <c r="R18" s="16">
        <v>2020</v>
      </c>
      <c r="S18" s="168">
        <v>1</v>
      </c>
    </row>
    <row r="19" spans="1:19" s="71" customFormat="1" ht="15.75" customHeight="1" x14ac:dyDescent="0.25">
      <c r="A19" s="251">
        <f>A18+1</f>
        <v>4</v>
      </c>
      <c r="B19" s="251">
        <v>4589</v>
      </c>
      <c r="C19" s="27" t="s">
        <v>85</v>
      </c>
      <c r="D19" s="251">
        <v>1990</v>
      </c>
      <c r="E19" s="18" t="s">
        <v>68</v>
      </c>
      <c r="F19" s="236" t="s">
        <v>82</v>
      </c>
      <c r="G19" s="28">
        <v>5250.48</v>
      </c>
      <c r="H19" s="28">
        <v>4046.4</v>
      </c>
      <c r="I19" s="21">
        <v>115</v>
      </c>
      <c r="J19" s="9">
        <f>'Форма 2'!I27</f>
        <v>10320593.359999999</v>
      </c>
      <c r="K19" s="9">
        <v>0</v>
      </c>
      <c r="L19" s="9">
        <v>0</v>
      </c>
      <c r="M19" s="9">
        <v>0</v>
      </c>
      <c r="N19" s="9">
        <f>J19-K19-L19-M19-O19</f>
        <v>10125922.949999999</v>
      </c>
      <c r="O19" s="9">
        <v>194670.41</v>
      </c>
      <c r="P19" s="22">
        <f>J19/H19</f>
        <v>2550.56</v>
      </c>
      <c r="Q19" s="9">
        <f>'Форма 2'!K27</f>
        <v>3878</v>
      </c>
      <c r="R19" s="23" t="s">
        <v>289</v>
      </c>
      <c r="S19" s="168">
        <v>1</v>
      </c>
    </row>
    <row r="20" spans="1:19" s="71" customFormat="1" ht="15.75" customHeight="1" x14ac:dyDescent="0.25">
      <c r="A20" s="237">
        <f t="shared" ref="A20:A22" si="8">A19+1</f>
        <v>5</v>
      </c>
      <c r="B20" s="242">
        <v>8083</v>
      </c>
      <c r="C20" s="232" t="s">
        <v>348</v>
      </c>
      <c r="D20" s="236">
        <v>1953</v>
      </c>
      <c r="E20" s="236" t="s">
        <v>89</v>
      </c>
      <c r="F20" s="236" t="s">
        <v>81</v>
      </c>
      <c r="G20" s="9">
        <v>425.58</v>
      </c>
      <c r="H20" s="9">
        <v>325.16000000000003</v>
      </c>
      <c r="I20" s="21">
        <v>12</v>
      </c>
      <c r="J20" s="9">
        <f>'Форма 2'!I30</f>
        <v>44546.92</v>
      </c>
      <c r="K20" s="9">
        <v>0</v>
      </c>
      <c r="L20" s="9">
        <v>0</v>
      </c>
      <c r="M20" s="9">
        <v>0</v>
      </c>
      <c r="N20" s="9">
        <f t="shared" ref="N20:N22" si="9">J20-K20-L20-M20-O20</f>
        <v>43720.74</v>
      </c>
      <c r="O20" s="9">
        <v>826.18</v>
      </c>
      <c r="P20" s="9">
        <f t="shared" ref="P20:P22" si="10">J20/H20</f>
        <v>137</v>
      </c>
      <c r="Q20" s="9">
        <f>'Форма 2'!K30</f>
        <v>137</v>
      </c>
      <c r="R20" s="16">
        <v>2020</v>
      </c>
      <c r="S20" s="168">
        <v>1</v>
      </c>
    </row>
    <row r="21" spans="1:19" s="71" customFormat="1" ht="15.75" customHeight="1" x14ac:dyDescent="0.25">
      <c r="A21" s="237">
        <f t="shared" si="8"/>
        <v>6</v>
      </c>
      <c r="B21" s="242">
        <v>4480</v>
      </c>
      <c r="C21" s="232" t="s">
        <v>350</v>
      </c>
      <c r="D21" s="236">
        <v>1956</v>
      </c>
      <c r="E21" s="236" t="s">
        <v>68</v>
      </c>
      <c r="F21" s="236" t="s">
        <v>81</v>
      </c>
      <c r="G21" s="9">
        <v>426.1</v>
      </c>
      <c r="H21" s="9">
        <v>385</v>
      </c>
      <c r="I21" s="21">
        <v>16</v>
      </c>
      <c r="J21" s="9">
        <f>'Форма 2'!I32</f>
        <v>67454.87</v>
      </c>
      <c r="K21" s="9">
        <v>0</v>
      </c>
      <c r="L21" s="9">
        <v>0</v>
      </c>
      <c r="M21" s="9">
        <v>0</v>
      </c>
      <c r="N21" s="9">
        <f t="shared" si="9"/>
        <v>65691.22</v>
      </c>
      <c r="O21" s="9">
        <v>1763.65</v>
      </c>
      <c r="P21" s="9">
        <f t="shared" si="10"/>
        <v>175.21</v>
      </c>
      <c r="Q21" s="9">
        <f>'Форма 2'!K32</f>
        <v>247</v>
      </c>
      <c r="R21" s="16">
        <v>2020</v>
      </c>
      <c r="S21" s="168">
        <v>1</v>
      </c>
    </row>
    <row r="22" spans="1:19" s="71" customFormat="1" ht="15.75" customHeight="1" x14ac:dyDescent="0.25">
      <c r="A22" s="237">
        <f t="shared" si="8"/>
        <v>7</v>
      </c>
      <c r="B22" s="242">
        <v>4532</v>
      </c>
      <c r="C22" s="232" t="s">
        <v>352</v>
      </c>
      <c r="D22" s="236">
        <v>1938</v>
      </c>
      <c r="E22" s="236" t="s">
        <v>230</v>
      </c>
      <c r="F22" s="236" t="s">
        <v>81</v>
      </c>
      <c r="G22" s="9">
        <v>347</v>
      </c>
      <c r="H22" s="9">
        <v>317.3</v>
      </c>
      <c r="I22" s="21">
        <v>19</v>
      </c>
      <c r="J22" s="9">
        <f>'Форма 2'!I34</f>
        <v>53169.84</v>
      </c>
      <c r="K22" s="9">
        <v>0</v>
      </c>
      <c r="L22" s="9">
        <v>0</v>
      </c>
      <c r="M22" s="9">
        <v>0</v>
      </c>
      <c r="N22" s="9">
        <f t="shared" si="9"/>
        <v>52116.480000000003</v>
      </c>
      <c r="O22" s="9">
        <v>1053.3599999999999</v>
      </c>
      <c r="P22" s="9">
        <f t="shared" si="10"/>
        <v>167.57</v>
      </c>
      <c r="Q22" s="9">
        <f>'Форма 2'!K34</f>
        <v>179</v>
      </c>
      <c r="R22" s="16">
        <v>2020</v>
      </c>
      <c r="S22" s="168">
        <v>1</v>
      </c>
    </row>
    <row r="23" spans="1:19" s="71" customFormat="1" ht="15.75" customHeight="1" x14ac:dyDescent="0.25">
      <c r="A23" s="251">
        <f>A22+1</f>
        <v>8</v>
      </c>
      <c r="B23" s="242">
        <v>4464</v>
      </c>
      <c r="C23" s="232" t="s">
        <v>353</v>
      </c>
      <c r="D23" s="251">
        <v>1969</v>
      </c>
      <c r="E23" s="236" t="s">
        <v>68</v>
      </c>
      <c r="F23" s="236" t="s">
        <v>87</v>
      </c>
      <c r="G23" s="9">
        <v>591.79999999999995</v>
      </c>
      <c r="H23" s="9">
        <v>367.9</v>
      </c>
      <c r="I23" s="21">
        <v>15</v>
      </c>
      <c r="J23" s="9">
        <f>'Форма 2'!I37</f>
        <v>2336078.67</v>
      </c>
      <c r="K23" s="9">
        <v>0</v>
      </c>
      <c r="L23" s="9">
        <v>0</v>
      </c>
      <c r="M23" s="9">
        <v>0</v>
      </c>
      <c r="N23" s="9">
        <f>J23-K23-L23-M23-O23</f>
        <v>2281936.96</v>
      </c>
      <c r="O23" s="9">
        <v>54141.71</v>
      </c>
      <c r="P23" s="9">
        <f>J23/H23</f>
        <v>6349.77</v>
      </c>
      <c r="Q23" s="9">
        <f>'Форма 2'!K37</f>
        <v>7935</v>
      </c>
      <c r="R23" s="23" t="s">
        <v>289</v>
      </c>
      <c r="S23" s="168">
        <v>1</v>
      </c>
    </row>
    <row r="24" spans="1:19" ht="15.75" customHeight="1" x14ac:dyDescent="0.25">
      <c r="A24" s="279" t="s">
        <v>515</v>
      </c>
      <c r="B24" s="279"/>
      <c r="C24" s="279"/>
      <c r="D24" s="10" t="s">
        <v>13</v>
      </c>
      <c r="E24" s="9" t="s">
        <v>13</v>
      </c>
      <c r="F24" s="9" t="s">
        <v>13</v>
      </c>
      <c r="G24" s="9">
        <f>SUM(G25)</f>
        <v>424.3</v>
      </c>
      <c r="H24" s="9">
        <f t="shared" ref="H24:O24" si="11">SUM(H25)</f>
        <v>381.3</v>
      </c>
      <c r="I24" s="11">
        <f t="shared" si="11"/>
        <v>12</v>
      </c>
      <c r="J24" s="9">
        <f t="shared" si="11"/>
        <v>73356.19</v>
      </c>
      <c r="K24" s="9">
        <f t="shared" si="11"/>
        <v>0</v>
      </c>
      <c r="L24" s="9">
        <f t="shared" si="11"/>
        <v>0</v>
      </c>
      <c r="M24" s="9">
        <f t="shared" si="11"/>
        <v>0</v>
      </c>
      <c r="N24" s="9">
        <f t="shared" si="11"/>
        <v>0</v>
      </c>
      <c r="O24" s="9">
        <f t="shared" si="11"/>
        <v>73356.19</v>
      </c>
      <c r="P24" s="9" t="s">
        <v>13</v>
      </c>
      <c r="Q24" s="9" t="s">
        <v>13</v>
      </c>
      <c r="R24" s="9" t="s">
        <v>13</v>
      </c>
      <c r="S24" s="15" t="s">
        <v>13</v>
      </c>
    </row>
    <row r="25" spans="1:19" ht="15.75" customHeight="1" x14ac:dyDescent="0.25">
      <c r="A25" s="242">
        <v>1</v>
      </c>
      <c r="B25" s="242">
        <v>4784</v>
      </c>
      <c r="C25" s="232" t="s">
        <v>514</v>
      </c>
      <c r="D25" s="236">
        <v>1962</v>
      </c>
      <c r="E25" s="236" t="s">
        <v>181</v>
      </c>
      <c r="F25" s="236" t="s">
        <v>81</v>
      </c>
      <c r="G25" s="14">
        <v>424.3</v>
      </c>
      <c r="H25" s="14">
        <v>381.3</v>
      </c>
      <c r="I25" s="11">
        <v>12</v>
      </c>
      <c r="J25" s="22">
        <f>'Форма 2'!I42</f>
        <v>73356.19</v>
      </c>
      <c r="K25" s="22">
        <v>0</v>
      </c>
      <c r="L25" s="22">
        <v>0</v>
      </c>
      <c r="M25" s="22">
        <v>0</v>
      </c>
      <c r="N25" s="22">
        <f>J25-K25-L25-M25-O25</f>
        <v>0</v>
      </c>
      <c r="O25" s="22">
        <v>73356.19</v>
      </c>
      <c r="P25" s="22">
        <f>J25/H25</f>
        <v>192.38</v>
      </c>
      <c r="Q25" s="22">
        <f>'Форма 2'!K42</f>
        <v>250</v>
      </c>
      <c r="R25" s="16">
        <v>2020</v>
      </c>
      <c r="S25" s="15">
        <v>1</v>
      </c>
    </row>
    <row r="26" spans="1:19" ht="15.75" customHeight="1" x14ac:dyDescent="0.25">
      <c r="A26" s="279" t="s">
        <v>30</v>
      </c>
      <c r="B26" s="279"/>
      <c r="C26" s="279"/>
      <c r="D26" s="10" t="s">
        <v>13</v>
      </c>
      <c r="E26" s="9" t="s">
        <v>13</v>
      </c>
      <c r="F26" s="9" t="s">
        <v>13</v>
      </c>
      <c r="G26" s="9">
        <f t="shared" ref="G26:O26" si="12">SUM(G27:G30)</f>
        <v>2450.6</v>
      </c>
      <c r="H26" s="9">
        <f t="shared" si="12"/>
        <v>2243</v>
      </c>
      <c r="I26" s="11">
        <f t="shared" si="12"/>
        <v>102</v>
      </c>
      <c r="J26" s="9">
        <f t="shared" si="12"/>
        <v>6812332.6299999999</v>
      </c>
      <c r="K26" s="9">
        <f t="shared" si="12"/>
        <v>0</v>
      </c>
      <c r="L26" s="9">
        <f t="shared" si="12"/>
        <v>0</v>
      </c>
      <c r="M26" s="9">
        <f t="shared" si="12"/>
        <v>0</v>
      </c>
      <c r="N26" s="9">
        <f t="shared" si="12"/>
        <v>6733653.5</v>
      </c>
      <c r="O26" s="9">
        <f t="shared" si="12"/>
        <v>78679.13</v>
      </c>
      <c r="P26" s="9" t="s">
        <v>13</v>
      </c>
      <c r="Q26" s="9" t="s">
        <v>13</v>
      </c>
      <c r="R26" s="9" t="s">
        <v>13</v>
      </c>
      <c r="S26" s="15" t="s">
        <v>13</v>
      </c>
    </row>
    <row r="27" spans="1:19" ht="15.75" customHeight="1" x14ac:dyDescent="0.25">
      <c r="A27" s="17">
        <v>1</v>
      </c>
      <c r="B27" s="236">
        <v>6698</v>
      </c>
      <c r="C27" s="29" t="s">
        <v>264</v>
      </c>
      <c r="D27" s="13">
        <v>1968</v>
      </c>
      <c r="E27" s="13" t="s">
        <v>266</v>
      </c>
      <c r="F27" s="13" t="s">
        <v>82</v>
      </c>
      <c r="G27" s="9">
        <v>364.7</v>
      </c>
      <c r="H27" s="9">
        <v>332.7</v>
      </c>
      <c r="I27" s="11">
        <v>20</v>
      </c>
      <c r="J27" s="9">
        <f>'Форма 2'!I45</f>
        <v>2005019.09</v>
      </c>
      <c r="K27" s="9">
        <v>0</v>
      </c>
      <c r="L27" s="9">
        <v>0</v>
      </c>
      <c r="M27" s="9">
        <v>0</v>
      </c>
      <c r="N27" s="9">
        <f>J27-K27-L27-M27-O27</f>
        <v>1983862.54</v>
      </c>
      <c r="O27" s="9">
        <v>21156.55</v>
      </c>
      <c r="P27" s="9">
        <f>J27/H27</f>
        <v>6026.51</v>
      </c>
      <c r="Q27" s="9">
        <f>'Форма 2'!K45</f>
        <v>8931</v>
      </c>
      <c r="R27" s="16">
        <v>2020</v>
      </c>
      <c r="S27" s="168">
        <v>1</v>
      </c>
    </row>
    <row r="28" spans="1:19" ht="15.75" customHeight="1" x14ac:dyDescent="0.25">
      <c r="A28" s="17">
        <f>A27+1</f>
        <v>2</v>
      </c>
      <c r="B28" s="236">
        <v>6646</v>
      </c>
      <c r="C28" s="29" t="s">
        <v>265</v>
      </c>
      <c r="D28" s="13">
        <v>1979</v>
      </c>
      <c r="E28" s="13" t="s">
        <v>68</v>
      </c>
      <c r="F28" s="13" t="s">
        <v>82</v>
      </c>
      <c r="G28" s="9">
        <v>527.1</v>
      </c>
      <c r="H28" s="9">
        <v>481.9</v>
      </c>
      <c r="I28" s="11">
        <v>17</v>
      </c>
      <c r="J28" s="9">
        <f>'Форма 2'!I50</f>
        <v>2959854.86</v>
      </c>
      <c r="K28" s="9">
        <v>0</v>
      </c>
      <c r="L28" s="9">
        <v>0</v>
      </c>
      <c r="M28" s="9">
        <v>0</v>
      </c>
      <c r="N28" s="9">
        <f>J28-K28-L28-M28-O28</f>
        <v>2928854.96</v>
      </c>
      <c r="O28" s="9">
        <v>30999.9</v>
      </c>
      <c r="P28" s="9">
        <f>J28/H28</f>
        <v>6142.05</v>
      </c>
      <c r="Q28" s="9">
        <f>'Форма 2'!K50</f>
        <v>8203</v>
      </c>
      <c r="R28" s="16">
        <v>2020</v>
      </c>
      <c r="S28" s="168">
        <v>1</v>
      </c>
    </row>
    <row r="29" spans="1:19" ht="15.75" customHeight="1" x14ac:dyDescent="0.25">
      <c r="A29" s="18">
        <f>A28+1</f>
        <v>3</v>
      </c>
      <c r="B29" s="251">
        <v>6714</v>
      </c>
      <c r="C29" s="12" t="s">
        <v>263</v>
      </c>
      <c r="D29" s="18">
        <v>1974</v>
      </c>
      <c r="E29" s="18" t="s">
        <v>460</v>
      </c>
      <c r="F29" s="18" t="s">
        <v>82</v>
      </c>
      <c r="G29" s="9">
        <v>774.7</v>
      </c>
      <c r="H29" s="9">
        <v>706.7</v>
      </c>
      <c r="I29" s="30">
        <v>21</v>
      </c>
      <c r="J29" s="9">
        <f>'Форма 2'!I53</f>
        <v>1735758.53</v>
      </c>
      <c r="K29" s="9">
        <v>0</v>
      </c>
      <c r="L29" s="9">
        <v>0</v>
      </c>
      <c r="M29" s="9">
        <v>0</v>
      </c>
      <c r="N29" s="9">
        <f>J29-K29-L29-M29-O29</f>
        <v>1710436.64</v>
      </c>
      <c r="O29" s="9">
        <v>25321.89</v>
      </c>
      <c r="P29" s="9">
        <f>J29/H29</f>
        <v>2456.15</v>
      </c>
      <c r="Q29" s="9">
        <f>'Форма 2'!K53</f>
        <v>3661</v>
      </c>
      <c r="R29" s="16">
        <v>2020</v>
      </c>
      <c r="S29" s="168">
        <v>1</v>
      </c>
    </row>
    <row r="30" spans="1:19" ht="15.75" customHeight="1" x14ac:dyDescent="0.25">
      <c r="A30" s="18">
        <f>A29+1</f>
        <v>4</v>
      </c>
      <c r="B30" s="251">
        <v>6711</v>
      </c>
      <c r="C30" s="12" t="s">
        <v>459</v>
      </c>
      <c r="D30" s="18">
        <v>1976</v>
      </c>
      <c r="E30" s="18" t="s">
        <v>461</v>
      </c>
      <c r="F30" s="18" t="s">
        <v>81</v>
      </c>
      <c r="G30" s="9">
        <v>784.1</v>
      </c>
      <c r="H30" s="9">
        <v>721.7</v>
      </c>
      <c r="I30" s="30">
        <v>44</v>
      </c>
      <c r="J30" s="9">
        <f>'Форма 2'!I58</f>
        <v>111700.15</v>
      </c>
      <c r="K30" s="9">
        <v>0</v>
      </c>
      <c r="L30" s="9">
        <v>0</v>
      </c>
      <c r="M30" s="9">
        <v>0</v>
      </c>
      <c r="N30" s="9">
        <f>J30-K30-L30-M30-O30</f>
        <v>110499.36</v>
      </c>
      <c r="O30" s="9">
        <v>1200.79</v>
      </c>
      <c r="P30" s="9">
        <f>J30/H30</f>
        <v>154.77000000000001</v>
      </c>
      <c r="Q30" s="9">
        <f>'Форма 2'!K58</f>
        <v>170</v>
      </c>
      <c r="R30" s="16">
        <v>2020</v>
      </c>
      <c r="S30" s="168">
        <v>1</v>
      </c>
    </row>
    <row r="31" spans="1:19" s="71" customFormat="1" ht="15.75" customHeight="1" x14ac:dyDescent="0.25">
      <c r="A31" s="283" t="s">
        <v>47</v>
      </c>
      <c r="B31" s="283"/>
      <c r="C31" s="283"/>
      <c r="D31" s="10" t="s">
        <v>13</v>
      </c>
      <c r="E31" s="9" t="s">
        <v>13</v>
      </c>
      <c r="F31" s="9" t="s">
        <v>13</v>
      </c>
      <c r="G31" s="9">
        <f t="shared" ref="G31:O31" si="13">SUM(G32:G68)</f>
        <v>298767.28000000003</v>
      </c>
      <c r="H31" s="9">
        <f t="shared" si="13"/>
        <v>243021.7</v>
      </c>
      <c r="I31" s="11">
        <f t="shared" si="13"/>
        <v>9129</v>
      </c>
      <c r="J31" s="9">
        <f t="shared" si="13"/>
        <v>188772208.56999999</v>
      </c>
      <c r="K31" s="9">
        <f t="shared" si="13"/>
        <v>0</v>
      </c>
      <c r="L31" s="9">
        <f t="shared" si="13"/>
        <v>0</v>
      </c>
      <c r="M31" s="9">
        <f t="shared" si="13"/>
        <v>0</v>
      </c>
      <c r="N31" s="9">
        <f t="shared" si="13"/>
        <v>183564694.56999999</v>
      </c>
      <c r="O31" s="9">
        <f t="shared" si="13"/>
        <v>5207514</v>
      </c>
      <c r="P31" s="9" t="s">
        <v>13</v>
      </c>
      <c r="Q31" s="9" t="s">
        <v>13</v>
      </c>
      <c r="R31" s="9" t="s">
        <v>13</v>
      </c>
      <c r="S31" s="15" t="s">
        <v>13</v>
      </c>
    </row>
    <row r="32" spans="1:19" s="71" customFormat="1" ht="15.75" customHeight="1" x14ac:dyDescent="0.25">
      <c r="A32" s="236">
        <v>1</v>
      </c>
      <c r="B32" s="236">
        <v>6026</v>
      </c>
      <c r="C32" s="252" t="s">
        <v>382</v>
      </c>
      <c r="D32" s="251">
        <v>1982</v>
      </c>
      <c r="E32" s="256" t="s">
        <v>68</v>
      </c>
      <c r="F32" s="251" t="s">
        <v>83</v>
      </c>
      <c r="G32" s="22">
        <v>3706.7</v>
      </c>
      <c r="H32" s="22">
        <v>2728.7</v>
      </c>
      <c r="I32" s="15">
        <v>103</v>
      </c>
      <c r="J32" s="22">
        <f>'Форма 2'!I62</f>
        <v>2934280.57</v>
      </c>
      <c r="K32" s="22">
        <v>0</v>
      </c>
      <c r="L32" s="22">
        <v>0</v>
      </c>
      <c r="M32" s="22">
        <v>0</v>
      </c>
      <c r="N32" s="22">
        <f t="shared" ref="N32:N37" si="14">J32-K32-L32-M32-O32</f>
        <v>2852220.26</v>
      </c>
      <c r="O32" s="22">
        <v>82060.31</v>
      </c>
      <c r="P32" s="22">
        <f t="shared" ref="P32:P68" si="15">J32/H32</f>
        <v>1075.3399999999999</v>
      </c>
      <c r="Q32" s="22">
        <f>'Форма 2'!K62</f>
        <v>3966</v>
      </c>
      <c r="R32" s="31">
        <v>2021</v>
      </c>
      <c r="S32" s="168">
        <v>1</v>
      </c>
    </row>
    <row r="33" spans="1:19" s="71" customFormat="1" ht="15.75" customHeight="1" x14ac:dyDescent="0.25">
      <c r="A33" s="236">
        <f>A32+1</f>
        <v>2</v>
      </c>
      <c r="B33" s="236">
        <v>6030</v>
      </c>
      <c r="C33" s="252" t="s">
        <v>383</v>
      </c>
      <c r="D33" s="251">
        <v>1974</v>
      </c>
      <c r="E33" s="256" t="s">
        <v>68</v>
      </c>
      <c r="F33" s="251" t="s">
        <v>223</v>
      </c>
      <c r="G33" s="22">
        <v>17546.48</v>
      </c>
      <c r="H33" s="22">
        <v>16127.59</v>
      </c>
      <c r="I33" s="15">
        <v>458</v>
      </c>
      <c r="J33" s="22">
        <f>'Форма 2'!I65</f>
        <v>4533752.47</v>
      </c>
      <c r="K33" s="22">
        <v>0</v>
      </c>
      <c r="L33" s="22">
        <v>0</v>
      </c>
      <c r="M33" s="22">
        <v>0</v>
      </c>
      <c r="N33" s="22">
        <f t="shared" si="14"/>
        <v>4404572.1399999997</v>
      </c>
      <c r="O33" s="22">
        <v>129180.33</v>
      </c>
      <c r="P33" s="22">
        <f t="shared" si="15"/>
        <v>281.12</v>
      </c>
      <c r="Q33" s="22">
        <f>'Форма 2'!K65</f>
        <v>2440</v>
      </c>
      <c r="R33" s="31">
        <v>2021</v>
      </c>
      <c r="S33" s="168">
        <v>1</v>
      </c>
    </row>
    <row r="34" spans="1:19" s="71" customFormat="1" ht="15.75" customHeight="1" x14ac:dyDescent="0.25">
      <c r="A34" s="236">
        <v>3</v>
      </c>
      <c r="B34" s="236">
        <v>6039</v>
      </c>
      <c r="C34" s="252" t="s">
        <v>550</v>
      </c>
      <c r="D34" s="251">
        <v>1973</v>
      </c>
      <c r="E34" s="256" t="s">
        <v>86</v>
      </c>
      <c r="F34" s="251" t="s">
        <v>81</v>
      </c>
      <c r="G34" s="22">
        <v>10649.7</v>
      </c>
      <c r="H34" s="22">
        <v>6661.52</v>
      </c>
      <c r="I34" s="15">
        <v>252</v>
      </c>
      <c r="J34" s="22">
        <f>'Форма 2'!I67</f>
        <v>27116.04</v>
      </c>
      <c r="K34" s="22">
        <v>0</v>
      </c>
      <c r="L34" s="22">
        <v>0</v>
      </c>
      <c r="M34" s="22">
        <v>0</v>
      </c>
      <c r="N34" s="22">
        <f t="shared" si="14"/>
        <v>27116.04</v>
      </c>
      <c r="O34" s="22">
        <v>0</v>
      </c>
      <c r="P34" s="22">
        <f t="shared" ref="P34" si="16">J34/H34</f>
        <v>4.07</v>
      </c>
      <c r="Q34" s="22">
        <f>'Форма 2'!K67</f>
        <v>4.8499999999999996</v>
      </c>
      <c r="R34" s="31">
        <v>2020</v>
      </c>
      <c r="S34" s="168">
        <v>1</v>
      </c>
    </row>
    <row r="35" spans="1:19" s="71" customFormat="1" ht="15.75" customHeight="1" x14ac:dyDescent="0.25">
      <c r="A35" s="236">
        <f>A34+1</f>
        <v>4</v>
      </c>
      <c r="B35" s="253">
        <v>6058</v>
      </c>
      <c r="C35" s="252" t="s">
        <v>437</v>
      </c>
      <c r="D35" s="251">
        <v>1991</v>
      </c>
      <c r="E35" s="256" t="s">
        <v>86</v>
      </c>
      <c r="F35" s="251" t="s">
        <v>475</v>
      </c>
      <c r="G35" s="22">
        <v>4869.7</v>
      </c>
      <c r="H35" s="22">
        <v>4746.3</v>
      </c>
      <c r="I35" s="15">
        <v>179</v>
      </c>
      <c r="J35" s="22">
        <f>'Форма 2'!I69</f>
        <v>5253840.43</v>
      </c>
      <c r="K35" s="22">
        <v>0</v>
      </c>
      <c r="L35" s="22">
        <v>0</v>
      </c>
      <c r="M35" s="22">
        <v>0</v>
      </c>
      <c r="N35" s="22">
        <f t="shared" si="14"/>
        <v>5115286.05</v>
      </c>
      <c r="O35" s="22">
        <v>138554.38</v>
      </c>
      <c r="P35" s="22">
        <f>J35/H35</f>
        <v>1106.93</v>
      </c>
      <c r="Q35" s="22">
        <f>'Форма 2'!K69</f>
        <v>1203.74</v>
      </c>
      <c r="R35" s="31">
        <v>2020</v>
      </c>
      <c r="S35" s="168">
        <v>1</v>
      </c>
    </row>
    <row r="36" spans="1:19" s="71" customFormat="1" ht="15.75" customHeight="1" x14ac:dyDescent="0.25">
      <c r="A36" s="236">
        <f>A35+1</f>
        <v>5</v>
      </c>
      <c r="B36" s="253">
        <v>6059</v>
      </c>
      <c r="C36" s="252" t="s">
        <v>438</v>
      </c>
      <c r="D36" s="251">
        <v>1992</v>
      </c>
      <c r="E36" s="256" t="s">
        <v>86</v>
      </c>
      <c r="F36" s="251" t="s">
        <v>475</v>
      </c>
      <c r="G36" s="22">
        <v>6497.05</v>
      </c>
      <c r="H36" s="22">
        <v>5817.85</v>
      </c>
      <c r="I36" s="15">
        <v>144</v>
      </c>
      <c r="J36" s="22">
        <f>'Форма 2'!I76</f>
        <v>4120117.13</v>
      </c>
      <c r="K36" s="22">
        <v>0</v>
      </c>
      <c r="L36" s="22">
        <v>0</v>
      </c>
      <c r="M36" s="22">
        <v>0</v>
      </c>
      <c r="N36" s="22">
        <f t="shared" si="14"/>
        <v>3981562.75</v>
      </c>
      <c r="O36" s="22">
        <v>138554.38</v>
      </c>
      <c r="P36" s="22">
        <f>J36/H36</f>
        <v>708.19</v>
      </c>
      <c r="Q36" s="22">
        <f>'Форма 2'!K76</f>
        <v>982.03</v>
      </c>
      <c r="R36" s="31">
        <v>2020</v>
      </c>
      <c r="S36" s="168">
        <v>1</v>
      </c>
    </row>
    <row r="37" spans="1:19" s="71" customFormat="1" ht="47.25" customHeight="1" x14ac:dyDescent="0.25">
      <c r="A37" s="236">
        <f t="shared" ref="A37" si="17">A36+1</f>
        <v>6</v>
      </c>
      <c r="B37" s="253">
        <v>6061</v>
      </c>
      <c r="C37" s="252" t="s">
        <v>462</v>
      </c>
      <c r="D37" s="251" t="s">
        <v>474</v>
      </c>
      <c r="E37" s="256" t="s">
        <v>86</v>
      </c>
      <c r="F37" s="251" t="s">
        <v>475</v>
      </c>
      <c r="G37" s="22">
        <v>46580.1</v>
      </c>
      <c r="H37" s="22">
        <v>43711.7</v>
      </c>
      <c r="I37" s="15">
        <v>1568</v>
      </c>
      <c r="J37" s="22">
        <f>'Форма 2'!I83</f>
        <v>2398299.6</v>
      </c>
      <c r="K37" s="22">
        <v>0</v>
      </c>
      <c r="L37" s="22">
        <v>0</v>
      </c>
      <c r="M37" s="22">
        <v>0</v>
      </c>
      <c r="N37" s="22">
        <f t="shared" si="14"/>
        <v>2341987.34</v>
      </c>
      <c r="O37" s="22">
        <v>56312.26</v>
      </c>
      <c r="P37" s="22">
        <f t="shared" ref="P37" si="18">J37/H37</f>
        <v>54.87</v>
      </c>
      <c r="Q37" s="22">
        <f>'Форма 2'!K83</f>
        <v>56.82</v>
      </c>
      <c r="R37" s="31">
        <v>2020</v>
      </c>
      <c r="S37" s="168">
        <v>1</v>
      </c>
    </row>
    <row r="38" spans="1:19" s="71" customFormat="1" ht="15.75" customHeight="1" x14ac:dyDescent="0.25">
      <c r="A38" s="236">
        <f>A37+1</f>
        <v>7</v>
      </c>
      <c r="B38" s="236">
        <v>5864</v>
      </c>
      <c r="C38" s="252" t="s">
        <v>384</v>
      </c>
      <c r="D38" s="251">
        <v>1959</v>
      </c>
      <c r="E38" s="251" t="s">
        <v>68</v>
      </c>
      <c r="F38" s="251" t="s">
        <v>223</v>
      </c>
      <c r="G38" s="22">
        <v>3876.9</v>
      </c>
      <c r="H38" s="22">
        <v>2829</v>
      </c>
      <c r="I38" s="15">
        <v>107</v>
      </c>
      <c r="J38" s="22">
        <f>'Форма 2'!I92</f>
        <v>2691115.91</v>
      </c>
      <c r="K38" s="22">
        <v>0</v>
      </c>
      <c r="L38" s="22">
        <v>0</v>
      </c>
      <c r="M38" s="22">
        <v>0</v>
      </c>
      <c r="N38" s="22">
        <f t="shared" ref="N38:N66" si="19">J38-K38-L38-M38-O38</f>
        <v>2614484.7400000002</v>
      </c>
      <c r="O38" s="22">
        <v>76631.17</v>
      </c>
      <c r="P38" s="22">
        <f t="shared" si="15"/>
        <v>951.26</v>
      </c>
      <c r="Q38" s="22">
        <f>'Форма 2'!K92</f>
        <v>5036</v>
      </c>
      <c r="R38" s="31">
        <v>2021</v>
      </c>
      <c r="S38" s="168">
        <v>1</v>
      </c>
    </row>
    <row r="39" spans="1:19" s="71" customFormat="1" ht="15.75" customHeight="1" x14ac:dyDescent="0.25">
      <c r="A39" s="236">
        <f>A38+1</f>
        <v>8</v>
      </c>
      <c r="B39" s="236">
        <v>5920</v>
      </c>
      <c r="C39" s="252" t="s">
        <v>439</v>
      </c>
      <c r="D39" s="236">
        <v>1991</v>
      </c>
      <c r="E39" s="251" t="s">
        <v>86</v>
      </c>
      <c r="F39" s="251" t="s">
        <v>87</v>
      </c>
      <c r="G39" s="22">
        <v>13263.1</v>
      </c>
      <c r="H39" s="22">
        <v>11783.6</v>
      </c>
      <c r="I39" s="15">
        <v>445</v>
      </c>
      <c r="J39" s="22">
        <f>'Форма 2'!I94</f>
        <v>12438504.539999999</v>
      </c>
      <c r="K39" s="22">
        <v>0</v>
      </c>
      <c r="L39" s="22">
        <v>0</v>
      </c>
      <c r="M39" s="22">
        <v>0</v>
      </c>
      <c r="N39" s="22">
        <f t="shared" si="19"/>
        <v>12123935.18</v>
      </c>
      <c r="O39" s="22">
        <v>314569.36</v>
      </c>
      <c r="P39" s="22">
        <f t="shared" si="15"/>
        <v>1055.58</v>
      </c>
      <c r="Q39" s="22">
        <f>'Форма 2'!K94</f>
        <v>1182.27</v>
      </c>
      <c r="R39" s="31">
        <v>2020</v>
      </c>
      <c r="S39" s="168">
        <v>1</v>
      </c>
    </row>
    <row r="40" spans="1:19" s="71" customFormat="1" ht="15.75" customHeight="1" x14ac:dyDescent="0.25">
      <c r="A40" s="236">
        <f t="shared" ref="A40:A43" si="20">A39+1</f>
        <v>9</v>
      </c>
      <c r="B40" s="236">
        <v>5926</v>
      </c>
      <c r="C40" s="252" t="s">
        <v>465</v>
      </c>
      <c r="D40" s="236">
        <v>1994</v>
      </c>
      <c r="E40" s="251" t="s">
        <v>86</v>
      </c>
      <c r="F40" s="251" t="s">
        <v>87</v>
      </c>
      <c r="G40" s="22">
        <v>9610.2000000000007</v>
      </c>
      <c r="H40" s="22">
        <v>8565.2999999999993</v>
      </c>
      <c r="I40" s="15">
        <v>324</v>
      </c>
      <c r="J40" s="22">
        <f>'Форма 2'!I113</f>
        <v>9034319.0600000005</v>
      </c>
      <c r="K40" s="22">
        <v>0</v>
      </c>
      <c r="L40" s="22">
        <v>0</v>
      </c>
      <c r="M40" s="22">
        <v>0</v>
      </c>
      <c r="N40" s="22">
        <f t="shared" si="19"/>
        <v>8809070.0399999991</v>
      </c>
      <c r="O40" s="22">
        <v>225249.02</v>
      </c>
      <c r="P40" s="22">
        <f t="shared" si="15"/>
        <v>1054.76</v>
      </c>
      <c r="Q40" s="22">
        <f>'Форма 2'!K113</f>
        <v>1084.33</v>
      </c>
      <c r="R40" s="31">
        <v>2020</v>
      </c>
      <c r="S40" s="168">
        <v>1</v>
      </c>
    </row>
    <row r="41" spans="1:19" s="71" customFormat="1" ht="15.75" customHeight="1" x14ac:dyDescent="0.25">
      <c r="A41" s="236">
        <f t="shared" si="20"/>
        <v>10</v>
      </c>
      <c r="B41" s="236">
        <v>5937</v>
      </c>
      <c r="C41" s="252" t="s">
        <v>441</v>
      </c>
      <c r="D41" s="236">
        <v>1990</v>
      </c>
      <c r="E41" s="251" t="s">
        <v>86</v>
      </c>
      <c r="F41" s="251" t="s">
        <v>87</v>
      </c>
      <c r="G41" s="22">
        <v>15633.2</v>
      </c>
      <c r="H41" s="22">
        <v>10637.8</v>
      </c>
      <c r="I41" s="15">
        <v>402</v>
      </c>
      <c r="J41" s="22">
        <f>'Форма 2'!I126</f>
        <v>13540878.59</v>
      </c>
      <c r="K41" s="22">
        <v>0</v>
      </c>
      <c r="L41" s="22">
        <v>0</v>
      </c>
      <c r="M41" s="22">
        <v>0</v>
      </c>
      <c r="N41" s="22">
        <f>J41-K41-L41-M41-O41</f>
        <v>13203005.07</v>
      </c>
      <c r="O41" s="22">
        <v>337873.52</v>
      </c>
      <c r="P41" s="22">
        <f>J41/H41</f>
        <v>1272.9000000000001</v>
      </c>
      <c r="Q41" s="22">
        <f>'Форма 2'!K126</f>
        <v>1309.6199999999999</v>
      </c>
      <c r="R41" s="31">
        <v>2020</v>
      </c>
      <c r="S41" s="168">
        <v>1</v>
      </c>
    </row>
    <row r="42" spans="1:19" s="71" customFormat="1" ht="15.75" customHeight="1" x14ac:dyDescent="0.25">
      <c r="A42" s="236">
        <f t="shared" si="20"/>
        <v>11</v>
      </c>
      <c r="B42" s="236">
        <v>5940</v>
      </c>
      <c r="C42" s="252" t="s">
        <v>466</v>
      </c>
      <c r="D42" s="236">
        <v>1968</v>
      </c>
      <c r="E42" s="251" t="s">
        <v>112</v>
      </c>
      <c r="F42" s="251" t="s">
        <v>114</v>
      </c>
      <c r="G42" s="9">
        <v>6041.6</v>
      </c>
      <c r="H42" s="9">
        <v>3856.6</v>
      </c>
      <c r="I42" s="11">
        <v>209</v>
      </c>
      <c r="J42" s="22">
        <f>'Форма 2'!I145</f>
        <v>7805280.6799999997</v>
      </c>
      <c r="K42" s="9">
        <v>0</v>
      </c>
      <c r="L42" s="9">
        <v>0</v>
      </c>
      <c r="M42" s="9">
        <v>0</v>
      </c>
      <c r="N42" s="9">
        <f t="shared" ref="N42:N44" si="21">J42-K42-L42-M42-O42</f>
        <v>7724711.5499999998</v>
      </c>
      <c r="O42" s="9">
        <v>80569.13</v>
      </c>
      <c r="P42" s="9">
        <f t="shared" ref="P42:P44" si="22">J42/H42</f>
        <v>2023.88</v>
      </c>
      <c r="Q42" s="22">
        <f>'Форма 2'!K145</f>
        <v>6136</v>
      </c>
      <c r="R42" s="31">
        <v>2020</v>
      </c>
      <c r="S42" s="168">
        <v>1</v>
      </c>
    </row>
    <row r="43" spans="1:19" s="71" customFormat="1" ht="15.75" customHeight="1" x14ac:dyDescent="0.25">
      <c r="A43" s="236">
        <f t="shared" si="20"/>
        <v>12</v>
      </c>
      <c r="B43" s="236">
        <v>5948</v>
      </c>
      <c r="C43" s="252" t="s">
        <v>467</v>
      </c>
      <c r="D43" s="236">
        <v>1967</v>
      </c>
      <c r="E43" s="251" t="s">
        <v>112</v>
      </c>
      <c r="F43" s="251" t="s">
        <v>114</v>
      </c>
      <c r="G43" s="9">
        <v>6049.4</v>
      </c>
      <c r="H43" s="9">
        <v>3853.4</v>
      </c>
      <c r="I43" s="11">
        <v>192</v>
      </c>
      <c r="J43" s="22">
        <f>'Форма 2'!I148</f>
        <v>7950222.5199999996</v>
      </c>
      <c r="K43" s="9">
        <v>0</v>
      </c>
      <c r="L43" s="9">
        <v>0</v>
      </c>
      <c r="M43" s="9">
        <v>0</v>
      </c>
      <c r="N43" s="9">
        <f t="shared" si="21"/>
        <v>7864974.6500000004</v>
      </c>
      <c r="O43" s="9">
        <v>85247.87</v>
      </c>
      <c r="P43" s="9">
        <f t="shared" si="22"/>
        <v>2063.17</v>
      </c>
      <c r="Q43" s="22">
        <f>'Форма 2'!K148</f>
        <v>6136</v>
      </c>
      <c r="R43" s="31">
        <v>2020</v>
      </c>
      <c r="S43" s="168">
        <v>1</v>
      </c>
    </row>
    <row r="44" spans="1:19" s="71" customFormat="1" ht="15.75" customHeight="1" x14ac:dyDescent="0.25">
      <c r="A44" s="236">
        <f t="shared" ref="A44:A49" si="23">A43+1</f>
        <v>13</v>
      </c>
      <c r="B44" s="236">
        <v>6087</v>
      </c>
      <c r="C44" s="252" t="s">
        <v>468</v>
      </c>
      <c r="D44" s="236">
        <v>1964</v>
      </c>
      <c r="E44" s="251" t="s">
        <v>476</v>
      </c>
      <c r="F44" s="251" t="s">
        <v>114</v>
      </c>
      <c r="G44" s="22">
        <v>4009.9</v>
      </c>
      <c r="H44" s="22">
        <v>2459.1</v>
      </c>
      <c r="I44" s="15">
        <v>221</v>
      </c>
      <c r="J44" s="22">
        <f>'Форма 2'!I151</f>
        <v>5828539.4800000004</v>
      </c>
      <c r="K44" s="32">
        <v>0</v>
      </c>
      <c r="L44" s="32">
        <v>0</v>
      </c>
      <c r="M44" s="32">
        <v>0</v>
      </c>
      <c r="N44" s="22">
        <f t="shared" si="21"/>
        <v>5684199.7300000004</v>
      </c>
      <c r="O44" s="22">
        <v>144339.75</v>
      </c>
      <c r="P44" s="22">
        <f t="shared" si="22"/>
        <v>2370.19</v>
      </c>
      <c r="Q44" s="22">
        <f>'Форма 2'!K151</f>
        <v>5271</v>
      </c>
      <c r="R44" s="31">
        <v>2020</v>
      </c>
      <c r="S44" s="168">
        <v>1</v>
      </c>
    </row>
    <row r="45" spans="1:19" s="71" customFormat="1" ht="15.75" customHeight="1" x14ac:dyDescent="0.25">
      <c r="A45" s="236">
        <f t="shared" si="23"/>
        <v>14</v>
      </c>
      <c r="B45" s="236">
        <v>6120</v>
      </c>
      <c r="C45" s="252" t="s">
        <v>555</v>
      </c>
      <c r="D45" s="236">
        <v>1971</v>
      </c>
      <c r="E45" s="251" t="s">
        <v>86</v>
      </c>
      <c r="F45" s="251" t="s">
        <v>81</v>
      </c>
      <c r="G45" s="22">
        <v>3182.7</v>
      </c>
      <c r="H45" s="22">
        <v>2259.1</v>
      </c>
      <c r="I45" s="15">
        <v>85</v>
      </c>
      <c r="J45" s="22">
        <f>'Форма 2'!I160</f>
        <v>31801</v>
      </c>
      <c r="K45" s="32">
        <v>0</v>
      </c>
      <c r="L45" s="32">
        <v>0</v>
      </c>
      <c r="M45" s="32">
        <v>0</v>
      </c>
      <c r="N45" s="22">
        <f t="shared" ref="N45" si="24">J45-K45-L45-M45-O45</f>
        <v>31801</v>
      </c>
      <c r="O45" s="22">
        <v>0</v>
      </c>
      <c r="P45" s="22">
        <f t="shared" ref="P45" si="25">J45/H45</f>
        <v>14.08</v>
      </c>
      <c r="Q45" s="22">
        <f>'Форма 2'!K160</f>
        <v>14.29</v>
      </c>
      <c r="R45" s="31">
        <v>2020</v>
      </c>
      <c r="S45" s="168">
        <v>1</v>
      </c>
    </row>
    <row r="46" spans="1:19" s="71" customFormat="1" ht="15.75" customHeight="1" x14ac:dyDescent="0.25">
      <c r="A46" s="236">
        <f t="shared" si="23"/>
        <v>15</v>
      </c>
      <c r="B46" s="236">
        <v>6125</v>
      </c>
      <c r="C46" s="252" t="s">
        <v>418</v>
      </c>
      <c r="D46" s="236">
        <v>1969</v>
      </c>
      <c r="E46" s="251" t="s">
        <v>86</v>
      </c>
      <c r="F46" s="251" t="s">
        <v>87</v>
      </c>
      <c r="G46" s="22">
        <v>2916.2</v>
      </c>
      <c r="H46" s="22">
        <v>2272.8000000000002</v>
      </c>
      <c r="I46" s="15">
        <v>86</v>
      </c>
      <c r="J46" s="22">
        <f>'Форма 2'!I162</f>
        <v>2262719.7599999998</v>
      </c>
      <c r="K46" s="22">
        <v>0</v>
      </c>
      <c r="L46" s="22">
        <v>0</v>
      </c>
      <c r="M46" s="22">
        <v>0</v>
      </c>
      <c r="N46" s="22">
        <f>J46-K46-L46-M46-O46</f>
        <v>2206407.5</v>
      </c>
      <c r="O46" s="22">
        <v>56312.26</v>
      </c>
      <c r="P46" s="22">
        <f>J46/H46</f>
        <v>995.56</v>
      </c>
      <c r="Q46" s="22">
        <f>'Форма 2'!K162</f>
        <v>1021.61</v>
      </c>
      <c r="R46" s="31">
        <v>2020</v>
      </c>
      <c r="S46" s="168">
        <v>1</v>
      </c>
    </row>
    <row r="47" spans="1:19" s="71" customFormat="1" ht="15.75" customHeight="1" x14ac:dyDescent="0.25">
      <c r="A47" s="236">
        <f t="shared" si="23"/>
        <v>16</v>
      </c>
      <c r="B47" s="236">
        <v>6143</v>
      </c>
      <c r="C47" s="252" t="s">
        <v>164</v>
      </c>
      <c r="D47" s="251">
        <v>1954</v>
      </c>
      <c r="E47" s="251" t="s">
        <v>117</v>
      </c>
      <c r="F47" s="251" t="s">
        <v>82</v>
      </c>
      <c r="G47" s="22">
        <v>2169.6999999999998</v>
      </c>
      <c r="H47" s="22">
        <v>1897.7</v>
      </c>
      <c r="I47" s="15">
        <v>76</v>
      </c>
      <c r="J47" s="22">
        <f>'Форма 2'!I166</f>
        <v>8398898.9499999993</v>
      </c>
      <c r="K47" s="22">
        <v>0</v>
      </c>
      <c r="L47" s="22">
        <v>0</v>
      </c>
      <c r="M47" s="22">
        <v>0</v>
      </c>
      <c r="N47" s="22">
        <f t="shared" si="19"/>
        <v>8107707.8600000003</v>
      </c>
      <c r="O47" s="22">
        <v>291191.09000000003</v>
      </c>
      <c r="P47" s="22">
        <f t="shared" si="15"/>
        <v>4425.83</v>
      </c>
      <c r="Q47" s="22">
        <f>'Форма 2'!K166</f>
        <v>9490</v>
      </c>
      <c r="R47" s="31">
        <v>2020</v>
      </c>
      <c r="S47" s="168">
        <v>1</v>
      </c>
    </row>
    <row r="48" spans="1:19" s="71" customFormat="1" ht="15.75" customHeight="1" x14ac:dyDescent="0.25">
      <c r="A48" s="236">
        <f t="shared" si="23"/>
        <v>17</v>
      </c>
      <c r="B48" s="236">
        <v>6152</v>
      </c>
      <c r="C48" s="252" t="s">
        <v>469</v>
      </c>
      <c r="D48" s="236">
        <v>1957</v>
      </c>
      <c r="E48" s="256" t="s">
        <v>68</v>
      </c>
      <c r="F48" s="251" t="s">
        <v>114</v>
      </c>
      <c r="G48" s="9">
        <v>2850.4</v>
      </c>
      <c r="H48" s="9">
        <v>2611.6</v>
      </c>
      <c r="I48" s="11">
        <v>115</v>
      </c>
      <c r="J48" s="22">
        <f>'Форма 2'!I171</f>
        <v>4992672.33</v>
      </c>
      <c r="K48" s="9">
        <v>0</v>
      </c>
      <c r="L48" s="9">
        <v>0</v>
      </c>
      <c r="M48" s="9">
        <v>0</v>
      </c>
      <c r="N48" s="9">
        <f>J48-K48-L48-M48-O48</f>
        <v>4845717.45</v>
      </c>
      <c r="O48" s="9">
        <v>146954.88</v>
      </c>
      <c r="P48" s="9">
        <f t="shared" si="15"/>
        <v>1911.73</v>
      </c>
      <c r="Q48" s="22">
        <f>'Форма 2'!K171</f>
        <v>5144</v>
      </c>
      <c r="R48" s="31">
        <v>2020</v>
      </c>
      <c r="S48" s="168">
        <v>1</v>
      </c>
    </row>
    <row r="49" spans="1:19" s="71" customFormat="1" ht="15.75" customHeight="1" x14ac:dyDescent="0.25">
      <c r="A49" s="236">
        <f t="shared" si="23"/>
        <v>18</v>
      </c>
      <c r="B49" s="236">
        <v>6176</v>
      </c>
      <c r="C49" s="252" t="s">
        <v>385</v>
      </c>
      <c r="D49" s="251">
        <v>1973</v>
      </c>
      <c r="E49" s="256" t="s">
        <v>68</v>
      </c>
      <c r="F49" s="251" t="s">
        <v>82</v>
      </c>
      <c r="G49" s="22">
        <v>14775.36</v>
      </c>
      <c r="H49" s="22">
        <v>10924.18</v>
      </c>
      <c r="I49" s="15">
        <v>413</v>
      </c>
      <c r="J49" s="22">
        <f>'Форма 2'!I174</f>
        <v>11232106.050000001</v>
      </c>
      <c r="K49" s="22">
        <v>0</v>
      </c>
      <c r="L49" s="22">
        <v>0</v>
      </c>
      <c r="M49" s="22">
        <v>0</v>
      </c>
      <c r="N49" s="22">
        <f>J49-K49-L49-M49-O49</f>
        <v>11034078.26</v>
      </c>
      <c r="O49" s="22">
        <v>198027.79</v>
      </c>
      <c r="P49" s="22">
        <f t="shared" si="15"/>
        <v>1028.19</v>
      </c>
      <c r="Q49" s="22">
        <f>'Форма 2'!K174</f>
        <v>2492</v>
      </c>
      <c r="R49" s="31">
        <v>2020</v>
      </c>
      <c r="S49" s="168">
        <v>1</v>
      </c>
    </row>
    <row r="50" spans="1:19" s="71" customFormat="1" ht="15.75" customHeight="1" x14ac:dyDescent="0.25">
      <c r="A50" s="236">
        <f t="shared" ref="A50:A67" si="26">A49+1</f>
        <v>19</v>
      </c>
      <c r="B50" s="236">
        <v>6183</v>
      </c>
      <c r="C50" s="252" t="s">
        <v>386</v>
      </c>
      <c r="D50" s="251">
        <v>2009</v>
      </c>
      <c r="E50" s="256" t="s">
        <v>68</v>
      </c>
      <c r="F50" s="251" t="s">
        <v>83</v>
      </c>
      <c r="G50" s="22">
        <v>13239.2</v>
      </c>
      <c r="H50" s="22">
        <v>9992</v>
      </c>
      <c r="I50" s="15">
        <v>378</v>
      </c>
      <c r="J50" s="22">
        <f>'Форма 2'!I177</f>
        <v>6219893.0700000003</v>
      </c>
      <c r="K50" s="22">
        <v>0</v>
      </c>
      <c r="L50" s="22">
        <v>0</v>
      </c>
      <c r="M50" s="22">
        <v>0</v>
      </c>
      <c r="N50" s="22">
        <f>J50-K50-L50-M50-O50</f>
        <v>5998182.3700000001</v>
      </c>
      <c r="O50" s="22">
        <v>221710.7</v>
      </c>
      <c r="P50" s="22">
        <f t="shared" si="15"/>
        <v>622.49</v>
      </c>
      <c r="Q50" s="22">
        <f>'Форма 2'!K177</f>
        <v>2604</v>
      </c>
      <c r="R50" s="31">
        <v>2021</v>
      </c>
      <c r="S50" s="168">
        <v>1</v>
      </c>
    </row>
    <row r="51" spans="1:19" s="71" customFormat="1" ht="15.75" customHeight="1" x14ac:dyDescent="0.25">
      <c r="A51" s="236">
        <f t="shared" si="26"/>
        <v>20</v>
      </c>
      <c r="B51" s="236">
        <v>6184</v>
      </c>
      <c r="C51" s="252" t="s">
        <v>387</v>
      </c>
      <c r="D51" s="251">
        <v>2008</v>
      </c>
      <c r="E51" s="256" t="s">
        <v>68</v>
      </c>
      <c r="F51" s="251" t="s">
        <v>223</v>
      </c>
      <c r="G51" s="22">
        <v>13239.2</v>
      </c>
      <c r="H51" s="22">
        <v>10125.5</v>
      </c>
      <c r="I51" s="15">
        <v>378</v>
      </c>
      <c r="J51" s="22">
        <f>'Форма 2'!I180</f>
        <v>5490887.7699999996</v>
      </c>
      <c r="K51" s="22">
        <v>0</v>
      </c>
      <c r="L51" s="22">
        <v>0</v>
      </c>
      <c r="M51" s="22">
        <v>0</v>
      </c>
      <c r="N51" s="22">
        <f>J51-K51-L51-M51-O51</f>
        <v>5354209.2300000004</v>
      </c>
      <c r="O51" s="22">
        <v>136678.54</v>
      </c>
      <c r="P51" s="22">
        <f t="shared" si="15"/>
        <v>542.28</v>
      </c>
      <c r="Q51" s="22">
        <f>'Форма 2'!K180</f>
        <v>2440</v>
      </c>
      <c r="R51" s="31">
        <v>2021</v>
      </c>
      <c r="S51" s="168">
        <v>1</v>
      </c>
    </row>
    <row r="52" spans="1:19" s="71" customFormat="1" ht="15.75" customHeight="1" x14ac:dyDescent="0.25">
      <c r="A52" s="236">
        <f t="shared" si="26"/>
        <v>21</v>
      </c>
      <c r="B52" s="236">
        <v>6193</v>
      </c>
      <c r="C52" s="252" t="s">
        <v>556</v>
      </c>
      <c r="D52" s="236">
        <v>1990</v>
      </c>
      <c r="E52" s="256" t="s">
        <v>86</v>
      </c>
      <c r="F52" s="251" t="s">
        <v>81</v>
      </c>
      <c r="G52" s="22">
        <v>12387.7</v>
      </c>
      <c r="H52" s="22">
        <v>11067.6</v>
      </c>
      <c r="I52" s="15">
        <v>418</v>
      </c>
      <c r="J52" s="22">
        <f>'Форма 2'!I182</f>
        <v>0</v>
      </c>
      <c r="K52" s="22">
        <v>0</v>
      </c>
      <c r="L52" s="22">
        <v>0</v>
      </c>
      <c r="M52" s="22">
        <v>0</v>
      </c>
      <c r="N52" s="22">
        <f t="shared" ref="N52" si="27">J52-K52-L52-M52-O52</f>
        <v>0</v>
      </c>
      <c r="O52" s="22">
        <v>0</v>
      </c>
      <c r="P52" s="22">
        <f>J52/H52</f>
        <v>0</v>
      </c>
      <c r="Q52" s="22">
        <f>'Форма 2'!K182</f>
        <v>2.92</v>
      </c>
      <c r="R52" s="31">
        <v>2020</v>
      </c>
      <c r="S52" s="168">
        <v>1</v>
      </c>
    </row>
    <row r="53" spans="1:19" s="169" customFormat="1" ht="15.75" customHeight="1" x14ac:dyDescent="0.25">
      <c r="A53" s="236">
        <f>A52+1</f>
        <v>22</v>
      </c>
      <c r="B53" s="236">
        <v>6237</v>
      </c>
      <c r="C53" s="252" t="s">
        <v>116</v>
      </c>
      <c r="D53" s="251">
        <v>1953</v>
      </c>
      <c r="E53" s="256" t="s">
        <v>117</v>
      </c>
      <c r="F53" s="251" t="s">
        <v>82</v>
      </c>
      <c r="G53" s="22">
        <v>588.70000000000005</v>
      </c>
      <c r="H53" s="32">
        <v>542.70000000000005</v>
      </c>
      <c r="I53" s="15">
        <v>25</v>
      </c>
      <c r="J53" s="22">
        <f>'Форма 2'!I184</f>
        <v>4083295</v>
      </c>
      <c r="K53" s="22">
        <v>0</v>
      </c>
      <c r="L53" s="22">
        <v>0</v>
      </c>
      <c r="M53" s="22">
        <v>0</v>
      </c>
      <c r="N53" s="22">
        <f t="shared" si="19"/>
        <v>3975824.35</v>
      </c>
      <c r="O53" s="22">
        <v>107470.65</v>
      </c>
      <c r="P53" s="22">
        <f t="shared" si="15"/>
        <v>7524.04</v>
      </c>
      <c r="Q53" s="22">
        <f>'Форма 2'!K184</f>
        <v>12034</v>
      </c>
      <c r="R53" s="31">
        <v>2020</v>
      </c>
      <c r="S53" s="168">
        <v>1</v>
      </c>
    </row>
    <row r="54" spans="1:19" s="71" customFormat="1" ht="15.75" customHeight="1" x14ac:dyDescent="0.25">
      <c r="A54" s="236">
        <f t="shared" si="26"/>
        <v>23</v>
      </c>
      <c r="B54" s="236">
        <v>6273</v>
      </c>
      <c r="C54" s="252" t="s">
        <v>165</v>
      </c>
      <c r="D54" s="251">
        <v>1954</v>
      </c>
      <c r="E54" s="251" t="s">
        <v>68</v>
      </c>
      <c r="F54" s="251" t="s">
        <v>82</v>
      </c>
      <c r="G54" s="22">
        <v>1891.2</v>
      </c>
      <c r="H54" s="22">
        <v>1500.8</v>
      </c>
      <c r="I54" s="15">
        <v>76</v>
      </c>
      <c r="J54" s="22">
        <f>'Форма 2'!I189</f>
        <v>5106318.45</v>
      </c>
      <c r="K54" s="22">
        <v>0</v>
      </c>
      <c r="L54" s="22">
        <v>0</v>
      </c>
      <c r="M54" s="22">
        <v>0</v>
      </c>
      <c r="N54" s="22">
        <f t="shared" si="19"/>
        <v>4934231.37</v>
      </c>
      <c r="O54" s="22">
        <v>172087.08</v>
      </c>
      <c r="P54" s="22">
        <f t="shared" si="15"/>
        <v>3402.4</v>
      </c>
      <c r="Q54" s="22">
        <f>'Форма 2'!K189</f>
        <v>5144</v>
      </c>
      <c r="R54" s="31">
        <v>2020</v>
      </c>
      <c r="S54" s="168">
        <v>1</v>
      </c>
    </row>
    <row r="55" spans="1:19" s="71" customFormat="1" ht="15.75" customHeight="1" x14ac:dyDescent="0.25">
      <c r="A55" s="236">
        <f>A54+1</f>
        <v>24</v>
      </c>
      <c r="B55" s="236">
        <v>6324</v>
      </c>
      <c r="C55" s="252" t="s">
        <v>525</v>
      </c>
      <c r="D55" s="236">
        <v>1994</v>
      </c>
      <c r="E55" s="251" t="s">
        <v>86</v>
      </c>
      <c r="F55" s="251" t="s">
        <v>87</v>
      </c>
      <c r="G55" s="22">
        <v>7539.3</v>
      </c>
      <c r="H55" s="22">
        <v>6717.2</v>
      </c>
      <c r="I55" s="15">
        <v>254</v>
      </c>
      <c r="J55" s="22">
        <f>'Форма 2'!I192</f>
        <v>4776846.99</v>
      </c>
      <c r="K55" s="22">
        <v>0</v>
      </c>
      <c r="L55" s="22">
        <v>0</v>
      </c>
      <c r="M55" s="22">
        <v>0</v>
      </c>
      <c r="N55" s="22">
        <f>J55-K55-L55-M55-O55</f>
        <v>4607910.22</v>
      </c>
      <c r="O55" s="22">
        <v>168936.77</v>
      </c>
      <c r="P55" s="22">
        <f>J55/H55</f>
        <v>711.14</v>
      </c>
      <c r="Q55" s="22">
        <f>'Форма 2'!K192</f>
        <v>1037.01</v>
      </c>
      <c r="R55" s="31">
        <v>2020</v>
      </c>
      <c r="S55" s="168">
        <v>1</v>
      </c>
    </row>
    <row r="56" spans="1:19" s="71" customFormat="1" ht="15.75" customHeight="1" x14ac:dyDescent="0.25">
      <c r="A56" s="236">
        <f t="shared" ref="A56:A58" si="28">A55+1</f>
        <v>25</v>
      </c>
      <c r="B56" s="236">
        <v>6330</v>
      </c>
      <c r="C56" s="252" t="s">
        <v>557</v>
      </c>
      <c r="D56" s="236">
        <v>1996</v>
      </c>
      <c r="E56" s="251" t="s">
        <v>86</v>
      </c>
      <c r="F56" s="251" t="s">
        <v>81</v>
      </c>
      <c r="G56" s="22">
        <v>11732.1</v>
      </c>
      <c r="H56" s="22">
        <v>10514.2</v>
      </c>
      <c r="I56" s="15">
        <v>397</v>
      </c>
      <c r="J56" s="22">
        <f>'Форма 2'!I202</f>
        <v>54232.08</v>
      </c>
      <c r="K56" s="22">
        <v>0</v>
      </c>
      <c r="L56" s="22">
        <v>0</v>
      </c>
      <c r="M56" s="22">
        <v>0</v>
      </c>
      <c r="N56" s="22">
        <f>J56-K56-L56-M56-O56</f>
        <v>54232.08</v>
      </c>
      <c r="O56" s="22">
        <v>0</v>
      </c>
      <c r="P56" s="22">
        <f>J56/H56</f>
        <v>5.16</v>
      </c>
      <c r="Q56" s="22">
        <f>'Форма 2'!K202</f>
        <v>6.14</v>
      </c>
      <c r="R56" s="31">
        <v>2020</v>
      </c>
      <c r="S56" s="168">
        <v>1</v>
      </c>
    </row>
    <row r="57" spans="1:19" s="71" customFormat="1" ht="15.75" customHeight="1" x14ac:dyDescent="0.25">
      <c r="A57" s="236">
        <f t="shared" si="28"/>
        <v>26</v>
      </c>
      <c r="B57" s="236">
        <v>6364</v>
      </c>
      <c r="C57" s="252" t="s">
        <v>388</v>
      </c>
      <c r="D57" s="251">
        <v>1967</v>
      </c>
      <c r="E57" s="256" t="s">
        <v>68</v>
      </c>
      <c r="F57" s="251" t="s">
        <v>83</v>
      </c>
      <c r="G57" s="22">
        <v>3412.3</v>
      </c>
      <c r="H57" s="22">
        <v>2466.5</v>
      </c>
      <c r="I57" s="15">
        <v>93</v>
      </c>
      <c r="J57" s="22">
        <f>'Форма 2'!I205</f>
        <v>2628448.65</v>
      </c>
      <c r="K57" s="22">
        <v>0</v>
      </c>
      <c r="L57" s="22">
        <v>0</v>
      </c>
      <c r="M57" s="22">
        <v>0</v>
      </c>
      <c r="N57" s="22">
        <f t="shared" si="19"/>
        <v>2623648.12</v>
      </c>
      <c r="O57" s="22">
        <v>4800.53</v>
      </c>
      <c r="P57" s="22">
        <f t="shared" si="15"/>
        <v>1065.6600000000001</v>
      </c>
      <c r="Q57" s="22">
        <f>'Форма 2'!K205</f>
        <v>3966</v>
      </c>
      <c r="R57" s="31">
        <v>2021</v>
      </c>
      <c r="S57" s="168">
        <v>1</v>
      </c>
    </row>
    <row r="58" spans="1:19" s="71" customFormat="1" ht="15.75" customHeight="1" x14ac:dyDescent="0.25">
      <c r="A58" s="236">
        <f t="shared" si="28"/>
        <v>27</v>
      </c>
      <c r="B58" s="236">
        <v>6373</v>
      </c>
      <c r="C58" s="252" t="s">
        <v>558</v>
      </c>
      <c r="D58" s="236">
        <v>1990</v>
      </c>
      <c r="E58" s="256" t="s">
        <v>86</v>
      </c>
      <c r="F58" s="251" t="s">
        <v>81</v>
      </c>
      <c r="G58" s="22">
        <v>11155.32</v>
      </c>
      <c r="H58" s="22">
        <v>8155.3</v>
      </c>
      <c r="I58" s="15">
        <v>308</v>
      </c>
      <c r="J58" s="22">
        <f>'Форма 2'!I208</f>
        <v>108464.16</v>
      </c>
      <c r="K58" s="22">
        <v>0</v>
      </c>
      <c r="L58" s="22">
        <v>0</v>
      </c>
      <c r="M58" s="22">
        <v>0</v>
      </c>
      <c r="N58" s="22">
        <f>J58-K58-L58-M58-O58</f>
        <v>108464.16</v>
      </c>
      <c r="O58" s="22">
        <v>0</v>
      </c>
      <c r="P58" s="22">
        <f>J58/H58</f>
        <v>13.3</v>
      </c>
      <c r="Q58" s="22">
        <f>'Форма 2'!K208</f>
        <v>15.83</v>
      </c>
      <c r="R58" s="31">
        <v>2020</v>
      </c>
      <c r="S58" s="168">
        <v>1</v>
      </c>
    </row>
    <row r="59" spans="1:19" s="71" customFormat="1" ht="15.75" customHeight="1" x14ac:dyDescent="0.25">
      <c r="A59" s="236">
        <f>A58+1</f>
        <v>28</v>
      </c>
      <c r="B59" s="236">
        <v>6374</v>
      </c>
      <c r="C59" s="252" t="s">
        <v>470</v>
      </c>
      <c r="D59" s="251" t="s">
        <v>477</v>
      </c>
      <c r="E59" s="256" t="s">
        <v>86</v>
      </c>
      <c r="F59" s="251" t="s">
        <v>83</v>
      </c>
      <c r="G59" s="22">
        <v>12629.25</v>
      </c>
      <c r="H59" s="22">
        <v>9480</v>
      </c>
      <c r="I59" s="15">
        <v>358</v>
      </c>
      <c r="J59" s="22">
        <f>'Форма 2'!I213</f>
        <v>3463850.81</v>
      </c>
      <c r="K59" s="22">
        <v>0</v>
      </c>
      <c r="L59" s="22">
        <v>0</v>
      </c>
      <c r="M59" s="22">
        <v>0</v>
      </c>
      <c r="N59" s="22">
        <f>J59-K59-L59-M59-O59</f>
        <v>3182289.53</v>
      </c>
      <c r="O59" s="22">
        <v>281561.28000000003</v>
      </c>
      <c r="P59" s="22">
        <f t="shared" si="15"/>
        <v>365.39</v>
      </c>
      <c r="Q59" s="22">
        <f>'Форма 2'!K213</f>
        <v>1199.33</v>
      </c>
      <c r="R59" s="31">
        <v>2021</v>
      </c>
      <c r="S59" s="168">
        <v>1</v>
      </c>
    </row>
    <row r="60" spans="1:19" s="71" customFormat="1" ht="15.75" customHeight="1" x14ac:dyDescent="0.25">
      <c r="A60" s="236">
        <f t="shared" si="26"/>
        <v>29</v>
      </c>
      <c r="B60" s="236">
        <v>6387</v>
      </c>
      <c r="C60" s="252" t="s">
        <v>471</v>
      </c>
      <c r="D60" s="236">
        <v>1955</v>
      </c>
      <c r="E60" s="256" t="s">
        <v>68</v>
      </c>
      <c r="F60" s="251" t="s">
        <v>83</v>
      </c>
      <c r="G60" s="22">
        <v>1507</v>
      </c>
      <c r="H60" s="22">
        <v>880</v>
      </c>
      <c r="I60" s="15">
        <v>33</v>
      </c>
      <c r="J60" s="22">
        <f>'Форма 2'!I224</f>
        <v>1610218</v>
      </c>
      <c r="K60" s="22">
        <v>0</v>
      </c>
      <c r="L60" s="22">
        <v>0</v>
      </c>
      <c r="M60" s="22">
        <v>0</v>
      </c>
      <c r="N60" s="22">
        <f>J60-K60-L60-M60-O60</f>
        <v>1555342.07</v>
      </c>
      <c r="O60" s="22">
        <v>54875.93</v>
      </c>
      <c r="P60" s="22">
        <f>J60/H60</f>
        <v>1829.79</v>
      </c>
      <c r="Q60" s="22">
        <f>'Форма 2'!K224</f>
        <v>7787</v>
      </c>
      <c r="R60" s="31">
        <v>2021</v>
      </c>
      <c r="S60" s="168">
        <v>1</v>
      </c>
    </row>
    <row r="61" spans="1:19" s="71" customFormat="1" ht="15.75" customHeight="1" x14ac:dyDescent="0.25">
      <c r="A61" s="236">
        <f>A60+1</f>
        <v>30</v>
      </c>
      <c r="B61" s="236">
        <v>6407</v>
      </c>
      <c r="C61" s="252" t="s">
        <v>184</v>
      </c>
      <c r="D61" s="251">
        <v>1978</v>
      </c>
      <c r="E61" s="251" t="s">
        <v>68</v>
      </c>
      <c r="F61" s="251" t="s">
        <v>82</v>
      </c>
      <c r="G61" s="22">
        <v>3604.6</v>
      </c>
      <c r="H61" s="22">
        <v>2722</v>
      </c>
      <c r="I61" s="15">
        <v>103</v>
      </c>
      <c r="J61" s="22">
        <f>'Форма 2'!I227</f>
        <v>8106371.8300000001</v>
      </c>
      <c r="K61" s="22">
        <v>0</v>
      </c>
      <c r="L61" s="22">
        <v>0</v>
      </c>
      <c r="M61" s="22">
        <v>0</v>
      </c>
      <c r="N61" s="22">
        <f t="shared" si="19"/>
        <v>7850421.9500000002</v>
      </c>
      <c r="O61" s="22">
        <v>255949.88</v>
      </c>
      <c r="P61" s="22">
        <f t="shared" si="15"/>
        <v>2978.09</v>
      </c>
      <c r="Q61" s="22">
        <f>'Форма 2'!K227</f>
        <v>3878</v>
      </c>
      <c r="R61" s="31">
        <v>2020</v>
      </c>
      <c r="S61" s="168">
        <v>1</v>
      </c>
    </row>
    <row r="62" spans="1:19" s="71" customFormat="1" ht="15.75" customHeight="1" x14ac:dyDescent="0.25">
      <c r="A62" s="236">
        <f t="shared" ref="A62" si="29">A61+1</f>
        <v>31</v>
      </c>
      <c r="B62" s="236">
        <v>6408</v>
      </c>
      <c r="C62" s="252" t="s">
        <v>559</v>
      </c>
      <c r="D62" s="236">
        <v>1994</v>
      </c>
      <c r="E62" s="251" t="s">
        <v>86</v>
      </c>
      <c r="F62" s="251" t="s">
        <v>81</v>
      </c>
      <c r="G62" s="22">
        <v>4545.7</v>
      </c>
      <c r="H62" s="22">
        <v>3930.3</v>
      </c>
      <c r="I62" s="15">
        <v>102</v>
      </c>
      <c r="J62" s="22">
        <f>'Форма 2'!I230</f>
        <v>62882</v>
      </c>
      <c r="K62" s="22">
        <v>0</v>
      </c>
      <c r="L62" s="22">
        <v>0</v>
      </c>
      <c r="M62" s="22">
        <v>0</v>
      </c>
      <c r="N62" s="22">
        <f t="shared" si="19"/>
        <v>62882</v>
      </c>
      <c r="O62" s="22">
        <v>0</v>
      </c>
      <c r="P62" s="22">
        <f>J62/H62</f>
        <v>16</v>
      </c>
      <c r="Q62" s="22">
        <f>'Форма 2'!K230</f>
        <v>16.420000000000002</v>
      </c>
      <c r="R62" s="31">
        <v>2020</v>
      </c>
      <c r="S62" s="168">
        <v>1</v>
      </c>
    </row>
    <row r="63" spans="1:19" s="71" customFormat="1" ht="15.75" customHeight="1" x14ac:dyDescent="0.25">
      <c r="A63" s="236">
        <f>A62+1</f>
        <v>32</v>
      </c>
      <c r="B63" s="236">
        <v>6413</v>
      </c>
      <c r="C63" s="252" t="s">
        <v>185</v>
      </c>
      <c r="D63" s="251">
        <v>1980</v>
      </c>
      <c r="E63" s="251" t="s">
        <v>68</v>
      </c>
      <c r="F63" s="251" t="s">
        <v>82</v>
      </c>
      <c r="G63" s="22">
        <v>11003.22</v>
      </c>
      <c r="H63" s="22">
        <v>8338.86</v>
      </c>
      <c r="I63" s="15">
        <v>315</v>
      </c>
      <c r="J63" s="22">
        <f>'Форма 2'!I233</f>
        <v>23261796.940000001</v>
      </c>
      <c r="K63" s="22">
        <v>0</v>
      </c>
      <c r="L63" s="22">
        <v>0</v>
      </c>
      <c r="M63" s="22">
        <v>0</v>
      </c>
      <c r="N63" s="22">
        <f t="shared" si="19"/>
        <v>22477693.27</v>
      </c>
      <c r="O63" s="22">
        <v>784103.67</v>
      </c>
      <c r="P63" s="22">
        <f t="shared" si="15"/>
        <v>2789.57</v>
      </c>
      <c r="Q63" s="22">
        <f>'Форма 2'!K233</f>
        <v>3878</v>
      </c>
      <c r="R63" s="31">
        <v>2020</v>
      </c>
      <c r="S63" s="168">
        <v>1</v>
      </c>
    </row>
    <row r="64" spans="1:19" s="71" customFormat="1" ht="15.75" customHeight="1" x14ac:dyDescent="0.25">
      <c r="A64" s="236">
        <f t="shared" si="26"/>
        <v>33</v>
      </c>
      <c r="B64" s="236">
        <v>8214</v>
      </c>
      <c r="C64" s="252" t="s">
        <v>258</v>
      </c>
      <c r="D64" s="251">
        <v>2010</v>
      </c>
      <c r="E64" s="251" t="s">
        <v>68</v>
      </c>
      <c r="F64" s="251" t="s">
        <v>82</v>
      </c>
      <c r="G64" s="22">
        <v>10767.5</v>
      </c>
      <c r="H64" s="22">
        <v>7976.7</v>
      </c>
      <c r="I64" s="15">
        <v>254</v>
      </c>
      <c r="J64" s="22">
        <f>'Форма 2'!I236</f>
        <v>4786703</v>
      </c>
      <c r="K64" s="22">
        <v>0</v>
      </c>
      <c r="L64" s="22">
        <v>0</v>
      </c>
      <c r="M64" s="22">
        <v>0</v>
      </c>
      <c r="N64" s="22">
        <f t="shared" si="19"/>
        <v>4721724.82</v>
      </c>
      <c r="O64" s="22">
        <v>64978.18</v>
      </c>
      <c r="P64" s="22">
        <f t="shared" si="15"/>
        <v>600.09</v>
      </c>
      <c r="Q64" s="22">
        <f>'Форма 2'!K236</f>
        <v>3878</v>
      </c>
      <c r="R64" s="31">
        <v>2020</v>
      </c>
      <c r="S64" s="168">
        <v>1</v>
      </c>
    </row>
    <row r="65" spans="1:19" s="71" customFormat="1" ht="15.75" customHeight="1" x14ac:dyDescent="0.25">
      <c r="A65" s="236">
        <f t="shared" si="26"/>
        <v>34</v>
      </c>
      <c r="B65" s="236">
        <v>6480</v>
      </c>
      <c r="C65" s="252" t="s">
        <v>118</v>
      </c>
      <c r="D65" s="251">
        <v>1954</v>
      </c>
      <c r="E65" s="251" t="s">
        <v>117</v>
      </c>
      <c r="F65" s="251" t="s">
        <v>82</v>
      </c>
      <c r="G65" s="22">
        <v>434.6</v>
      </c>
      <c r="H65" s="22">
        <v>402.4</v>
      </c>
      <c r="I65" s="15">
        <v>24</v>
      </c>
      <c r="J65" s="22">
        <f>'Форма 2'!I239</f>
        <v>2711787.73</v>
      </c>
      <c r="K65" s="22">
        <v>0</v>
      </c>
      <c r="L65" s="22">
        <v>0</v>
      </c>
      <c r="M65" s="22">
        <v>0</v>
      </c>
      <c r="N65" s="22">
        <f t="shared" si="19"/>
        <v>2626319.12</v>
      </c>
      <c r="O65" s="22">
        <v>85468.61</v>
      </c>
      <c r="P65" s="22">
        <f t="shared" si="15"/>
        <v>6739.04</v>
      </c>
      <c r="Q65" s="22">
        <f>'Форма 2'!K239</f>
        <v>12034</v>
      </c>
      <c r="R65" s="31">
        <v>2020</v>
      </c>
      <c r="S65" s="168">
        <v>1</v>
      </c>
    </row>
    <row r="66" spans="1:19" s="71" customFormat="1" ht="15.75" customHeight="1" x14ac:dyDescent="0.25">
      <c r="A66" s="236">
        <f t="shared" si="26"/>
        <v>35</v>
      </c>
      <c r="B66" s="236">
        <v>6490</v>
      </c>
      <c r="C66" s="252" t="s">
        <v>166</v>
      </c>
      <c r="D66" s="251">
        <v>1966</v>
      </c>
      <c r="E66" s="251" t="s">
        <v>68</v>
      </c>
      <c r="F66" s="251" t="s">
        <v>82</v>
      </c>
      <c r="G66" s="22">
        <v>3827.5</v>
      </c>
      <c r="H66" s="22">
        <v>3518.3</v>
      </c>
      <c r="I66" s="15">
        <v>190</v>
      </c>
      <c r="J66" s="22">
        <f>'Форма 2'!I244</f>
        <v>9584212</v>
      </c>
      <c r="K66" s="22">
        <v>0</v>
      </c>
      <c r="L66" s="22">
        <v>0</v>
      </c>
      <c r="M66" s="22">
        <v>0</v>
      </c>
      <c r="N66" s="22">
        <f t="shared" si="19"/>
        <v>9253385.9800000004</v>
      </c>
      <c r="O66" s="22">
        <v>330826.02</v>
      </c>
      <c r="P66" s="22">
        <f t="shared" si="15"/>
        <v>2724.1</v>
      </c>
      <c r="Q66" s="22">
        <f>'Форма 2'!K244</f>
        <v>3878</v>
      </c>
      <c r="R66" s="31">
        <v>2020</v>
      </c>
      <c r="S66" s="168">
        <v>1</v>
      </c>
    </row>
    <row r="67" spans="1:19" s="71" customFormat="1" ht="15.75" customHeight="1" x14ac:dyDescent="0.25">
      <c r="A67" s="236">
        <f t="shared" si="26"/>
        <v>36</v>
      </c>
      <c r="B67" s="236">
        <v>6550</v>
      </c>
      <c r="C67" s="252" t="s">
        <v>472</v>
      </c>
      <c r="D67" s="236">
        <v>1957</v>
      </c>
      <c r="E67" s="251" t="s">
        <v>478</v>
      </c>
      <c r="F67" s="251" t="s">
        <v>82</v>
      </c>
      <c r="G67" s="9">
        <v>531.6</v>
      </c>
      <c r="H67" s="9">
        <v>485.6</v>
      </c>
      <c r="I67" s="11">
        <v>27</v>
      </c>
      <c r="J67" s="22">
        <f>'Форма 2'!I247</f>
        <v>958673.6</v>
      </c>
      <c r="K67" s="9">
        <v>0</v>
      </c>
      <c r="L67" s="9">
        <v>0</v>
      </c>
      <c r="M67" s="9">
        <v>0</v>
      </c>
      <c r="N67" s="9">
        <f>J67-K67-L67-M67-O67</f>
        <v>935980.47</v>
      </c>
      <c r="O67" s="9">
        <v>22693.13</v>
      </c>
      <c r="P67" s="9">
        <f t="shared" si="15"/>
        <v>1974.2</v>
      </c>
      <c r="Q67" s="22">
        <f>'Форма 2'!K247</f>
        <v>5668</v>
      </c>
      <c r="R67" s="31">
        <v>2020</v>
      </c>
      <c r="S67" s="168">
        <v>1</v>
      </c>
    </row>
    <row r="68" spans="1:19" s="71" customFormat="1" ht="15.75" customHeight="1" x14ac:dyDescent="0.25">
      <c r="A68" s="236">
        <f>A67+1</f>
        <v>37</v>
      </c>
      <c r="B68" s="236">
        <v>6510</v>
      </c>
      <c r="C68" s="252" t="s">
        <v>389</v>
      </c>
      <c r="D68" s="251">
        <v>1930</v>
      </c>
      <c r="E68" s="251" t="s">
        <v>158</v>
      </c>
      <c r="F68" s="251" t="s">
        <v>83</v>
      </c>
      <c r="G68" s="22">
        <v>502.9</v>
      </c>
      <c r="H68" s="22">
        <v>461.9</v>
      </c>
      <c r="I68" s="15">
        <v>17</v>
      </c>
      <c r="J68" s="22">
        <f>'Форма 2'!I250</f>
        <v>282861.38</v>
      </c>
      <c r="K68" s="22">
        <v>0</v>
      </c>
      <c r="L68" s="22">
        <v>0</v>
      </c>
      <c r="M68" s="22">
        <v>0</v>
      </c>
      <c r="N68" s="22">
        <f>J68-K68-L68-M68-O68</f>
        <v>269115.84999999998</v>
      </c>
      <c r="O68" s="22">
        <v>13745.53</v>
      </c>
      <c r="P68" s="22">
        <f t="shared" si="15"/>
        <v>612.39</v>
      </c>
      <c r="Q68" s="22">
        <f>'Форма 2'!K250</f>
        <v>3603</v>
      </c>
      <c r="R68" s="31">
        <v>2021</v>
      </c>
      <c r="S68" s="168">
        <v>1</v>
      </c>
    </row>
    <row r="69" spans="1:19" s="71" customFormat="1" ht="15.75" customHeight="1" x14ac:dyDescent="0.25">
      <c r="A69" s="279" t="s">
        <v>41</v>
      </c>
      <c r="B69" s="279"/>
      <c r="C69" s="279"/>
      <c r="D69" s="10" t="s">
        <v>13</v>
      </c>
      <c r="E69" s="9" t="s">
        <v>13</v>
      </c>
      <c r="F69" s="9" t="s">
        <v>13</v>
      </c>
      <c r="G69" s="9">
        <f>SUM(G70:G83)</f>
        <v>81961.7</v>
      </c>
      <c r="H69" s="9">
        <f t="shared" ref="H69:O69" si="30">SUM(H70:H83)</f>
        <v>66514.399999999994</v>
      </c>
      <c r="I69" s="11">
        <f t="shared" si="30"/>
        <v>2870</v>
      </c>
      <c r="J69" s="9">
        <f t="shared" si="30"/>
        <v>66654757.590000004</v>
      </c>
      <c r="K69" s="9">
        <f t="shared" si="30"/>
        <v>0</v>
      </c>
      <c r="L69" s="9">
        <f t="shared" si="30"/>
        <v>0</v>
      </c>
      <c r="M69" s="9">
        <f t="shared" si="30"/>
        <v>0</v>
      </c>
      <c r="N69" s="9">
        <f t="shared" si="30"/>
        <v>64966843.43</v>
      </c>
      <c r="O69" s="9">
        <f t="shared" si="30"/>
        <v>1687914.16</v>
      </c>
      <c r="P69" s="9" t="s">
        <v>13</v>
      </c>
      <c r="Q69" s="9" t="s">
        <v>13</v>
      </c>
      <c r="R69" s="9" t="s">
        <v>13</v>
      </c>
      <c r="S69" s="15" t="s">
        <v>13</v>
      </c>
    </row>
    <row r="70" spans="1:19" s="71" customFormat="1" ht="15.75" customHeight="1" x14ac:dyDescent="0.25">
      <c r="A70" s="33">
        <v>1</v>
      </c>
      <c r="B70" s="251">
        <v>5108</v>
      </c>
      <c r="C70" s="234" t="s">
        <v>235</v>
      </c>
      <c r="D70" s="33">
        <v>1973</v>
      </c>
      <c r="E70" s="33" t="s">
        <v>107</v>
      </c>
      <c r="F70" s="34" t="s">
        <v>82</v>
      </c>
      <c r="G70" s="35">
        <v>2778.4</v>
      </c>
      <c r="H70" s="9">
        <v>2556</v>
      </c>
      <c r="I70" s="30">
        <v>159</v>
      </c>
      <c r="J70" s="9">
        <f>'Форма 2'!I256</f>
        <v>6505232.8700000001</v>
      </c>
      <c r="K70" s="36">
        <v>0</v>
      </c>
      <c r="L70" s="36">
        <v>0</v>
      </c>
      <c r="M70" s="36">
        <v>0</v>
      </c>
      <c r="N70" s="9">
        <f t="shared" ref="N70:N81" si="31">J70-K70-L70-M70-O70</f>
        <v>6373395.1699999999</v>
      </c>
      <c r="O70" s="9">
        <v>131837.70000000001</v>
      </c>
      <c r="P70" s="9">
        <f t="shared" ref="P70:P81" si="32">J70/H70</f>
        <v>2545.08</v>
      </c>
      <c r="Q70" s="9">
        <f>'Форма 2'!K256</f>
        <v>4813</v>
      </c>
      <c r="R70" s="37" t="s">
        <v>289</v>
      </c>
      <c r="S70" s="15">
        <v>1</v>
      </c>
    </row>
    <row r="71" spans="1:19" s="71" customFormat="1" ht="15.75" customHeight="1" x14ac:dyDescent="0.25">
      <c r="A71" s="33">
        <f t="shared" ref="A71:A81" si="33">A70+1</f>
        <v>2</v>
      </c>
      <c r="B71" s="247">
        <v>5114</v>
      </c>
      <c r="C71" s="234" t="s">
        <v>236</v>
      </c>
      <c r="D71" s="33">
        <v>1973</v>
      </c>
      <c r="E71" s="33" t="s">
        <v>107</v>
      </c>
      <c r="F71" s="34" t="s">
        <v>82</v>
      </c>
      <c r="G71" s="35">
        <v>1002.9</v>
      </c>
      <c r="H71" s="9">
        <v>909.6</v>
      </c>
      <c r="I71" s="30">
        <v>56</v>
      </c>
      <c r="J71" s="9">
        <f>'Форма 2'!I265</f>
        <v>2610366.5499999998</v>
      </c>
      <c r="K71" s="36">
        <v>0</v>
      </c>
      <c r="L71" s="36">
        <v>0</v>
      </c>
      <c r="M71" s="36">
        <v>0</v>
      </c>
      <c r="N71" s="9">
        <f t="shared" si="31"/>
        <v>2551917.96</v>
      </c>
      <c r="O71" s="9">
        <v>58448.59</v>
      </c>
      <c r="P71" s="9">
        <f t="shared" si="32"/>
        <v>2869.8</v>
      </c>
      <c r="Q71" s="9">
        <f>'Форма 2'!K265</f>
        <v>4813</v>
      </c>
      <c r="R71" s="37" t="s">
        <v>289</v>
      </c>
      <c r="S71" s="15">
        <v>1</v>
      </c>
    </row>
    <row r="72" spans="1:19" s="71" customFormat="1" ht="15.75" customHeight="1" x14ac:dyDescent="0.25">
      <c r="A72" s="33">
        <f t="shared" si="33"/>
        <v>3</v>
      </c>
      <c r="B72" s="247">
        <v>5117</v>
      </c>
      <c r="C72" s="234" t="s">
        <v>340</v>
      </c>
      <c r="D72" s="33">
        <v>1976</v>
      </c>
      <c r="E72" s="33" t="s">
        <v>68</v>
      </c>
      <c r="F72" s="33" t="s">
        <v>81</v>
      </c>
      <c r="G72" s="35">
        <v>2810.3</v>
      </c>
      <c r="H72" s="9">
        <v>2307.3000000000002</v>
      </c>
      <c r="I72" s="30">
        <v>87</v>
      </c>
      <c r="J72" s="9">
        <f>'Форма 2'!I274</f>
        <v>385319.1</v>
      </c>
      <c r="K72" s="36">
        <v>0</v>
      </c>
      <c r="L72" s="36">
        <v>0</v>
      </c>
      <c r="M72" s="36">
        <v>0</v>
      </c>
      <c r="N72" s="9">
        <f t="shared" si="31"/>
        <v>378256.69</v>
      </c>
      <c r="O72" s="9">
        <v>7062.41</v>
      </c>
      <c r="P72" s="9">
        <f t="shared" si="32"/>
        <v>167</v>
      </c>
      <c r="Q72" s="9">
        <f>'Форма 2'!K274</f>
        <v>167</v>
      </c>
      <c r="R72" s="37" t="s">
        <v>289</v>
      </c>
      <c r="S72" s="15">
        <v>1</v>
      </c>
    </row>
    <row r="73" spans="1:19" s="71" customFormat="1" ht="15.75" customHeight="1" x14ac:dyDescent="0.25">
      <c r="A73" s="33">
        <f t="shared" si="33"/>
        <v>4</v>
      </c>
      <c r="B73" s="249">
        <v>5127</v>
      </c>
      <c r="C73" s="234" t="s">
        <v>237</v>
      </c>
      <c r="D73" s="33">
        <v>1974</v>
      </c>
      <c r="E73" s="33" t="s">
        <v>107</v>
      </c>
      <c r="F73" s="34" t="s">
        <v>223</v>
      </c>
      <c r="G73" s="35">
        <v>3744.4</v>
      </c>
      <c r="H73" s="9">
        <v>3273.7</v>
      </c>
      <c r="I73" s="30">
        <v>187</v>
      </c>
      <c r="J73" s="9">
        <f>'Форма 2'!I276</f>
        <v>2795970.22</v>
      </c>
      <c r="K73" s="36">
        <v>0</v>
      </c>
      <c r="L73" s="36">
        <v>0</v>
      </c>
      <c r="M73" s="36">
        <v>0</v>
      </c>
      <c r="N73" s="9">
        <f t="shared" si="31"/>
        <v>2621502.91</v>
      </c>
      <c r="O73" s="9">
        <v>174467.31</v>
      </c>
      <c r="P73" s="9">
        <f t="shared" si="32"/>
        <v>854.07</v>
      </c>
      <c r="Q73" s="9">
        <f>'Форма 2'!K276</f>
        <v>4073</v>
      </c>
      <c r="R73" s="37" t="s">
        <v>375</v>
      </c>
      <c r="S73" s="15">
        <v>1</v>
      </c>
    </row>
    <row r="74" spans="1:19" s="71" customFormat="1" ht="15.75" customHeight="1" x14ac:dyDescent="0.25">
      <c r="A74" s="33">
        <f t="shared" si="33"/>
        <v>5</v>
      </c>
      <c r="B74" s="251">
        <v>5128</v>
      </c>
      <c r="C74" s="234" t="s">
        <v>238</v>
      </c>
      <c r="D74" s="33">
        <v>1976</v>
      </c>
      <c r="E74" s="33" t="s">
        <v>107</v>
      </c>
      <c r="F74" s="34" t="s">
        <v>82</v>
      </c>
      <c r="G74" s="35">
        <v>3176.8</v>
      </c>
      <c r="H74" s="9">
        <v>3054.1</v>
      </c>
      <c r="I74" s="30">
        <v>97</v>
      </c>
      <c r="J74" s="9">
        <f>'Форма 2'!I281</f>
        <v>5439901.8399999999</v>
      </c>
      <c r="K74" s="36">
        <v>0</v>
      </c>
      <c r="L74" s="36">
        <v>0</v>
      </c>
      <c r="M74" s="36">
        <v>0</v>
      </c>
      <c r="N74" s="9">
        <f>J74-K74-L74-M74-O74</f>
        <v>5323165.2699999996</v>
      </c>
      <c r="O74" s="9">
        <v>116736.57</v>
      </c>
      <c r="P74" s="9">
        <f t="shared" si="32"/>
        <v>1781.18</v>
      </c>
      <c r="Q74" s="9">
        <f>'Форма 2'!K281</f>
        <v>4160</v>
      </c>
      <c r="R74" s="37" t="s">
        <v>289</v>
      </c>
      <c r="S74" s="15">
        <v>1</v>
      </c>
    </row>
    <row r="75" spans="1:19" s="71" customFormat="1" ht="15.75" customHeight="1" x14ac:dyDescent="0.25">
      <c r="A75" s="33">
        <f t="shared" si="33"/>
        <v>6</v>
      </c>
      <c r="B75" s="238">
        <v>5133</v>
      </c>
      <c r="C75" s="234" t="s">
        <v>479</v>
      </c>
      <c r="D75" s="34">
        <v>1979</v>
      </c>
      <c r="E75" s="33" t="s">
        <v>68</v>
      </c>
      <c r="F75" s="34" t="s">
        <v>114</v>
      </c>
      <c r="G75" s="35">
        <v>10531.4</v>
      </c>
      <c r="H75" s="9">
        <v>8595.5</v>
      </c>
      <c r="I75" s="30">
        <v>406</v>
      </c>
      <c r="J75" s="9">
        <f>'Форма 2'!I290</f>
        <v>10781438.140000001</v>
      </c>
      <c r="K75" s="36">
        <v>0</v>
      </c>
      <c r="L75" s="36">
        <v>0</v>
      </c>
      <c r="M75" s="36">
        <v>0</v>
      </c>
      <c r="N75" s="9">
        <f t="shared" ref="N75" si="34">J75-K75-L75-M75-O75</f>
        <v>10587332.689999999</v>
      </c>
      <c r="O75" s="9">
        <v>194105.45</v>
      </c>
      <c r="P75" s="9">
        <f t="shared" si="32"/>
        <v>1254.31</v>
      </c>
      <c r="Q75" s="9">
        <f>'Форма 2'!K290</f>
        <v>2914</v>
      </c>
      <c r="R75" s="37" t="s">
        <v>289</v>
      </c>
      <c r="S75" s="15">
        <v>1</v>
      </c>
    </row>
    <row r="76" spans="1:19" s="71" customFormat="1" ht="15.75" customHeight="1" x14ac:dyDescent="0.25">
      <c r="A76" s="33">
        <f>A75+1</f>
        <v>7</v>
      </c>
      <c r="B76" s="247">
        <v>5172</v>
      </c>
      <c r="C76" s="234" t="s">
        <v>242</v>
      </c>
      <c r="D76" s="33">
        <v>1981</v>
      </c>
      <c r="E76" s="33" t="s">
        <v>68</v>
      </c>
      <c r="F76" s="34" t="s">
        <v>223</v>
      </c>
      <c r="G76" s="35">
        <v>4631</v>
      </c>
      <c r="H76" s="35">
        <v>3986</v>
      </c>
      <c r="I76" s="39">
        <v>223</v>
      </c>
      <c r="J76" s="9">
        <f>'Форма 2'!I293</f>
        <v>4231288.51</v>
      </c>
      <c r="K76" s="9">
        <v>0</v>
      </c>
      <c r="L76" s="36">
        <v>0</v>
      </c>
      <c r="M76" s="36">
        <v>0</v>
      </c>
      <c r="N76" s="9">
        <f>J76-K76-L76-M76-O76</f>
        <v>3966160.06</v>
      </c>
      <c r="O76" s="9">
        <v>265128.45</v>
      </c>
      <c r="P76" s="9">
        <f t="shared" si="32"/>
        <v>1061.54</v>
      </c>
      <c r="Q76" s="9">
        <f>'Форма 2'!K293</f>
        <v>3559</v>
      </c>
      <c r="R76" s="37" t="s">
        <v>375</v>
      </c>
      <c r="S76" s="15">
        <v>1</v>
      </c>
    </row>
    <row r="77" spans="1:19" s="71" customFormat="1" ht="15.75" customHeight="1" x14ac:dyDescent="0.25">
      <c r="A77" s="33">
        <f>A76+1</f>
        <v>8</v>
      </c>
      <c r="B77" s="237">
        <v>5195</v>
      </c>
      <c r="C77" s="234" t="s">
        <v>565</v>
      </c>
      <c r="D77" s="34">
        <v>1990</v>
      </c>
      <c r="E77" s="33" t="s">
        <v>86</v>
      </c>
      <c r="F77" s="34" t="s">
        <v>81</v>
      </c>
      <c r="G77" s="35">
        <v>6814.4</v>
      </c>
      <c r="H77" s="35">
        <v>6541.2</v>
      </c>
      <c r="I77" s="39">
        <v>247</v>
      </c>
      <c r="J77" s="9">
        <f>'Форма 2'!I295</f>
        <v>96843</v>
      </c>
      <c r="K77" s="9">
        <v>0</v>
      </c>
      <c r="L77" s="36">
        <v>0</v>
      </c>
      <c r="M77" s="36">
        <v>0</v>
      </c>
      <c r="N77" s="9">
        <f>J77-K77-L77-M77-O77</f>
        <v>96843</v>
      </c>
      <c r="O77" s="9">
        <v>0</v>
      </c>
      <c r="P77" s="9">
        <f>J77/H77</f>
        <v>14.81</v>
      </c>
      <c r="Q77" s="9">
        <f>'Форма 2'!K295</f>
        <v>14.81</v>
      </c>
      <c r="R77" s="37" t="s">
        <v>289</v>
      </c>
      <c r="S77" s="15">
        <v>1</v>
      </c>
    </row>
    <row r="78" spans="1:19" s="71" customFormat="1" ht="15.75" customHeight="1" x14ac:dyDescent="0.25">
      <c r="A78" s="33">
        <f>A77+1</f>
        <v>9</v>
      </c>
      <c r="B78" s="238">
        <v>5221</v>
      </c>
      <c r="C78" s="234" t="s">
        <v>446</v>
      </c>
      <c r="D78" s="34">
        <v>1993</v>
      </c>
      <c r="E78" s="33" t="s">
        <v>86</v>
      </c>
      <c r="F78" s="251" t="s">
        <v>87</v>
      </c>
      <c r="G78" s="35">
        <v>3619.6</v>
      </c>
      <c r="H78" s="35">
        <v>3149</v>
      </c>
      <c r="I78" s="39">
        <v>119</v>
      </c>
      <c r="J78" s="9">
        <f>'Форма 2'!I299</f>
        <v>1864588.6</v>
      </c>
      <c r="K78" s="9">
        <v>0</v>
      </c>
      <c r="L78" s="36">
        <v>0</v>
      </c>
      <c r="M78" s="36">
        <v>0</v>
      </c>
      <c r="N78" s="9">
        <f>J78-K78-L78-M78-O78</f>
        <v>1822031.17</v>
      </c>
      <c r="O78" s="9">
        <v>42557.43</v>
      </c>
      <c r="P78" s="9">
        <f>J78/H78</f>
        <v>592.12</v>
      </c>
      <c r="Q78" s="9">
        <f>'Форма 2'!K299</f>
        <v>737.34</v>
      </c>
      <c r="R78" s="38" t="s">
        <v>289</v>
      </c>
      <c r="S78" s="15">
        <v>1</v>
      </c>
    </row>
    <row r="79" spans="1:19" s="71" customFormat="1" ht="15.75" customHeight="1" x14ac:dyDescent="0.25">
      <c r="A79" s="33">
        <f>A78+1</f>
        <v>10</v>
      </c>
      <c r="B79" s="251">
        <v>5257</v>
      </c>
      <c r="C79" s="234" t="s">
        <v>253</v>
      </c>
      <c r="D79" s="33">
        <v>1978</v>
      </c>
      <c r="E79" s="33" t="s">
        <v>68</v>
      </c>
      <c r="F79" s="34" t="s">
        <v>82</v>
      </c>
      <c r="G79" s="35">
        <v>713.8</v>
      </c>
      <c r="H79" s="35">
        <v>576.6</v>
      </c>
      <c r="I79" s="39">
        <v>22</v>
      </c>
      <c r="J79" s="9">
        <f>'Форма 2'!I303</f>
        <v>3853825.52</v>
      </c>
      <c r="K79" s="9">
        <v>0</v>
      </c>
      <c r="L79" s="36">
        <v>0</v>
      </c>
      <c r="M79" s="36">
        <v>0</v>
      </c>
      <c r="N79" s="9">
        <f>J79-K79-L79-M79-O79</f>
        <v>3775803.95</v>
      </c>
      <c r="O79" s="9">
        <v>78021.570000000007</v>
      </c>
      <c r="P79" s="9">
        <f t="shared" si="32"/>
        <v>6683.71</v>
      </c>
      <c r="Q79" s="9">
        <f>'Форма 2'!K303</f>
        <v>8203</v>
      </c>
      <c r="R79" s="37" t="s">
        <v>289</v>
      </c>
      <c r="S79" s="15">
        <v>1</v>
      </c>
    </row>
    <row r="80" spans="1:19" s="71" customFormat="1" ht="15.75" customHeight="1" x14ac:dyDescent="0.25">
      <c r="A80" s="33">
        <f t="shared" si="33"/>
        <v>11</v>
      </c>
      <c r="B80" s="251">
        <v>5259</v>
      </c>
      <c r="C80" s="234" t="s">
        <v>254</v>
      </c>
      <c r="D80" s="33">
        <v>1978</v>
      </c>
      <c r="E80" s="33" t="s">
        <v>68</v>
      </c>
      <c r="F80" s="34" t="s">
        <v>82</v>
      </c>
      <c r="G80" s="35">
        <v>696.4</v>
      </c>
      <c r="H80" s="9">
        <v>565.6</v>
      </c>
      <c r="I80" s="30">
        <v>21</v>
      </c>
      <c r="J80" s="9">
        <f>'Форма 2'!I306</f>
        <v>3850338.9</v>
      </c>
      <c r="K80" s="36">
        <v>0</v>
      </c>
      <c r="L80" s="36">
        <v>0</v>
      </c>
      <c r="M80" s="36">
        <v>0</v>
      </c>
      <c r="N80" s="9">
        <f>J80-K80-L80-M80-O80</f>
        <v>3773805.77</v>
      </c>
      <c r="O80" s="9">
        <v>76533.13</v>
      </c>
      <c r="P80" s="9">
        <f t="shared" si="32"/>
        <v>6807.53</v>
      </c>
      <c r="Q80" s="9">
        <f>'Форма 2'!K306</f>
        <v>8203</v>
      </c>
      <c r="R80" s="37" t="s">
        <v>289</v>
      </c>
      <c r="S80" s="15">
        <v>1</v>
      </c>
    </row>
    <row r="81" spans="1:19" s="71" customFormat="1" ht="15.75" customHeight="1" x14ac:dyDescent="0.25">
      <c r="A81" s="33">
        <f t="shared" si="33"/>
        <v>12</v>
      </c>
      <c r="B81" s="247">
        <v>5263</v>
      </c>
      <c r="C81" s="234" t="s">
        <v>255</v>
      </c>
      <c r="D81" s="33">
        <v>1978</v>
      </c>
      <c r="E81" s="33" t="s">
        <v>68</v>
      </c>
      <c r="F81" s="34" t="s">
        <v>82</v>
      </c>
      <c r="G81" s="35">
        <v>697.8</v>
      </c>
      <c r="H81" s="9">
        <v>560.6</v>
      </c>
      <c r="I81" s="30">
        <v>21</v>
      </c>
      <c r="J81" s="9">
        <f>'Форма 2'!I309</f>
        <v>3962971.53</v>
      </c>
      <c r="K81" s="36">
        <v>0</v>
      </c>
      <c r="L81" s="36">
        <v>0</v>
      </c>
      <c r="M81" s="36">
        <v>0</v>
      </c>
      <c r="N81" s="9">
        <f t="shared" si="31"/>
        <v>3888087.72</v>
      </c>
      <c r="O81" s="9">
        <v>74883.81</v>
      </c>
      <c r="P81" s="9">
        <f t="shared" si="32"/>
        <v>7069.16</v>
      </c>
      <c r="Q81" s="9">
        <f>'Форма 2'!K309</f>
        <v>8203</v>
      </c>
      <c r="R81" s="37" t="s">
        <v>289</v>
      </c>
      <c r="S81" s="15">
        <v>1</v>
      </c>
    </row>
    <row r="82" spans="1:19" s="71" customFormat="1" ht="15.75" customHeight="1" x14ac:dyDescent="0.25">
      <c r="A82" s="33">
        <f>A81+1</f>
        <v>13</v>
      </c>
      <c r="B82" s="237">
        <v>5285</v>
      </c>
      <c r="C82" s="234" t="s">
        <v>447</v>
      </c>
      <c r="D82" s="34">
        <v>1991</v>
      </c>
      <c r="E82" s="33" t="s">
        <v>86</v>
      </c>
      <c r="F82" s="251" t="s">
        <v>87</v>
      </c>
      <c r="G82" s="35">
        <v>22218.400000000001</v>
      </c>
      <c r="H82" s="9">
        <v>16283.9</v>
      </c>
      <c r="I82" s="30">
        <v>690</v>
      </c>
      <c r="J82" s="9">
        <f>'Форма 2'!I312</f>
        <v>7401832.6100000003</v>
      </c>
      <c r="K82" s="36">
        <v>0</v>
      </c>
      <c r="L82" s="36">
        <v>0</v>
      </c>
      <c r="M82" s="36">
        <v>0</v>
      </c>
      <c r="N82" s="9">
        <f>J82-K82-L82-M82-O82</f>
        <v>7231602.8899999997</v>
      </c>
      <c r="O82" s="9">
        <v>170229.72</v>
      </c>
      <c r="P82" s="9">
        <f>J82/H82</f>
        <v>454.55</v>
      </c>
      <c r="Q82" s="9">
        <f>'Форма 2'!K312</f>
        <v>570.35</v>
      </c>
      <c r="R82" s="37" t="s">
        <v>289</v>
      </c>
      <c r="S82" s="15">
        <v>1</v>
      </c>
    </row>
    <row r="83" spans="1:19" s="71" customFormat="1" ht="15.75" customHeight="1" x14ac:dyDescent="0.25">
      <c r="A83" s="33">
        <f>A82+1</f>
        <v>14</v>
      </c>
      <c r="B83" s="237">
        <v>5288</v>
      </c>
      <c r="C83" s="234" t="s">
        <v>448</v>
      </c>
      <c r="D83" s="34">
        <v>1990</v>
      </c>
      <c r="E83" s="33" t="s">
        <v>86</v>
      </c>
      <c r="F83" s="251" t="s">
        <v>87</v>
      </c>
      <c r="G83" s="35">
        <v>18526.099999999999</v>
      </c>
      <c r="H83" s="9">
        <v>14155.3</v>
      </c>
      <c r="I83" s="30">
        <v>535</v>
      </c>
      <c r="J83" s="9">
        <f>'Форма 2'!I325</f>
        <v>12874840.199999999</v>
      </c>
      <c r="K83" s="36">
        <v>0</v>
      </c>
      <c r="L83" s="36">
        <v>0</v>
      </c>
      <c r="M83" s="36">
        <v>0</v>
      </c>
      <c r="N83" s="9">
        <f>J83-K83-L83-M83-O83</f>
        <v>12576938.18</v>
      </c>
      <c r="O83" s="9">
        <v>297902.02</v>
      </c>
      <c r="P83" s="9">
        <f>J83/H83</f>
        <v>909.54</v>
      </c>
      <c r="Q83" s="9">
        <f>'Форма 2'!K325</f>
        <v>1148.17</v>
      </c>
      <c r="R83" s="37" t="s">
        <v>289</v>
      </c>
      <c r="S83" s="15">
        <v>1</v>
      </c>
    </row>
    <row r="84" spans="1:19" s="71" customFormat="1" ht="15.75" customHeight="1" x14ac:dyDescent="0.25">
      <c r="A84" s="282" t="s">
        <v>42</v>
      </c>
      <c r="B84" s="282"/>
      <c r="C84" s="282"/>
      <c r="D84" s="13" t="s">
        <v>13</v>
      </c>
      <c r="E84" s="17" t="s">
        <v>13</v>
      </c>
      <c r="F84" s="17" t="s">
        <v>13</v>
      </c>
      <c r="G84" s="9">
        <f t="shared" ref="G84:O84" si="35">G85+G119+G138+G198</f>
        <v>856969.52</v>
      </c>
      <c r="H84" s="9">
        <f t="shared" si="35"/>
        <v>728238.82</v>
      </c>
      <c r="I84" s="11">
        <f t="shared" si="35"/>
        <v>27311</v>
      </c>
      <c r="J84" s="9">
        <f t="shared" si="35"/>
        <v>601611526.89999998</v>
      </c>
      <c r="K84" s="9">
        <f t="shared" si="35"/>
        <v>0</v>
      </c>
      <c r="L84" s="9">
        <f t="shared" si="35"/>
        <v>0</v>
      </c>
      <c r="M84" s="9">
        <f t="shared" si="35"/>
        <v>0</v>
      </c>
      <c r="N84" s="9">
        <f t="shared" si="35"/>
        <v>584800837.74000001</v>
      </c>
      <c r="O84" s="9">
        <f t="shared" si="35"/>
        <v>16810689.16</v>
      </c>
      <c r="P84" s="9" t="s">
        <v>13</v>
      </c>
      <c r="Q84" s="9" t="s">
        <v>13</v>
      </c>
      <c r="R84" s="9" t="s">
        <v>13</v>
      </c>
      <c r="S84" s="22" t="s">
        <v>13</v>
      </c>
    </row>
    <row r="85" spans="1:19" s="71" customFormat="1" ht="15.75" customHeight="1" x14ac:dyDescent="0.25">
      <c r="A85" s="282" t="s">
        <v>91</v>
      </c>
      <c r="B85" s="282"/>
      <c r="C85" s="282"/>
      <c r="D85" s="13" t="s">
        <v>13</v>
      </c>
      <c r="E85" s="17" t="s">
        <v>13</v>
      </c>
      <c r="F85" s="17" t="s">
        <v>13</v>
      </c>
      <c r="G85" s="9">
        <f t="shared" ref="G85:O85" si="36">SUM(G86:G118)</f>
        <v>153468.82999999999</v>
      </c>
      <c r="H85" s="9">
        <f t="shared" si="36"/>
        <v>136623.87</v>
      </c>
      <c r="I85" s="11">
        <f t="shared" si="36"/>
        <v>4868</v>
      </c>
      <c r="J85" s="9">
        <f t="shared" si="36"/>
        <v>150386185.58000001</v>
      </c>
      <c r="K85" s="9">
        <f t="shared" si="36"/>
        <v>0</v>
      </c>
      <c r="L85" s="9">
        <f t="shared" si="36"/>
        <v>0</v>
      </c>
      <c r="M85" s="9">
        <f t="shared" si="36"/>
        <v>0</v>
      </c>
      <c r="N85" s="9">
        <f t="shared" si="36"/>
        <v>145207808.90000001</v>
      </c>
      <c r="O85" s="9">
        <f t="shared" si="36"/>
        <v>5178376.68</v>
      </c>
      <c r="P85" s="17" t="s">
        <v>13</v>
      </c>
      <c r="Q85" s="17" t="s">
        <v>13</v>
      </c>
      <c r="R85" s="17" t="s">
        <v>13</v>
      </c>
      <c r="S85" s="236" t="s">
        <v>13</v>
      </c>
    </row>
    <row r="86" spans="1:19" s="170" customFormat="1" ht="15" customHeight="1" x14ac:dyDescent="0.2">
      <c r="A86" s="236">
        <v>1</v>
      </c>
      <c r="B86" s="236">
        <v>122</v>
      </c>
      <c r="C86" s="233" t="s">
        <v>573</v>
      </c>
      <c r="D86" s="13">
        <v>1946</v>
      </c>
      <c r="E86" s="13" t="s">
        <v>95</v>
      </c>
      <c r="F86" s="13" t="s">
        <v>81</v>
      </c>
      <c r="G86" s="9">
        <v>896.3</v>
      </c>
      <c r="H86" s="9">
        <v>821.3</v>
      </c>
      <c r="I86" s="11">
        <v>31</v>
      </c>
      <c r="J86" s="9">
        <f>'Форма 2'!I348</f>
        <v>57758</v>
      </c>
      <c r="K86" s="9">
        <v>0</v>
      </c>
      <c r="L86" s="9">
        <v>0</v>
      </c>
      <c r="M86" s="9">
        <v>0</v>
      </c>
      <c r="N86" s="9">
        <f>J86-K86-L86-M86-O86</f>
        <v>57758</v>
      </c>
      <c r="O86" s="9">
        <v>0</v>
      </c>
      <c r="P86" s="9">
        <f>J86/H86</f>
        <v>70.33</v>
      </c>
      <c r="Q86" s="9">
        <f>'Форма 2'!K348</f>
        <v>73</v>
      </c>
      <c r="R86" s="37" t="s">
        <v>289</v>
      </c>
      <c r="S86" s="269">
        <v>1</v>
      </c>
    </row>
    <row r="87" spans="1:19" s="170" customFormat="1" ht="15" customHeight="1" x14ac:dyDescent="0.2">
      <c r="A87" s="236">
        <f>A86+1</f>
        <v>2</v>
      </c>
      <c r="B87" s="236">
        <v>123</v>
      </c>
      <c r="C87" s="233" t="s">
        <v>574</v>
      </c>
      <c r="D87" s="13">
        <v>1946</v>
      </c>
      <c r="E87" s="13" t="s">
        <v>95</v>
      </c>
      <c r="F87" s="13" t="s">
        <v>81</v>
      </c>
      <c r="G87" s="9">
        <v>893.8</v>
      </c>
      <c r="H87" s="9">
        <v>824.1</v>
      </c>
      <c r="I87" s="11">
        <v>31</v>
      </c>
      <c r="J87" s="9">
        <f>'Форма 2'!I350</f>
        <v>57926</v>
      </c>
      <c r="K87" s="9">
        <v>0</v>
      </c>
      <c r="L87" s="9">
        <v>0</v>
      </c>
      <c r="M87" s="9">
        <v>0</v>
      </c>
      <c r="N87" s="9">
        <f>J87-K87-L87-M87-O87</f>
        <v>57926</v>
      </c>
      <c r="O87" s="9">
        <v>0</v>
      </c>
      <c r="P87" s="9">
        <f>J87/H87</f>
        <v>70.290000000000006</v>
      </c>
      <c r="Q87" s="9">
        <f>'Форма 2'!K350</f>
        <v>73</v>
      </c>
      <c r="R87" s="37" t="s">
        <v>289</v>
      </c>
      <c r="S87" s="269">
        <v>1</v>
      </c>
    </row>
    <row r="88" spans="1:19" s="170" customFormat="1" ht="15" customHeight="1" x14ac:dyDescent="0.2">
      <c r="A88" s="236">
        <f>A87+1</f>
        <v>3</v>
      </c>
      <c r="B88" s="236">
        <v>131</v>
      </c>
      <c r="C88" s="233" t="s">
        <v>575</v>
      </c>
      <c r="D88" s="13">
        <v>1948</v>
      </c>
      <c r="E88" s="13" t="s">
        <v>95</v>
      </c>
      <c r="F88" s="13" t="s">
        <v>81</v>
      </c>
      <c r="G88" s="9">
        <v>904.3</v>
      </c>
      <c r="H88" s="9">
        <v>829.3</v>
      </c>
      <c r="I88" s="11">
        <v>39</v>
      </c>
      <c r="J88" s="9">
        <f>'Форма 2'!I352</f>
        <v>58238</v>
      </c>
      <c r="K88" s="9">
        <v>0</v>
      </c>
      <c r="L88" s="9">
        <v>0</v>
      </c>
      <c r="M88" s="9">
        <v>0</v>
      </c>
      <c r="N88" s="9">
        <f>J88-K88-L88-M88-O88</f>
        <v>58238</v>
      </c>
      <c r="O88" s="9">
        <v>0</v>
      </c>
      <c r="P88" s="9">
        <f>J88/H88</f>
        <v>70.23</v>
      </c>
      <c r="Q88" s="9">
        <f>'Форма 2'!K352</f>
        <v>73</v>
      </c>
      <c r="R88" s="37" t="s">
        <v>289</v>
      </c>
      <c r="S88" s="269">
        <v>1</v>
      </c>
    </row>
    <row r="89" spans="1:19" s="71" customFormat="1" ht="15.75" customHeight="1" x14ac:dyDescent="0.25">
      <c r="A89" s="17">
        <f>A88+1</f>
        <v>4</v>
      </c>
      <c r="B89" s="236">
        <v>481</v>
      </c>
      <c r="C89" s="29" t="s">
        <v>355</v>
      </c>
      <c r="D89" s="13">
        <v>1964</v>
      </c>
      <c r="E89" s="13" t="s">
        <v>95</v>
      </c>
      <c r="F89" s="13" t="s">
        <v>87</v>
      </c>
      <c r="G89" s="9">
        <v>1718.2</v>
      </c>
      <c r="H89" s="9">
        <v>1590.2</v>
      </c>
      <c r="I89" s="11">
        <v>60</v>
      </c>
      <c r="J89" s="9">
        <f>'Форма 2'!I354</f>
        <v>366387.44</v>
      </c>
      <c r="K89" s="9">
        <v>0</v>
      </c>
      <c r="L89" s="9">
        <v>0</v>
      </c>
      <c r="M89" s="9">
        <v>0</v>
      </c>
      <c r="N89" s="9">
        <f t="shared" ref="N89:N117" si="37">J89-K89-L89-M89-O89</f>
        <v>347703.24</v>
      </c>
      <c r="O89" s="9">
        <v>18684.2</v>
      </c>
      <c r="P89" s="9">
        <f t="shared" ref="P89:P117" si="38">J89/H89</f>
        <v>230.4</v>
      </c>
      <c r="Q89" s="9">
        <f>'Форма 2'!K354</f>
        <v>409</v>
      </c>
      <c r="R89" s="37" t="s">
        <v>289</v>
      </c>
      <c r="S89" s="168">
        <v>1</v>
      </c>
    </row>
    <row r="90" spans="1:19" s="71" customFormat="1" ht="15" customHeight="1" x14ac:dyDescent="0.25">
      <c r="A90" s="236">
        <f>A89+1</f>
        <v>5</v>
      </c>
      <c r="B90" s="236">
        <v>368</v>
      </c>
      <c r="C90" s="233" t="s">
        <v>539</v>
      </c>
      <c r="D90" s="13">
        <v>1961</v>
      </c>
      <c r="E90" s="13" t="s">
        <v>95</v>
      </c>
      <c r="F90" s="13" t="s">
        <v>81</v>
      </c>
      <c r="G90" s="9">
        <v>3911.9</v>
      </c>
      <c r="H90" s="9">
        <v>3670.2</v>
      </c>
      <c r="I90" s="11">
        <v>122</v>
      </c>
      <c r="J90" s="9">
        <f>'Форма 2'!I358</f>
        <v>88084.800000000003</v>
      </c>
      <c r="K90" s="9">
        <v>0</v>
      </c>
      <c r="L90" s="9">
        <v>0</v>
      </c>
      <c r="M90" s="9">
        <v>0</v>
      </c>
      <c r="N90" s="9">
        <f>J90-K90-L90-M90-O90</f>
        <v>85554.33</v>
      </c>
      <c r="O90" s="9">
        <v>2530.4699999999998</v>
      </c>
      <c r="P90" s="9">
        <f>J90/H90</f>
        <v>24</v>
      </c>
      <c r="Q90" s="9">
        <f>'Форма 2'!K358</f>
        <v>24</v>
      </c>
      <c r="R90" s="37" t="s">
        <v>289</v>
      </c>
      <c r="S90" s="168">
        <v>1</v>
      </c>
    </row>
    <row r="91" spans="1:19" s="71" customFormat="1" ht="31.5" customHeight="1" x14ac:dyDescent="0.25">
      <c r="A91" s="17">
        <f>A90+1</f>
        <v>6</v>
      </c>
      <c r="B91" s="236">
        <v>842</v>
      </c>
      <c r="C91" s="252" t="s">
        <v>752</v>
      </c>
      <c r="D91" s="251">
        <v>1989</v>
      </c>
      <c r="E91" s="251" t="s">
        <v>68</v>
      </c>
      <c r="F91" s="251" t="s">
        <v>82</v>
      </c>
      <c r="G91" s="22">
        <v>4334.5</v>
      </c>
      <c r="H91" s="22">
        <v>4014.5</v>
      </c>
      <c r="I91" s="15">
        <v>192</v>
      </c>
      <c r="J91" s="22">
        <f>'Форма 2'!I360</f>
        <v>4699894.47</v>
      </c>
      <c r="K91" s="22">
        <v>0</v>
      </c>
      <c r="L91" s="22">
        <v>0</v>
      </c>
      <c r="M91" s="22">
        <v>0</v>
      </c>
      <c r="N91" s="22">
        <f t="shared" si="37"/>
        <v>4539641.01</v>
      </c>
      <c r="O91" s="22">
        <v>160253.46</v>
      </c>
      <c r="P91" s="22">
        <f t="shared" si="38"/>
        <v>1170.73</v>
      </c>
      <c r="Q91" s="22">
        <f>'Форма 2'!K360</f>
        <v>3878</v>
      </c>
      <c r="R91" s="206" t="s">
        <v>289</v>
      </c>
      <c r="S91" s="168">
        <v>1</v>
      </c>
    </row>
    <row r="92" spans="1:19" s="71" customFormat="1" ht="15.75" customHeight="1" x14ac:dyDescent="0.25">
      <c r="A92" s="17">
        <f t="shared" ref="A92:A116" si="39">A91+1</f>
        <v>7</v>
      </c>
      <c r="B92" s="236">
        <v>743</v>
      </c>
      <c r="C92" s="29" t="s">
        <v>356</v>
      </c>
      <c r="D92" s="13">
        <v>1982</v>
      </c>
      <c r="E92" s="13" t="s">
        <v>68</v>
      </c>
      <c r="F92" s="13" t="s">
        <v>82</v>
      </c>
      <c r="G92" s="9">
        <v>4507</v>
      </c>
      <c r="H92" s="9">
        <v>3996.6</v>
      </c>
      <c r="I92" s="11">
        <v>186</v>
      </c>
      <c r="J92" s="9">
        <f>'Форма 2'!I363</f>
        <v>14158021.699999999</v>
      </c>
      <c r="K92" s="9">
        <v>0</v>
      </c>
      <c r="L92" s="9">
        <v>0</v>
      </c>
      <c r="M92" s="9">
        <v>0</v>
      </c>
      <c r="N92" s="9">
        <f t="shared" si="37"/>
        <v>13754150.789999999</v>
      </c>
      <c r="O92" s="9">
        <v>403870.91</v>
      </c>
      <c r="P92" s="9">
        <f t="shared" si="38"/>
        <v>3542.52</v>
      </c>
      <c r="Q92" s="9">
        <f>'Форма 2'!K363</f>
        <v>3878</v>
      </c>
      <c r="R92" s="37" t="s">
        <v>289</v>
      </c>
      <c r="S92" s="168">
        <v>1</v>
      </c>
    </row>
    <row r="93" spans="1:19" s="71" customFormat="1" ht="15.75" customHeight="1" x14ac:dyDescent="0.25">
      <c r="A93" s="236">
        <f t="shared" ref="A93:A99" si="40">A92+1</f>
        <v>8</v>
      </c>
      <c r="B93" s="236">
        <v>8171</v>
      </c>
      <c r="C93" s="29" t="s">
        <v>480</v>
      </c>
      <c r="D93" s="13">
        <v>1994</v>
      </c>
      <c r="E93" s="13" t="s">
        <v>86</v>
      </c>
      <c r="F93" s="13" t="s">
        <v>87</v>
      </c>
      <c r="G93" s="9">
        <v>4951.2</v>
      </c>
      <c r="H93" s="9">
        <v>4315.3999999999996</v>
      </c>
      <c r="I93" s="11">
        <v>163</v>
      </c>
      <c r="J93" s="9">
        <f>'Форма 2'!I366</f>
        <v>3623759.74</v>
      </c>
      <c r="K93" s="9">
        <v>0</v>
      </c>
      <c r="L93" s="9">
        <v>0</v>
      </c>
      <c r="M93" s="9">
        <v>0</v>
      </c>
      <c r="N93" s="9">
        <f>J93-K93-L93-M93-O93</f>
        <v>3477613.54</v>
      </c>
      <c r="O93" s="9">
        <v>146146.20000000001</v>
      </c>
      <c r="P93" s="9">
        <f>J93/H93</f>
        <v>839.73</v>
      </c>
      <c r="Q93" s="9">
        <f>'Форма 2'!K366</f>
        <v>1178.8599999999999</v>
      </c>
      <c r="R93" s="37" t="s">
        <v>289</v>
      </c>
      <c r="S93" s="168">
        <v>1</v>
      </c>
    </row>
    <row r="94" spans="1:19" s="71" customFormat="1" ht="15.75" customHeight="1" x14ac:dyDescent="0.25">
      <c r="A94" s="17">
        <f t="shared" si="40"/>
        <v>9</v>
      </c>
      <c r="B94" s="236">
        <v>606</v>
      </c>
      <c r="C94" s="29" t="s">
        <v>121</v>
      </c>
      <c r="D94" s="13">
        <v>1973</v>
      </c>
      <c r="E94" s="13" t="s">
        <v>68</v>
      </c>
      <c r="F94" s="13" t="s">
        <v>82</v>
      </c>
      <c r="G94" s="9">
        <v>6175.82</v>
      </c>
      <c r="H94" s="9">
        <v>5825.7</v>
      </c>
      <c r="I94" s="11">
        <v>127</v>
      </c>
      <c r="J94" s="9">
        <f>'Форма 2'!I373</f>
        <v>14707949.59</v>
      </c>
      <c r="K94" s="9">
        <v>0</v>
      </c>
      <c r="L94" s="9">
        <v>0</v>
      </c>
      <c r="M94" s="9">
        <v>0</v>
      </c>
      <c r="N94" s="9">
        <f t="shared" si="37"/>
        <v>14271384.9</v>
      </c>
      <c r="O94" s="9">
        <v>436564.69</v>
      </c>
      <c r="P94" s="9">
        <f t="shared" si="38"/>
        <v>2524.67</v>
      </c>
      <c r="Q94" s="9">
        <f>'Форма 2'!K373</f>
        <v>3878</v>
      </c>
      <c r="R94" s="37" t="s">
        <v>289</v>
      </c>
      <c r="S94" s="168">
        <v>1</v>
      </c>
    </row>
    <row r="95" spans="1:19" s="71" customFormat="1" ht="15.75" customHeight="1" x14ac:dyDescent="0.25">
      <c r="A95" s="17">
        <f t="shared" si="40"/>
        <v>10</v>
      </c>
      <c r="B95" s="236">
        <v>717</v>
      </c>
      <c r="C95" s="29" t="s">
        <v>122</v>
      </c>
      <c r="D95" s="13">
        <v>1980</v>
      </c>
      <c r="E95" s="13" t="s">
        <v>68</v>
      </c>
      <c r="F95" s="13" t="s">
        <v>82</v>
      </c>
      <c r="G95" s="9">
        <v>3065.92</v>
      </c>
      <c r="H95" s="9">
        <v>2621.92</v>
      </c>
      <c r="I95" s="11">
        <v>99</v>
      </c>
      <c r="J95" s="9">
        <f>'Форма 2'!I376</f>
        <v>7929872.7199999997</v>
      </c>
      <c r="K95" s="9">
        <v>0</v>
      </c>
      <c r="L95" s="9">
        <v>0</v>
      </c>
      <c r="M95" s="9">
        <v>0</v>
      </c>
      <c r="N95" s="9">
        <f t="shared" si="37"/>
        <v>7717888.21</v>
      </c>
      <c r="O95" s="9">
        <v>211984.51</v>
      </c>
      <c r="P95" s="9">
        <f t="shared" si="38"/>
        <v>3024.45</v>
      </c>
      <c r="Q95" s="9">
        <f>'Форма 2'!K376</f>
        <v>3878</v>
      </c>
      <c r="R95" s="37" t="s">
        <v>289</v>
      </c>
      <c r="S95" s="168">
        <v>1</v>
      </c>
    </row>
    <row r="96" spans="1:19" s="71" customFormat="1" ht="15.75" customHeight="1" x14ac:dyDescent="0.25">
      <c r="A96" s="236">
        <f t="shared" si="40"/>
        <v>11</v>
      </c>
      <c r="B96" s="236">
        <v>537</v>
      </c>
      <c r="C96" s="29" t="s">
        <v>533</v>
      </c>
      <c r="D96" s="13">
        <v>1968</v>
      </c>
      <c r="E96" s="13" t="s">
        <v>95</v>
      </c>
      <c r="F96" s="13" t="s">
        <v>87</v>
      </c>
      <c r="G96" s="9">
        <v>4350.3500000000004</v>
      </c>
      <c r="H96" s="9">
        <v>3760.57</v>
      </c>
      <c r="I96" s="11">
        <v>124</v>
      </c>
      <c r="J96" s="9">
        <f>'Форма 2'!I379</f>
        <v>817302.3</v>
      </c>
      <c r="K96" s="9">
        <v>0</v>
      </c>
      <c r="L96" s="9">
        <v>0</v>
      </c>
      <c r="M96" s="9">
        <v>0</v>
      </c>
      <c r="N96" s="9">
        <f t="shared" si="37"/>
        <v>770740.43</v>
      </c>
      <c r="O96" s="9">
        <v>46561.87</v>
      </c>
      <c r="P96" s="9">
        <f t="shared" si="38"/>
        <v>217.33</v>
      </c>
      <c r="Q96" s="9">
        <f>'Форма 2'!K379</f>
        <v>431</v>
      </c>
      <c r="R96" s="37" t="s">
        <v>289</v>
      </c>
      <c r="S96" s="168">
        <v>1</v>
      </c>
    </row>
    <row r="97" spans="1:19" s="71" customFormat="1" ht="15.75" customHeight="1" x14ac:dyDescent="0.25">
      <c r="A97" s="17">
        <f t="shared" si="40"/>
        <v>12</v>
      </c>
      <c r="B97" s="236">
        <v>720</v>
      </c>
      <c r="C97" s="29" t="s">
        <v>123</v>
      </c>
      <c r="D97" s="13">
        <v>1981</v>
      </c>
      <c r="E97" s="13" t="s">
        <v>68</v>
      </c>
      <c r="F97" s="13" t="s">
        <v>82</v>
      </c>
      <c r="G97" s="9">
        <v>5256</v>
      </c>
      <c r="H97" s="9">
        <v>5022</v>
      </c>
      <c r="I97" s="11">
        <v>190</v>
      </c>
      <c r="J97" s="9">
        <f>'Форма 2'!I383</f>
        <v>15787523.720000001</v>
      </c>
      <c r="K97" s="9">
        <v>0</v>
      </c>
      <c r="L97" s="9">
        <v>0</v>
      </c>
      <c r="M97" s="9">
        <v>0</v>
      </c>
      <c r="N97" s="9">
        <f t="shared" si="37"/>
        <v>15370063.970000001</v>
      </c>
      <c r="O97" s="9">
        <v>417459.75</v>
      </c>
      <c r="P97" s="9">
        <f t="shared" si="38"/>
        <v>3143.67</v>
      </c>
      <c r="Q97" s="9">
        <f>'Форма 2'!K383</f>
        <v>3878</v>
      </c>
      <c r="R97" s="37" t="s">
        <v>289</v>
      </c>
      <c r="S97" s="168">
        <v>1</v>
      </c>
    </row>
    <row r="98" spans="1:19" s="71" customFormat="1" ht="15.75" customHeight="1" x14ac:dyDescent="0.25">
      <c r="A98" s="236">
        <f t="shared" si="40"/>
        <v>13</v>
      </c>
      <c r="B98" s="236">
        <v>351</v>
      </c>
      <c r="C98" s="29" t="s">
        <v>534</v>
      </c>
      <c r="D98" s="13">
        <v>1960</v>
      </c>
      <c r="E98" s="13" t="s">
        <v>95</v>
      </c>
      <c r="F98" s="13" t="s">
        <v>81</v>
      </c>
      <c r="G98" s="9">
        <v>2175.4</v>
      </c>
      <c r="H98" s="9">
        <v>1260.4000000000001</v>
      </c>
      <c r="I98" s="11">
        <v>48</v>
      </c>
      <c r="J98" s="9">
        <f>'Форма 2'!I386</f>
        <v>50933.599999999999</v>
      </c>
      <c r="K98" s="9">
        <v>0</v>
      </c>
      <c r="L98" s="9">
        <v>0</v>
      </c>
      <c r="M98" s="9">
        <v>0</v>
      </c>
      <c r="N98" s="9">
        <f t="shared" si="37"/>
        <v>49231.81</v>
      </c>
      <c r="O98" s="9">
        <v>1701.79</v>
      </c>
      <c r="P98" s="9">
        <f t="shared" si="38"/>
        <v>40.409999999999997</v>
      </c>
      <c r="Q98" s="9">
        <f>'Форма 2'!K386</f>
        <v>47</v>
      </c>
      <c r="R98" s="37" t="s">
        <v>289</v>
      </c>
      <c r="S98" s="168">
        <v>1</v>
      </c>
    </row>
    <row r="99" spans="1:19" s="71" customFormat="1" ht="15.75" customHeight="1" x14ac:dyDescent="0.25">
      <c r="A99" s="17">
        <f t="shared" si="40"/>
        <v>14</v>
      </c>
      <c r="B99" s="236">
        <v>575</v>
      </c>
      <c r="C99" s="29" t="s">
        <v>124</v>
      </c>
      <c r="D99" s="13">
        <v>1971</v>
      </c>
      <c r="E99" s="13" t="s">
        <v>95</v>
      </c>
      <c r="F99" s="13" t="s">
        <v>82</v>
      </c>
      <c r="G99" s="9">
        <v>6624.2</v>
      </c>
      <c r="H99" s="9">
        <v>6074.2</v>
      </c>
      <c r="I99" s="11">
        <v>221</v>
      </c>
      <c r="J99" s="9">
        <f>'Форма 2'!I388</f>
        <v>1599653.2</v>
      </c>
      <c r="K99" s="9">
        <v>0</v>
      </c>
      <c r="L99" s="9">
        <v>0</v>
      </c>
      <c r="M99" s="9">
        <v>0</v>
      </c>
      <c r="N99" s="9">
        <f t="shared" si="37"/>
        <v>1550115.29</v>
      </c>
      <c r="O99" s="9">
        <v>49537.91</v>
      </c>
      <c r="P99" s="9">
        <f t="shared" si="38"/>
        <v>263.35000000000002</v>
      </c>
      <c r="Q99" s="9">
        <f>'Форма 2'!K388</f>
        <v>407</v>
      </c>
      <c r="R99" s="37" t="s">
        <v>289</v>
      </c>
      <c r="S99" s="168">
        <v>1</v>
      </c>
    </row>
    <row r="100" spans="1:19" s="71" customFormat="1" ht="15.75" customHeight="1" x14ac:dyDescent="0.25">
      <c r="A100" s="17">
        <f t="shared" si="39"/>
        <v>15</v>
      </c>
      <c r="B100" s="236">
        <v>618</v>
      </c>
      <c r="C100" s="29" t="s">
        <v>125</v>
      </c>
      <c r="D100" s="13">
        <v>1974</v>
      </c>
      <c r="E100" s="13" t="s">
        <v>95</v>
      </c>
      <c r="F100" s="13" t="s">
        <v>82</v>
      </c>
      <c r="G100" s="9">
        <v>6336.5</v>
      </c>
      <c r="H100" s="9">
        <v>4862.5</v>
      </c>
      <c r="I100" s="11">
        <v>172</v>
      </c>
      <c r="J100" s="9">
        <f>'Форма 2'!I391</f>
        <v>1191100.3999999999</v>
      </c>
      <c r="K100" s="9">
        <v>0</v>
      </c>
      <c r="L100" s="9">
        <v>0</v>
      </c>
      <c r="M100" s="9">
        <v>0</v>
      </c>
      <c r="N100" s="9">
        <f t="shared" si="37"/>
        <v>1153033.19</v>
      </c>
      <c r="O100" s="9">
        <v>38067.21</v>
      </c>
      <c r="P100" s="9">
        <f t="shared" si="38"/>
        <v>244.96</v>
      </c>
      <c r="Q100" s="9">
        <f>'Форма 2'!K391</f>
        <v>407</v>
      </c>
      <c r="R100" s="37" t="s">
        <v>289</v>
      </c>
      <c r="S100" s="168">
        <v>1</v>
      </c>
    </row>
    <row r="101" spans="1:19" s="71" customFormat="1" ht="15.75" customHeight="1" x14ac:dyDescent="0.25">
      <c r="A101" s="236">
        <f t="shared" si="39"/>
        <v>16</v>
      </c>
      <c r="B101" s="236">
        <v>436</v>
      </c>
      <c r="C101" s="29" t="s">
        <v>426</v>
      </c>
      <c r="D101" s="17">
        <v>1962</v>
      </c>
      <c r="E101" s="13" t="s">
        <v>95</v>
      </c>
      <c r="F101" s="13" t="s">
        <v>87</v>
      </c>
      <c r="G101" s="9">
        <v>3420.51</v>
      </c>
      <c r="H101" s="9">
        <v>3187.95</v>
      </c>
      <c r="I101" s="11">
        <v>120</v>
      </c>
      <c r="J101" s="9">
        <f>'Форма 2'!I394</f>
        <v>753109.5</v>
      </c>
      <c r="K101" s="9">
        <v>0</v>
      </c>
      <c r="L101" s="9">
        <v>0</v>
      </c>
      <c r="M101" s="9">
        <v>0</v>
      </c>
      <c r="N101" s="9">
        <f t="shared" si="37"/>
        <v>713637.58</v>
      </c>
      <c r="O101" s="9">
        <v>39471.919999999998</v>
      </c>
      <c r="P101" s="9">
        <f t="shared" si="38"/>
        <v>236.24</v>
      </c>
      <c r="Q101" s="9">
        <f>'Форма 2'!K394</f>
        <v>431</v>
      </c>
      <c r="R101" s="37" t="s">
        <v>289</v>
      </c>
      <c r="S101" s="168">
        <v>1</v>
      </c>
    </row>
    <row r="102" spans="1:19" s="71" customFormat="1" ht="15.75" customHeight="1" x14ac:dyDescent="0.25">
      <c r="A102" s="17">
        <f>A101+1</f>
        <v>17</v>
      </c>
      <c r="B102" s="236">
        <v>581</v>
      </c>
      <c r="C102" s="29" t="s">
        <v>126</v>
      </c>
      <c r="D102" s="13">
        <v>1972</v>
      </c>
      <c r="E102" s="13" t="s">
        <v>90</v>
      </c>
      <c r="F102" s="13" t="s">
        <v>82</v>
      </c>
      <c r="G102" s="9">
        <v>5877.2</v>
      </c>
      <c r="H102" s="9">
        <v>5442.2</v>
      </c>
      <c r="I102" s="11">
        <v>144</v>
      </c>
      <c r="J102" s="9">
        <f>'Форма 2'!I398</f>
        <v>2143906.52</v>
      </c>
      <c r="K102" s="9">
        <v>0</v>
      </c>
      <c r="L102" s="9">
        <v>0</v>
      </c>
      <c r="M102" s="9">
        <v>0</v>
      </c>
      <c r="N102" s="9">
        <f t="shared" si="37"/>
        <v>2078239.3</v>
      </c>
      <c r="O102" s="9">
        <v>65667.22</v>
      </c>
      <c r="P102" s="9">
        <f t="shared" si="38"/>
        <v>393.94</v>
      </c>
      <c r="Q102" s="9">
        <f>'Форма 2'!K398</f>
        <v>655</v>
      </c>
      <c r="R102" s="37" t="s">
        <v>289</v>
      </c>
      <c r="S102" s="168">
        <v>1</v>
      </c>
    </row>
    <row r="103" spans="1:19" s="71" customFormat="1" ht="15.75" customHeight="1" x14ac:dyDescent="0.25">
      <c r="A103" s="236">
        <f>A102+1</f>
        <v>18</v>
      </c>
      <c r="B103" s="236">
        <v>464</v>
      </c>
      <c r="C103" s="29" t="s">
        <v>427</v>
      </c>
      <c r="D103" s="17">
        <v>1963</v>
      </c>
      <c r="E103" s="13" t="s">
        <v>95</v>
      </c>
      <c r="F103" s="13" t="s">
        <v>87</v>
      </c>
      <c r="G103" s="9">
        <v>3976.25</v>
      </c>
      <c r="H103" s="9">
        <v>3691.3</v>
      </c>
      <c r="I103" s="11">
        <v>96</v>
      </c>
      <c r="J103" s="9">
        <f>'Форма 2'!I401</f>
        <v>644747.49</v>
      </c>
      <c r="K103" s="9">
        <v>0</v>
      </c>
      <c r="L103" s="9">
        <v>0</v>
      </c>
      <c r="M103" s="9">
        <v>0</v>
      </c>
      <c r="N103" s="9">
        <f t="shared" si="37"/>
        <v>601376.22</v>
      </c>
      <c r="O103" s="9">
        <v>43371.27</v>
      </c>
      <c r="P103" s="9">
        <f t="shared" si="38"/>
        <v>174.67</v>
      </c>
      <c r="Q103" s="9">
        <f>'Форма 2'!K401</f>
        <v>431</v>
      </c>
      <c r="R103" s="37" t="s">
        <v>289</v>
      </c>
      <c r="S103" s="168">
        <v>1</v>
      </c>
    </row>
    <row r="104" spans="1:19" s="71" customFormat="1" ht="15.75" customHeight="1" x14ac:dyDescent="0.25">
      <c r="A104" s="236">
        <f>A103+1</f>
        <v>19</v>
      </c>
      <c r="B104" s="236">
        <v>589</v>
      </c>
      <c r="C104" s="29" t="s">
        <v>428</v>
      </c>
      <c r="D104" s="17">
        <v>1972</v>
      </c>
      <c r="E104" s="13" t="s">
        <v>95</v>
      </c>
      <c r="F104" s="13" t="s">
        <v>87</v>
      </c>
      <c r="G104" s="9">
        <v>3857.4</v>
      </c>
      <c r="H104" s="9">
        <v>3398</v>
      </c>
      <c r="I104" s="11">
        <v>128</v>
      </c>
      <c r="J104" s="9">
        <f>'Форма 2'!I405</f>
        <v>726016.72</v>
      </c>
      <c r="K104" s="9">
        <v>0</v>
      </c>
      <c r="L104" s="9">
        <v>0</v>
      </c>
      <c r="M104" s="9">
        <v>0</v>
      </c>
      <c r="N104" s="9">
        <f>J104-K104-L104-M104-O104</f>
        <v>683944.04</v>
      </c>
      <c r="O104" s="9">
        <v>42072.68</v>
      </c>
      <c r="P104" s="9">
        <f>J104/H104</f>
        <v>213.66</v>
      </c>
      <c r="Q104" s="9">
        <f>'Форма 2'!K405</f>
        <v>431</v>
      </c>
      <c r="R104" s="37" t="s">
        <v>289</v>
      </c>
      <c r="S104" s="168">
        <v>1</v>
      </c>
    </row>
    <row r="105" spans="1:19" s="71" customFormat="1" ht="15.75" customHeight="1" x14ac:dyDescent="0.25">
      <c r="A105" s="236">
        <f t="shared" ref="A105" si="41">A104+1</f>
        <v>20</v>
      </c>
      <c r="B105" s="236">
        <v>510</v>
      </c>
      <c r="C105" s="29" t="s">
        <v>429</v>
      </c>
      <c r="D105" s="17">
        <v>1965</v>
      </c>
      <c r="E105" s="13" t="s">
        <v>95</v>
      </c>
      <c r="F105" s="13" t="s">
        <v>81</v>
      </c>
      <c r="G105" s="9">
        <v>4570.54</v>
      </c>
      <c r="H105" s="9">
        <v>3566.5</v>
      </c>
      <c r="I105" s="11">
        <v>135</v>
      </c>
      <c r="J105" s="9">
        <f>'Форма 2'!I409</f>
        <v>85596</v>
      </c>
      <c r="K105" s="9">
        <v>0</v>
      </c>
      <c r="L105" s="9">
        <v>0</v>
      </c>
      <c r="M105" s="9">
        <v>0</v>
      </c>
      <c r="N105" s="9">
        <f>J105-K105-L105-M105-O105</f>
        <v>41437.019999999997</v>
      </c>
      <c r="O105" s="9">
        <v>44158.98</v>
      </c>
      <c r="P105" s="9">
        <f>J105/H105</f>
        <v>24</v>
      </c>
      <c r="Q105" s="9">
        <f>'Форма 2'!K409</f>
        <v>24</v>
      </c>
      <c r="R105" s="37" t="s">
        <v>289</v>
      </c>
      <c r="S105" s="168">
        <v>1</v>
      </c>
    </row>
    <row r="106" spans="1:19" s="71" customFormat="1" ht="15.75" customHeight="1" x14ac:dyDescent="0.25">
      <c r="A106" s="17">
        <f>A105+1</f>
        <v>21</v>
      </c>
      <c r="B106" s="236">
        <v>357</v>
      </c>
      <c r="C106" s="29" t="s">
        <v>127</v>
      </c>
      <c r="D106" s="13">
        <v>1960</v>
      </c>
      <c r="E106" s="13" t="s">
        <v>363</v>
      </c>
      <c r="F106" s="13" t="s">
        <v>82</v>
      </c>
      <c r="G106" s="9">
        <v>3250.08</v>
      </c>
      <c r="H106" s="9">
        <v>2588.5700000000002</v>
      </c>
      <c r="I106" s="11">
        <v>82</v>
      </c>
      <c r="J106" s="9">
        <f>'Форма 2'!I411</f>
        <v>13200682.689999999</v>
      </c>
      <c r="K106" s="9">
        <v>0</v>
      </c>
      <c r="L106" s="9">
        <v>0</v>
      </c>
      <c r="M106" s="9">
        <v>0</v>
      </c>
      <c r="N106" s="9">
        <f t="shared" si="37"/>
        <v>12801440.02</v>
      </c>
      <c r="O106" s="9">
        <v>399242.67</v>
      </c>
      <c r="P106" s="9">
        <f t="shared" si="38"/>
        <v>5099.6000000000004</v>
      </c>
      <c r="Q106" s="9">
        <f>'Форма 2'!K411</f>
        <v>11280</v>
      </c>
      <c r="R106" s="37" t="s">
        <v>289</v>
      </c>
      <c r="S106" s="168">
        <v>1</v>
      </c>
    </row>
    <row r="107" spans="1:19" s="71" customFormat="1" ht="15.75" customHeight="1" x14ac:dyDescent="0.25">
      <c r="A107" s="236">
        <f>A106+1</f>
        <v>22</v>
      </c>
      <c r="B107" s="236">
        <v>809</v>
      </c>
      <c r="C107" s="29" t="s">
        <v>456</v>
      </c>
      <c r="D107" s="13">
        <v>1986</v>
      </c>
      <c r="E107" s="13" t="s">
        <v>86</v>
      </c>
      <c r="F107" s="13" t="s">
        <v>87</v>
      </c>
      <c r="G107" s="9">
        <v>21764.1</v>
      </c>
      <c r="H107" s="9">
        <v>19009.8</v>
      </c>
      <c r="I107" s="11">
        <v>581</v>
      </c>
      <c r="J107" s="9">
        <f>'Форма 2'!I416</f>
        <v>3084601.03</v>
      </c>
      <c r="K107" s="9">
        <v>0</v>
      </c>
      <c r="L107" s="9">
        <v>0</v>
      </c>
      <c r="M107" s="9">
        <v>0</v>
      </c>
      <c r="N107" s="9">
        <f>J107-K107-L107-M107-O107</f>
        <v>2938454.83</v>
      </c>
      <c r="O107" s="9">
        <v>146146.20000000001</v>
      </c>
      <c r="P107" s="9">
        <f>J107/H107</f>
        <v>162.26</v>
      </c>
      <c r="Q107" s="9">
        <f>'Форма 2'!K416</f>
        <v>267.63</v>
      </c>
      <c r="R107" s="37" t="s">
        <v>289</v>
      </c>
      <c r="S107" s="168">
        <v>1</v>
      </c>
    </row>
    <row r="108" spans="1:19" s="71" customFormat="1" ht="15.75" customHeight="1" x14ac:dyDescent="0.25">
      <c r="A108" s="17">
        <f>A107+1</f>
        <v>23</v>
      </c>
      <c r="B108" s="236">
        <v>572</v>
      </c>
      <c r="C108" s="29" t="s">
        <v>128</v>
      </c>
      <c r="D108" s="13">
        <v>1971</v>
      </c>
      <c r="E108" s="13" t="s">
        <v>364</v>
      </c>
      <c r="F108" s="13" t="s">
        <v>82</v>
      </c>
      <c r="G108" s="9">
        <v>5679.3</v>
      </c>
      <c r="H108" s="9">
        <v>5283.3</v>
      </c>
      <c r="I108" s="11">
        <v>169</v>
      </c>
      <c r="J108" s="9">
        <f>'Форма 2'!I423</f>
        <v>11201779.6</v>
      </c>
      <c r="K108" s="9">
        <v>0</v>
      </c>
      <c r="L108" s="9">
        <v>0</v>
      </c>
      <c r="M108" s="9">
        <v>0</v>
      </c>
      <c r="N108" s="9">
        <f t="shared" si="37"/>
        <v>10783378.73</v>
      </c>
      <c r="O108" s="9">
        <v>418400.87</v>
      </c>
      <c r="P108" s="9">
        <f t="shared" si="38"/>
        <v>2120.2199999999998</v>
      </c>
      <c r="Q108" s="9">
        <f>'Форма 2'!K423</f>
        <v>4074</v>
      </c>
      <c r="R108" s="37" t="s">
        <v>289</v>
      </c>
      <c r="S108" s="168">
        <v>1</v>
      </c>
    </row>
    <row r="109" spans="1:19" s="71" customFormat="1" ht="15.75" customHeight="1" x14ac:dyDescent="0.25">
      <c r="A109" s="236">
        <f>A108+1</f>
        <v>24</v>
      </c>
      <c r="B109" s="236">
        <v>853</v>
      </c>
      <c r="C109" s="29" t="s">
        <v>442</v>
      </c>
      <c r="D109" s="13">
        <v>1990</v>
      </c>
      <c r="E109" s="13" t="s">
        <v>86</v>
      </c>
      <c r="F109" s="13" t="s">
        <v>82</v>
      </c>
      <c r="G109" s="9">
        <v>10478.4</v>
      </c>
      <c r="H109" s="9">
        <v>9128.6</v>
      </c>
      <c r="I109" s="11">
        <v>416</v>
      </c>
      <c r="J109" s="9">
        <f>'Форма 2'!I432</f>
        <v>7042411.54</v>
      </c>
      <c r="K109" s="9">
        <v>0</v>
      </c>
      <c r="L109" s="9">
        <v>0</v>
      </c>
      <c r="M109" s="9">
        <v>0</v>
      </c>
      <c r="N109" s="9">
        <f>J109-K109-L109-M109-O109</f>
        <v>6839486.4400000004</v>
      </c>
      <c r="O109" s="9">
        <v>202925.1</v>
      </c>
      <c r="P109" s="9">
        <f>J109/H109</f>
        <v>771.47</v>
      </c>
      <c r="Q109" s="9">
        <f>'Форма 2'!K432</f>
        <v>1003.27</v>
      </c>
      <c r="R109" s="37" t="s">
        <v>289</v>
      </c>
      <c r="S109" s="168">
        <v>1</v>
      </c>
    </row>
    <row r="110" spans="1:19" s="71" customFormat="1" ht="31.5" customHeight="1" x14ac:dyDescent="0.25">
      <c r="A110" s="17">
        <f>A109+1</f>
        <v>25</v>
      </c>
      <c r="B110" s="236">
        <v>774</v>
      </c>
      <c r="C110" s="252" t="s">
        <v>96</v>
      </c>
      <c r="D110" s="251" t="s">
        <v>97</v>
      </c>
      <c r="E110" s="251" t="s">
        <v>354</v>
      </c>
      <c r="F110" s="251" t="s">
        <v>223</v>
      </c>
      <c r="G110" s="22">
        <v>15418.66</v>
      </c>
      <c r="H110" s="22">
        <v>14583.46</v>
      </c>
      <c r="I110" s="15">
        <v>518</v>
      </c>
      <c r="J110" s="22">
        <f>'Форма 2'!I441</f>
        <v>24536312.620000001</v>
      </c>
      <c r="K110" s="22">
        <v>0</v>
      </c>
      <c r="L110" s="22">
        <v>0</v>
      </c>
      <c r="M110" s="22">
        <v>0</v>
      </c>
      <c r="N110" s="22">
        <f t="shared" si="37"/>
        <v>23402639.469999999</v>
      </c>
      <c r="O110" s="22">
        <v>1133673.1499999999</v>
      </c>
      <c r="P110" s="22">
        <f t="shared" si="38"/>
        <v>1682.48</v>
      </c>
      <c r="Q110" s="22">
        <f>'Форма 2'!K441</f>
        <v>2683</v>
      </c>
      <c r="R110" s="37" t="s">
        <v>375</v>
      </c>
      <c r="S110" s="168">
        <v>1</v>
      </c>
    </row>
    <row r="111" spans="1:19" s="71" customFormat="1" ht="15.75" customHeight="1" x14ac:dyDescent="0.25">
      <c r="A111" s="17">
        <f t="shared" si="39"/>
        <v>26</v>
      </c>
      <c r="B111" s="236">
        <v>453</v>
      </c>
      <c r="C111" s="29" t="s">
        <v>98</v>
      </c>
      <c r="D111" s="13">
        <v>1963</v>
      </c>
      <c r="E111" s="13" t="s">
        <v>181</v>
      </c>
      <c r="F111" s="13" t="s">
        <v>82</v>
      </c>
      <c r="G111" s="9">
        <v>2721.1</v>
      </c>
      <c r="H111" s="9">
        <v>2506.3000000000002</v>
      </c>
      <c r="I111" s="11">
        <v>90</v>
      </c>
      <c r="J111" s="9">
        <f>'Форма 2'!I446</f>
        <v>4950299.2</v>
      </c>
      <c r="K111" s="9">
        <v>0</v>
      </c>
      <c r="L111" s="9">
        <v>0</v>
      </c>
      <c r="M111" s="9">
        <v>0</v>
      </c>
      <c r="N111" s="9">
        <f t="shared" si="37"/>
        <v>4791328.72</v>
      </c>
      <c r="O111" s="9">
        <v>158970.48000000001</v>
      </c>
      <c r="P111" s="9">
        <f t="shared" si="38"/>
        <v>1975.14</v>
      </c>
      <c r="Q111" s="9">
        <f>'Форма 2'!K446</f>
        <v>3878</v>
      </c>
      <c r="R111" s="37" t="s">
        <v>289</v>
      </c>
      <c r="S111" s="168">
        <v>1</v>
      </c>
    </row>
    <row r="112" spans="1:19" s="71" customFormat="1" ht="15" customHeight="1" x14ac:dyDescent="0.25">
      <c r="A112" s="236">
        <f>A111+1</f>
        <v>27</v>
      </c>
      <c r="B112" s="236">
        <v>157</v>
      </c>
      <c r="C112" s="233" t="s">
        <v>576</v>
      </c>
      <c r="D112" s="13">
        <v>1951</v>
      </c>
      <c r="E112" s="13" t="s">
        <v>95</v>
      </c>
      <c r="F112" s="13" t="s">
        <v>81</v>
      </c>
      <c r="G112" s="9">
        <v>523.4</v>
      </c>
      <c r="H112" s="9">
        <v>482.4</v>
      </c>
      <c r="I112" s="11">
        <v>31</v>
      </c>
      <c r="J112" s="9">
        <f>'Форма 2'!I449</f>
        <v>35215.199999999997</v>
      </c>
      <c r="K112" s="9">
        <v>0</v>
      </c>
      <c r="L112" s="9">
        <v>0</v>
      </c>
      <c r="M112" s="9">
        <v>0</v>
      </c>
      <c r="N112" s="9">
        <f t="shared" si="37"/>
        <v>35215.199999999997</v>
      </c>
      <c r="O112" s="9">
        <v>0</v>
      </c>
      <c r="P112" s="9">
        <f t="shared" si="38"/>
        <v>73</v>
      </c>
      <c r="Q112" s="9">
        <f>'Форма 2'!K449</f>
        <v>73</v>
      </c>
      <c r="R112" s="37" t="s">
        <v>289</v>
      </c>
      <c r="S112" s="168">
        <v>1</v>
      </c>
    </row>
    <row r="113" spans="1:19" s="71" customFormat="1" ht="15.75" customHeight="1" x14ac:dyDescent="0.25">
      <c r="A113" s="17">
        <f>A112+1</f>
        <v>28</v>
      </c>
      <c r="B113" s="236">
        <v>850</v>
      </c>
      <c r="C113" s="29" t="s">
        <v>99</v>
      </c>
      <c r="D113" s="13">
        <v>1989</v>
      </c>
      <c r="E113" s="13" t="s">
        <v>365</v>
      </c>
      <c r="F113" s="13" t="s">
        <v>82</v>
      </c>
      <c r="G113" s="9">
        <v>2018.5</v>
      </c>
      <c r="H113" s="9">
        <v>1771.5</v>
      </c>
      <c r="I113" s="11">
        <v>78</v>
      </c>
      <c r="J113" s="9">
        <f>'Форма 2'!I451</f>
        <v>4608728.6500000004</v>
      </c>
      <c r="K113" s="9">
        <v>0</v>
      </c>
      <c r="L113" s="9">
        <v>0</v>
      </c>
      <c r="M113" s="9">
        <v>0</v>
      </c>
      <c r="N113" s="9">
        <f t="shared" si="37"/>
        <v>4437671.1100000003</v>
      </c>
      <c r="O113" s="9">
        <v>171057.54</v>
      </c>
      <c r="P113" s="9">
        <f t="shared" si="38"/>
        <v>2601.6</v>
      </c>
      <c r="Q113" s="9">
        <f>'Форма 2'!K451</f>
        <v>5349</v>
      </c>
      <c r="R113" s="37" t="s">
        <v>289</v>
      </c>
      <c r="S113" s="168">
        <v>1</v>
      </c>
    </row>
    <row r="114" spans="1:19" s="71" customFormat="1" ht="15.75" customHeight="1" x14ac:dyDescent="0.25">
      <c r="A114" s="17">
        <f t="shared" si="39"/>
        <v>29</v>
      </c>
      <c r="B114" s="236">
        <v>987</v>
      </c>
      <c r="C114" s="29" t="s">
        <v>357</v>
      </c>
      <c r="D114" s="13">
        <v>1991</v>
      </c>
      <c r="E114" s="13" t="s">
        <v>366</v>
      </c>
      <c r="F114" s="13" t="s">
        <v>87</v>
      </c>
      <c r="G114" s="9">
        <v>2842.9</v>
      </c>
      <c r="H114" s="9">
        <v>2713.5</v>
      </c>
      <c r="I114" s="11">
        <v>103</v>
      </c>
      <c r="J114" s="9">
        <f>'Форма 2'!I460</f>
        <v>2086316.4</v>
      </c>
      <c r="K114" s="9">
        <v>0</v>
      </c>
      <c r="L114" s="9">
        <v>0</v>
      </c>
      <c r="M114" s="9">
        <v>0</v>
      </c>
      <c r="N114" s="9">
        <f t="shared" si="37"/>
        <v>2007756.96</v>
      </c>
      <c r="O114" s="9">
        <v>78559.44</v>
      </c>
      <c r="P114" s="9">
        <f t="shared" si="38"/>
        <v>768.87</v>
      </c>
      <c r="Q114" s="9">
        <f>'Форма 2'!K460</f>
        <v>1019.69</v>
      </c>
      <c r="R114" s="37" t="s">
        <v>289</v>
      </c>
      <c r="S114" s="168">
        <v>1</v>
      </c>
    </row>
    <row r="115" spans="1:19" s="71" customFormat="1" ht="15.75" customHeight="1" x14ac:dyDescent="0.25">
      <c r="A115" s="17">
        <f t="shared" si="39"/>
        <v>30</v>
      </c>
      <c r="B115" s="236">
        <v>555</v>
      </c>
      <c r="C115" s="29" t="s">
        <v>100</v>
      </c>
      <c r="D115" s="13">
        <v>1969</v>
      </c>
      <c r="E115" s="13" t="s">
        <v>95</v>
      </c>
      <c r="F115" s="13" t="s">
        <v>82</v>
      </c>
      <c r="G115" s="9">
        <v>2721.2</v>
      </c>
      <c r="H115" s="9">
        <v>2510.5</v>
      </c>
      <c r="I115" s="11">
        <v>95</v>
      </c>
      <c r="J115" s="9">
        <f>'Форма 2'!I465</f>
        <v>723771</v>
      </c>
      <c r="K115" s="9">
        <v>0</v>
      </c>
      <c r="L115" s="9">
        <v>0</v>
      </c>
      <c r="M115" s="9">
        <v>0</v>
      </c>
      <c r="N115" s="9">
        <f t="shared" si="37"/>
        <v>700679.58</v>
      </c>
      <c r="O115" s="9">
        <v>23091.42</v>
      </c>
      <c r="P115" s="9">
        <f t="shared" si="38"/>
        <v>288.3</v>
      </c>
      <c r="Q115" s="9">
        <f>'Форма 2'!K465</f>
        <v>362</v>
      </c>
      <c r="R115" s="37" t="s">
        <v>289</v>
      </c>
      <c r="S115" s="168">
        <v>1</v>
      </c>
    </row>
    <row r="116" spans="1:19" s="71" customFormat="1" ht="15.75" customHeight="1" x14ac:dyDescent="0.25">
      <c r="A116" s="17">
        <f t="shared" si="39"/>
        <v>31</v>
      </c>
      <c r="B116" s="236">
        <v>601</v>
      </c>
      <c r="C116" s="29" t="s">
        <v>129</v>
      </c>
      <c r="D116" s="13">
        <v>1973</v>
      </c>
      <c r="E116" s="13" t="s">
        <v>364</v>
      </c>
      <c r="F116" s="13" t="s">
        <v>82</v>
      </c>
      <c r="G116" s="9">
        <v>3244</v>
      </c>
      <c r="H116" s="9">
        <v>2902</v>
      </c>
      <c r="I116" s="11">
        <v>112</v>
      </c>
      <c r="J116" s="9">
        <f>'Форма 2'!I468</f>
        <v>9311103.7400000002</v>
      </c>
      <c r="K116" s="9">
        <v>0</v>
      </c>
      <c r="L116" s="9">
        <v>0</v>
      </c>
      <c r="M116" s="9">
        <v>0</v>
      </c>
      <c r="N116" s="9">
        <f t="shared" si="37"/>
        <v>9032898.9700000007</v>
      </c>
      <c r="O116" s="9">
        <v>278204.77</v>
      </c>
      <c r="P116" s="9">
        <f t="shared" si="38"/>
        <v>3208.51</v>
      </c>
      <c r="Q116" s="9">
        <f>'Форма 2'!K468</f>
        <v>4706</v>
      </c>
      <c r="R116" s="37" t="s">
        <v>289</v>
      </c>
      <c r="S116" s="168">
        <v>1</v>
      </c>
    </row>
    <row r="117" spans="1:19" s="71" customFormat="1" ht="15" customHeight="1" x14ac:dyDescent="0.25">
      <c r="A117" s="236">
        <f>A116+1</f>
        <v>32</v>
      </c>
      <c r="B117" s="236">
        <v>119</v>
      </c>
      <c r="C117" s="233" t="s">
        <v>577</v>
      </c>
      <c r="D117" s="13">
        <v>1946</v>
      </c>
      <c r="E117" s="13" t="s">
        <v>95</v>
      </c>
      <c r="F117" s="13" t="s">
        <v>81</v>
      </c>
      <c r="G117" s="9">
        <v>833.1</v>
      </c>
      <c r="H117" s="9">
        <v>811.7</v>
      </c>
      <c r="I117" s="11">
        <v>31</v>
      </c>
      <c r="J117" s="9">
        <f>'Форма 2'!I477</f>
        <v>57182</v>
      </c>
      <c r="K117" s="9">
        <v>0</v>
      </c>
      <c r="L117" s="9">
        <v>0</v>
      </c>
      <c r="M117" s="9">
        <v>0</v>
      </c>
      <c r="N117" s="9">
        <f t="shared" si="37"/>
        <v>57182</v>
      </c>
      <c r="O117" s="9">
        <v>0</v>
      </c>
      <c r="P117" s="9">
        <f t="shared" si="38"/>
        <v>70.45</v>
      </c>
      <c r="Q117" s="9">
        <f>'Форма 2'!K477</f>
        <v>73</v>
      </c>
      <c r="R117" s="37" t="s">
        <v>289</v>
      </c>
      <c r="S117" s="168">
        <v>1</v>
      </c>
    </row>
    <row r="118" spans="1:19" s="71" customFormat="1" ht="15" customHeight="1" x14ac:dyDescent="0.25">
      <c r="A118" s="236">
        <f>A117+1</f>
        <v>33</v>
      </c>
      <c r="B118" s="236">
        <v>888</v>
      </c>
      <c r="C118" s="233" t="s">
        <v>578</v>
      </c>
      <c r="D118" s="13">
        <v>1992</v>
      </c>
      <c r="E118" s="13" t="s">
        <v>86</v>
      </c>
      <c r="F118" s="13" t="s">
        <v>81</v>
      </c>
      <c r="G118" s="9">
        <v>4170.8</v>
      </c>
      <c r="H118" s="9">
        <v>3557.4</v>
      </c>
      <c r="I118" s="11">
        <v>134</v>
      </c>
      <c r="J118" s="9">
        <f>'Форма 2'!I479</f>
        <v>0</v>
      </c>
      <c r="K118" s="9">
        <v>0</v>
      </c>
      <c r="L118" s="9">
        <v>0</v>
      </c>
      <c r="M118" s="9">
        <v>0</v>
      </c>
      <c r="N118" s="9">
        <f>J118-K118-L118-M118-O118</f>
        <v>0</v>
      </c>
      <c r="O118" s="9">
        <v>0</v>
      </c>
      <c r="P118" s="9">
        <f>J118/H118</f>
        <v>0</v>
      </c>
      <c r="Q118" s="9">
        <f>'Форма 2'!K479</f>
        <v>18.149999999999999</v>
      </c>
      <c r="R118" s="37" t="s">
        <v>289</v>
      </c>
      <c r="S118" s="168">
        <v>1</v>
      </c>
    </row>
    <row r="119" spans="1:19" s="71" customFormat="1" ht="15.75" customHeight="1" x14ac:dyDescent="0.25">
      <c r="A119" s="282" t="s">
        <v>101</v>
      </c>
      <c r="B119" s="282"/>
      <c r="C119" s="282"/>
      <c r="D119" s="13" t="s">
        <v>13</v>
      </c>
      <c r="E119" s="17" t="s">
        <v>13</v>
      </c>
      <c r="F119" s="17" t="s">
        <v>13</v>
      </c>
      <c r="G119" s="9">
        <f t="shared" ref="G119:O119" si="42">SUM(G120:G137)</f>
        <v>110239.22</v>
      </c>
      <c r="H119" s="9">
        <f t="shared" si="42"/>
        <v>90462.62</v>
      </c>
      <c r="I119" s="11">
        <f t="shared" si="42"/>
        <v>3902</v>
      </c>
      <c r="J119" s="9">
        <f t="shared" si="42"/>
        <v>92960032.930000007</v>
      </c>
      <c r="K119" s="9">
        <f t="shared" si="42"/>
        <v>0</v>
      </c>
      <c r="L119" s="9">
        <f t="shared" si="42"/>
        <v>0</v>
      </c>
      <c r="M119" s="9">
        <f t="shared" si="42"/>
        <v>0</v>
      </c>
      <c r="N119" s="9">
        <f t="shared" si="42"/>
        <v>90044524.480000004</v>
      </c>
      <c r="O119" s="9">
        <f t="shared" si="42"/>
        <v>2915508.45</v>
      </c>
      <c r="P119" s="17" t="s">
        <v>13</v>
      </c>
      <c r="Q119" s="17" t="s">
        <v>13</v>
      </c>
      <c r="R119" s="17" t="s">
        <v>13</v>
      </c>
      <c r="S119" s="236" t="s">
        <v>13</v>
      </c>
    </row>
    <row r="120" spans="1:19" s="71" customFormat="1" ht="15.75" customHeight="1" x14ac:dyDescent="0.25">
      <c r="A120" s="236">
        <f>A118+1</f>
        <v>34</v>
      </c>
      <c r="B120" s="236">
        <v>1804</v>
      </c>
      <c r="C120" s="29" t="s">
        <v>481</v>
      </c>
      <c r="D120" s="13">
        <v>1993</v>
      </c>
      <c r="E120" s="13" t="s">
        <v>86</v>
      </c>
      <c r="F120" s="13" t="s">
        <v>87</v>
      </c>
      <c r="G120" s="9">
        <v>8332.9</v>
      </c>
      <c r="H120" s="9">
        <v>6579.5</v>
      </c>
      <c r="I120" s="11">
        <v>183</v>
      </c>
      <c r="J120" s="9">
        <f>'Форма 2'!I482</f>
        <v>5170441.33</v>
      </c>
      <c r="K120" s="9">
        <v>0</v>
      </c>
      <c r="L120" s="9">
        <v>0</v>
      </c>
      <c r="M120" s="9">
        <v>0</v>
      </c>
      <c r="N120" s="9">
        <f>J120-K120-L120-M120-O120</f>
        <v>4951222.03</v>
      </c>
      <c r="O120" s="9">
        <v>219219.3</v>
      </c>
      <c r="P120" s="9">
        <f>J120/H120</f>
        <v>785.84</v>
      </c>
      <c r="Q120" s="9">
        <f>'Форма 2'!K482</f>
        <v>1159.83</v>
      </c>
      <c r="R120" s="37" t="s">
        <v>289</v>
      </c>
      <c r="S120" s="168">
        <v>1</v>
      </c>
    </row>
    <row r="121" spans="1:19" s="71" customFormat="1" ht="15.75" customHeight="1" x14ac:dyDescent="0.25">
      <c r="A121" s="236">
        <f>A120+1</f>
        <v>35</v>
      </c>
      <c r="B121" s="236">
        <v>1687</v>
      </c>
      <c r="C121" s="29" t="s">
        <v>444</v>
      </c>
      <c r="D121" s="13">
        <v>1993</v>
      </c>
      <c r="E121" s="13" t="s">
        <v>86</v>
      </c>
      <c r="F121" s="13" t="s">
        <v>82</v>
      </c>
      <c r="G121" s="9">
        <v>11194.48</v>
      </c>
      <c r="H121" s="9">
        <v>9731</v>
      </c>
      <c r="I121" s="11">
        <v>401</v>
      </c>
      <c r="J121" s="9">
        <f>'Форма 2'!I492</f>
        <v>8380545.1900000004</v>
      </c>
      <c r="K121" s="9">
        <v>0</v>
      </c>
      <c r="L121" s="9">
        <v>0</v>
      </c>
      <c r="M121" s="9">
        <v>0</v>
      </c>
      <c r="N121" s="9">
        <f>J121-K121-L121-M121-O121</f>
        <v>8137167.3300000001</v>
      </c>
      <c r="O121" s="9">
        <v>243377.86</v>
      </c>
      <c r="P121" s="9">
        <f>J121/H121</f>
        <v>861.22</v>
      </c>
      <c r="Q121" s="9">
        <f>'Форма 2'!K492</f>
        <v>941.16</v>
      </c>
      <c r="R121" s="37" t="s">
        <v>289</v>
      </c>
      <c r="S121" s="168">
        <v>1</v>
      </c>
    </row>
    <row r="122" spans="1:19" s="71" customFormat="1" ht="15.75" customHeight="1" x14ac:dyDescent="0.25">
      <c r="A122" s="17">
        <f t="shared" ref="A122:A123" si="43">A121+1</f>
        <v>36</v>
      </c>
      <c r="B122" s="236">
        <v>1408</v>
      </c>
      <c r="C122" s="29" t="s">
        <v>130</v>
      </c>
      <c r="D122" s="13">
        <v>1974</v>
      </c>
      <c r="E122" s="13" t="s">
        <v>68</v>
      </c>
      <c r="F122" s="13" t="s">
        <v>82</v>
      </c>
      <c r="G122" s="9">
        <v>4377.6000000000004</v>
      </c>
      <c r="H122" s="9">
        <v>3561.2</v>
      </c>
      <c r="I122" s="11">
        <v>159</v>
      </c>
      <c r="J122" s="9">
        <f>'Форма 2'!I501</f>
        <v>5195930.8499999996</v>
      </c>
      <c r="K122" s="9">
        <v>0</v>
      </c>
      <c r="L122" s="9">
        <v>0</v>
      </c>
      <c r="M122" s="9">
        <v>0</v>
      </c>
      <c r="N122" s="9">
        <f t="shared" ref="N122:N137" si="44">J122-K122-L122-M122-O122</f>
        <v>5028007.71</v>
      </c>
      <c r="O122" s="9">
        <v>167923.14</v>
      </c>
      <c r="P122" s="9">
        <f t="shared" ref="P122:P137" si="45">J122/H122</f>
        <v>1459.04</v>
      </c>
      <c r="Q122" s="9">
        <f>'Форма 2'!K501</f>
        <v>3878</v>
      </c>
      <c r="R122" s="37" t="s">
        <v>289</v>
      </c>
      <c r="S122" s="168">
        <v>1</v>
      </c>
    </row>
    <row r="123" spans="1:19" s="71" customFormat="1" ht="15.75" customHeight="1" x14ac:dyDescent="0.25">
      <c r="A123" s="17">
        <f t="shared" si="43"/>
        <v>37</v>
      </c>
      <c r="B123" s="236">
        <v>1410</v>
      </c>
      <c r="C123" s="29" t="s">
        <v>131</v>
      </c>
      <c r="D123" s="13">
        <v>1975</v>
      </c>
      <c r="E123" s="13" t="s">
        <v>363</v>
      </c>
      <c r="F123" s="13" t="s">
        <v>82</v>
      </c>
      <c r="G123" s="9">
        <v>2221.5</v>
      </c>
      <c r="H123" s="9">
        <v>1477.5</v>
      </c>
      <c r="I123" s="11">
        <v>108</v>
      </c>
      <c r="J123" s="9">
        <f>'Форма 2'!I504</f>
        <v>12679903.939999999</v>
      </c>
      <c r="K123" s="9">
        <v>0</v>
      </c>
      <c r="L123" s="9">
        <v>0</v>
      </c>
      <c r="M123" s="9">
        <v>0</v>
      </c>
      <c r="N123" s="9">
        <f t="shared" si="44"/>
        <v>12281428.029999999</v>
      </c>
      <c r="O123" s="9">
        <v>398475.91</v>
      </c>
      <c r="P123" s="9">
        <f t="shared" si="45"/>
        <v>8582</v>
      </c>
      <c r="Q123" s="9">
        <f>'Форма 2'!K504</f>
        <v>12079</v>
      </c>
      <c r="R123" s="37" t="s">
        <v>289</v>
      </c>
      <c r="S123" s="168">
        <v>1</v>
      </c>
    </row>
    <row r="124" spans="1:19" s="71" customFormat="1" x14ac:dyDescent="0.25">
      <c r="A124" s="236">
        <f>A123+1</f>
        <v>38</v>
      </c>
      <c r="B124" s="236">
        <v>1938</v>
      </c>
      <c r="C124" s="233" t="s">
        <v>579</v>
      </c>
      <c r="D124" s="13">
        <v>1962</v>
      </c>
      <c r="E124" s="13" t="s">
        <v>107</v>
      </c>
      <c r="F124" s="13" t="s">
        <v>81</v>
      </c>
      <c r="G124" s="9">
        <v>1721.16</v>
      </c>
      <c r="H124" s="9">
        <v>1618</v>
      </c>
      <c r="I124" s="11">
        <v>50</v>
      </c>
      <c r="J124" s="9">
        <f>'Форма 2'!I511</f>
        <v>322804</v>
      </c>
      <c r="K124" s="9">
        <v>0</v>
      </c>
      <c r="L124" s="9">
        <v>0</v>
      </c>
      <c r="M124" s="9">
        <v>0</v>
      </c>
      <c r="N124" s="9">
        <f t="shared" si="44"/>
        <v>322804</v>
      </c>
      <c r="O124" s="9">
        <v>0</v>
      </c>
      <c r="P124" s="9">
        <f t="shared" si="45"/>
        <v>199.51</v>
      </c>
      <c r="Q124" s="9">
        <f>'Форма 2'!K511</f>
        <v>223</v>
      </c>
      <c r="R124" s="37" t="s">
        <v>289</v>
      </c>
      <c r="S124" s="168">
        <v>1</v>
      </c>
    </row>
    <row r="125" spans="1:19" s="71" customFormat="1" ht="15" customHeight="1" x14ac:dyDescent="0.25">
      <c r="A125" s="236">
        <f>A124+1</f>
        <v>39</v>
      </c>
      <c r="B125" s="236">
        <v>1021</v>
      </c>
      <c r="C125" s="233" t="s">
        <v>580</v>
      </c>
      <c r="D125" s="13">
        <v>1993</v>
      </c>
      <c r="E125" s="13" t="s">
        <v>86</v>
      </c>
      <c r="F125" s="13" t="s">
        <v>81</v>
      </c>
      <c r="G125" s="9">
        <v>8742.6</v>
      </c>
      <c r="H125" s="9">
        <v>8061.42</v>
      </c>
      <c r="I125" s="11">
        <v>254</v>
      </c>
      <c r="J125" s="9">
        <f>'Форма 2'!I516</f>
        <v>0</v>
      </c>
      <c r="K125" s="9">
        <v>0</v>
      </c>
      <c r="L125" s="9">
        <v>0</v>
      </c>
      <c r="M125" s="9">
        <v>0</v>
      </c>
      <c r="N125" s="9">
        <f t="shared" si="44"/>
        <v>0</v>
      </c>
      <c r="O125" s="9">
        <v>0</v>
      </c>
      <c r="P125" s="9">
        <f t="shared" si="45"/>
        <v>0</v>
      </c>
      <c r="Q125" s="9">
        <f>'Форма 2'!K516</f>
        <v>16.02</v>
      </c>
      <c r="R125" s="37" t="s">
        <v>289</v>
      </c>
      <c r="S125" s="168">
        <v>1</v>
      </c>
    </row>
    <row r="126" spans="1:19" s="71" customFormat="1" ht="15" customHeight="1" x14ac:dyDescent="0.25">
      <c r="A126" s="236">
        <f t="shared" ref="A126:A127" si="46">A125+1</f>
        <v>40</v>
      </c>
      <c r="B126" s="236">
        <v>1284</v>
      </c>
      <c r="C126" s="233" t="s">
        <v>581</v>
      </c>
      <c r="D126" s="13">
        <v>1995</v>
      </c>
      <c r="E126" s="13" t="s">
        <v>86</v>
      </c>
      <c r="F126" s="13" t="s">
        <v>81</v>
      </c>
      <c r="G126" s="9">
        <v>4536.2</v>
      </c>
      <c r="H126" s="9">
        <v>3691.9</v>
      </c>
      <c r="I126" s="11">
        <v>165</v>
      </c>
      <c r="J126" s="9">
        <f>'Форма 2'!I521</f>
        <v>0</v>
      </c>
      <c r="K126" s="9">
        <v>0</v>
      </c>
      <c r="L126" s="9">
        <v>0</v>
      </c>
      <c r="M126" s="9">
        <v>0</v>
      </c>
      <c r="N126" s="9">
        <f t="shared" si="44"/>
        <v>0</v>
      </c>
      <c r="O126" s="9">
        <v>0</v>
      </c>
      <c r="P126" s="9">
        <f t="shared" si="45"/>
        <v>0</v>
      </c>
      <c r="Q126" s="9">
        <f>'Форма 2'!K521</f>
        <v>17.489999999999998</v>
      </c>
      <c r="R126" s="37" t="s">
        <v>289</v>
      </c>
      <c r="S126" s="168">
        <v>1</v>
      </c>
    </row>
    <row r="127" spans="1:19" s="71" customFormat="1" ht="15" customHeight="1" x14ac:dyDescent="0.25">
      <c r="A127" s="236">
        <f t="shared" si="46"/>
        <v>41</v>
      </c>
      <c r="B127" s="236">
        <v>1292</v>
      </c>
      <c r="C127" s="233" t="s">
        <v>582</v>
      </c>
      <c r="D127" s="13" t="s">
        <v>637</v>
      </c>
      <c r="E127" s="13" t="s">
        <v>86</v>
      </c>
      <c r="F127" s="13" t="s">
        <v>81</v>
      </c>
      <c r="G127" s="9">
        <v>11836</v>
      </c>
      <c r="H127" s="9">
        <v>9049.9</v>
      </c>
      <c r="I127" s="11">
        <v>358</v>
      </c>
      <c r="J127" s="9">
        <f>'Форма 2'!I524</f>
        <v>0</v>
      </c>
      <c r="K127" s="9">
        <v>0</v>
      </c>
      <c r="L127" s="9">
        <v>0</v>
      </c>
      <c r="M127" s="9">
        <v>0</v>
      </c>
      <c r="N127" s="9">
        <f t="shared" si="44"/>
        <v>0</v>
      </c>
      <c r="O127" s="9">
        <v>0</v>
      </c>
      <c r="P127" s="9">
        <f t="shared" si="45"/>
        <v>0</v>
      </c>
      <c r="Q127" s="9">
        <f>'Форма 2'!K524</f>
        <v>3.57</v>
      </c>
      <c r="R127" s="37" t="s">
        <v>289</v>
      </c>
      <c r="S127" s="168">
        <v>1</v>
      </c>
    </row>
    <row r="128" spans="1:19" s="71" customFormat="1" ht="31.5" customHeight="1" x14ac:dyDescent="0.25">
      <c r="A128" s="236">
        <f>A127+1</f>
        <v>42</v>
      </c>
      <c r="B128" s="236">
        <v>1057</v>
      </c>
      <c r="C128" s="252" t="s">
        <v>535</v>
      </c>
      <c r="D128" s="251" t="s">
        <v>548</v>
      </c>
      <c r="E128" s="251" t="s">
        <v>86</v>
      </c>
      <c r="F128" s="251" t="s">
        <v>87</v>
      </c>
      <c r="G128" s="22">
        <v>20649.8</v>
      </c>
      <c r="H128" s="22">
        <v>15850.4</v>
      </c>
      <c r="I128" s="15">
        <v>599</v>
      </c>
      <c r="J128" s="22">
        <f>'Форма 2'!I526</f>
        <v>5170957.38</v>
      </c>
      <c r="K128" s="22">
        <v>0</v>
      </c>
      <c r="L128" s="22">
        <v>0</v>
      </c>
      <c r="M128" s="22">
        <v>0</v>
      </c>
      <c r="N128" s="22">
        <f>J128-K128-L128-M128-O128</f>
        <v>4970849.5599999996</v>
      </c>
      <c r="O128" s="22">
        <v>200107.82</v>
      </c>
      <c r="P128" s="22">
        <f>J128/H128</f>
        <v>326.24</v>
      </c>
      <c r="Q128" s="22">
        <f>'Форма 2'!K526</f>
        <v>439.47</v>
      </c>
      <c r="R128" s="206" t="s">
        <v>289</v>
      </c>
      <c r="S128" s="168">
        <v>1</v>
      </c>
    </row>
    <row r="129" spans="1:19" s="71" customFormat="1" ht="15.75" customHeight="1" x14ac:dyDescent="0.25">
      <c r="A129" s="236">
        <f>A128+1</f>
        <v>43</v>
      </c>
      <c r="B129" s="236">
        <v>1605</v>
      </c>
      <c r="C129" s="29" t="s">
        <v>443</v>
      </c>
      <c r="D129" s="13">
        <v>1991</v>
      </c>
      <c r="E129" s="13" t="s">
        <v>86</v>
      </c>
      <c r="F129" s="13" t="s">
        <v>82</v>
      </c>
      <c r="G129" s="9">
        <v>5583</v>
      </c>
      <c r="H129" s="9">
        <v>4850.8999999999996</v>
      </c>
      <c r="I129" s="11">
        <v>183</v>
      </c>
      <c r="J129" s="9">
        <f>'Форма 2'!I536</f>
        <v>4189663.37</v>
      </c>
      <c r="K129" s="9">
        <v>0</v>
      </c>
      <c r="L129" s="9">
        <v>0</v>
      </c>
      <c r="M129" s="9">
        <v>0</v>
      </c>
      <c r="N129" s="9">
        <f>J129-K129-L129-M129-O129</f>
        <v>4068006.55</v>
      </c>
      <c r="O129" s="9">
        <v>121656.82</v>
      </c>
      <c r="P129" s="9">
        <f>J129/H129</f>
        <v>863.69</v>
      </c>
      <c r="Q129" s="9">
        <f>'Форма 2'!K536</f>
        <v>944</v>
      </c>
      <c r="R129" s="37" t="s">
        <v>289</v>
      </c>
      <c r="S129" s="168">
        <v>1</v>
      </c>
    </row>
    <row r="130" spans="1:19" s="71" customFormat="1" ht="15.75" customHeight="1" x14ac:dyDescent="0.25">
      <c r="A130" s="236">
        <f>A129+1</f>
        <v>44</v>
      </c>
      <c r="B130" s="236">
        <v>1445</v>
      </c>
      <c r="C130" s="29" t="s">
        <v>482</v>
      </c>
      <c r="D130" s="13">
        <v>1991</v>
      </c>
      <c r="E130" s="13" t="s">
        <v>68</v>
      </c>
      <c r="F130" s="13" t="s">
        <v>114</v>
      </c>
      <c r="G130" s="9">
        <v>1572.4</v>
      </c>
      <c r="H130" s="9">
        <v>1372.4</v>
      </c>
      <c r="I130" s="11">
        <v>52</v>
      </c>
      <c r="J130" s="9">
        <f>'Форма 2'!I541</f>
        <v>2437382.6800000002</v>
      </c>
      <c r="K130" s="9">
        <v>0</v>
      </c>
      <c r="L130" s="9">
        <v>0</v>
      </c>
      <c r="M130" s="9">
        <v>0</v>
      </c>
      <c r="N130" s="9">
        <f t="shared" si="44"/>
        <v>2379628.2999999998</v>
      </c>
      <c r="O130" s="9">
        <v>57754.38</v>
      </c>
      <c r="P130" s="9">
        <f t="shared" si="45"/>
        <v>1776</v>
      </c>
      <c r="Q130" s="9">
        <f>'Форма 2'!K541</f>
        <v>3878</v>
      </c>
      <c r="R130" s="37" t="s">
        <v>289</v>
      </c>
      <c r="S130" s="168">
        <v>1</v>
      </c>
    </row>
    <row r="131" spans="1:19" s="71" customFormat="1" ht="15.75" customHeight="1" x14ac:dyDescent="0.25">
      <c r="A131" s="17">
        <f>A130+1</f>
        <v>45</v>
      </c>
      <c r="B131" s="236">
        <v>1789</v>
      </c>
      <c r="C131" s="29" t="s">
        <v>132</v>
      </c>
      <c r="D131" s="13">
        <v>1973</v>
      </c>
      <c r="E131" s="13" t="s">
        <v>68</v>
      </c>
      <c r="F131" s="13" t="s">
        <v>82</v>
      </c>
      <c r="G131" s="9">
        <v>3610.9</v>
      </c>
      <c r="H131" s="9">
        <v>2815.6</v>
      </c>
      <c r="I131" s="11">
        <v>263</v>
      </c>
      <c r="J131" s="9">
        <f>'Форма 2'!I544</f>
        <v>7342655.5099999998</v>
      </c>
      <c r="K131" s="9">
        <v>0</v>
      </c>
      <c r="L131" s="9">
        <v>0</v>
      </c>
      <c r="M131" s="9">
        <v>0</v>
      </c>
      <c r="N131" s="9">
        <f t="shared" si="44"/>
        <v>7114954.0300000003</v>
      </c>
      <c r="O131" s="9">
        <v>227701.48</v>
      </c>
      <c r="P131" s="9">
        <f t="shared" si="45"/>
        <v>2607.85</v>
      </c>
      <c r="Q131" s="9">
        <f>'Форма 2'!K544</f>
        <v>3878</v>
      </c>
      <c r="R131" s="37" t="s">
        <v>289</v>
      </c>
      <c r="S131" s="168">
        <v>1</v>
      </c>
    </row>
    <row r="132" spans="1:19" s="71" customFormat="1" ht="15.75" customHeight="1" x14ac:dyDescent="0.25">
      <c r="A132" s="17">
        <f t="shared" ref="A132:A137" si="47">A131+1</f>
        <v>46</v>
      </c>
      <c r="B132" s="236">
        <v>1042</v>
      </c>
      <c r="C132" s="29" t="s">
        <v>133</v>
      </c>
      <c r="D132" s="13">
        <v>1976</v>
      </c>
      <c r="E132" s="13" t="s">
        <v>68</v>
      </c>
      <c r="F132" s="13" t="s">
        <v>82</v>
      </c>
      <c r="G132" s="9">
        <v>5331.1</v>
      </c>
      <c r="H132" s="9">
        <v>3945.3</v>
      </c>
      <c r="I132" s="11">
        <v>183</v>
      </c>
      <c r="J132" s="9">
        <f>'Форма 2'!I547</f>
        <v>5368959.2300000004</v>
      </c>
      <c r="K132" s="9">
        <v>0</v>
      </c>
      <c r="L132" s="9">
        <v>0</v>
      </c>
      <c r="M132" s="9">
        <v>0</v>
      </c>
      <c r="N132" s="9">
        <f t="shared" si="44"/>
        <v>5201765.58</v>
      </c>
      <c r="O132" s="9">
        <v>167193.65</v>
      </c>
      <c r="P132" s="9">
        <f t="shared" si="45"/>
        <v>1360.85</v>
      </c>
      <c r="Q132" s="9">
        <f>'Форма 2'!K547</f>
        <v>3878</v>
      </c>
      <c r="R132" s="37" t="s">
        <v>289</v>
      </c>
      <c r="S132" s="168">
        <v>1</v>
      </c>
    </row>
    <row r="133" spans="1:19" s="71" customFormat="1" x14ac:dyDescent="0.25">
      <c r="A133" s="236">
        <f>A132+1</f>
        <v>47</v>
      </c>
      <c r="B133" s="236">
        <v>1818</v>
      </c>
      <c r="C133" s="233" t="s">
        <v>583</v>
      </c>
      <c r="D133" s="13">
        <v>1961</v>
      </c>
      <c r="E133" s="13" t="s">
        <v>107</v>
      </c>
      <c r="F133" s="13" t="s">
        <v>81</v>
      </c>
      <c r="G133" s="9">
        <v>1384.48</v>
      </c>
      <c r="H133" s="9">
        <v>1284.2</v>
      </c>
      <c r="I133" s="11">
        <v>73</v>
      </c>
      <c r="J133" s="9">
        <f>'Форма 2'!I550</f>
        <v>262107.6</v>
      </c>
      <c r="K133" s="9">
        <v>0</v>
      </c>
      <c r="L133" s="9">
        <v>0</v>
      </c>
      <c r="M133" s="9">
        <v>0</v>
      </c>
      <c r="N133" s="9">
        <f>J133-K133-L133-M133-O133</f>
        <v>262107.6</v>
      </c>
      <c r="O133" s="9">
        <v>0</v>
      </c>
      <c r="P133" s="9">
        <f>J133/H133</f>
        <v>204.1</v>
      </c>
      <c r="Q133" s="9">
        <f>'Форма 2'!K550</f>
        <v>223</v>
      </c>
      <c r="R133" s="37" t="s">
        <v>289</v>
      </c>
      <c r="S133" s="168">
        <v>1</v>
      </c>
    </row>
    <row r="134" spans="1:19" s="71" customFormat="1" ht="15.75" customHeight="1" x14ac:dyDescent="0.25">
      <c r="A134" s="17">
        <f>A133+1</f>
        <v>48</v>
      </c>
      <c r="B134" s="236">
        <v>1271</v>
      </c>
      <c r="C134" s="29" t="s">
        <v>103</v>
      </c>
      <c r="D134" s="13">
        <v>1977</v>
      </c>
      <c r="E134" s="13" t="s">
        <v>68</v>
      </c>
      <c r="F134" s="13" t="s">
        <v>82</v>
      </c>
      <c r="G134" s="9">
        <v>6535.4</v>
      </c>
      <c r="H134" s="9">
        <v>6067.1</v>
      </c>
      <c r="I134" s="11">
        <v>200</v>
      </c>
      <c r="J134" s="9">
        <f>'Форма 2'!I555</f>
        <v>12980844.720000001</v>
      </c>
      <c r="K134" s="9">
        <v>0</v>
      </c>
      <c r="L134" s="9">
        <v>0</v>
      </c>
      <c r="M134" s="9">
        <v>0</v>
      </c>
      <c r="N134" s="9">
        <f t="shared" si="44"/>
        <v>12549934.119999999</v>
      </c>
      <c r="O134" s="9">
        <v>430910.6</v>
      </c>
      <c r="P134" s="9">
        <f t="shared" si="45"/>
        <v>2139.5500000000002</v>
      </c>
      <c r="Q134" s="9">
        <f>'Форма 2'!K555</f>
        <v>3878</v>
      </c>
      <c r="R134" s="37" t="s">
        <v>289</v>
      </c>
      <c r="S134" s="168">
        <v>1</v>
      </c>
    </row>
    <row r="135" spans="1:19" s="71" customFormat="1" ht="15.75" customHeight="1" x14ac:dyDescent="0.25">
      <c r="A135" s="17">
        <f t="shared" si="47"/>
        <v>49</v>
      </c>
      <c r="B135" s="236">
        <v>1322</v>
      </c>
      <c r="C135" s="29" t="s">
        <v>135</v>
      </c>
      <c r="D135" s="13">
        <v>1975</v>
      </c>
      <c r="E135" s="13" t="s">
        <v>68</v>
      </c>
      <c r="F135" s="13" t="s">
        <v>82</v>
      </c>
      <c r="G135" s="9">
        <v>4175.3999999999996</v>
      </c>
      <c r="H135" s="9">
        <v>3047.8</v>
      </c>
      <c r="I135" s="11">
        <v>230</v>
      </c>
      <c r="J135" s="9">
        <f>'Форма 2'!I558</f>
        <v>6964368.9199999999</v>
      </c>
      <c r="K135" s="9">
        <v>0</v>
      </c>
      <c r="L135" s="9">
        <v>0</v>
      </c>
      <c r="M135" s="9">
        <v>0</v>
      </c>
      <c r="N135" s="9">
        <f t="shared" si="44"/>
        <v>6751162.25</v>
      </c>
      <c r="O135" s="9">
        <v>213206.67</v>
      </c>
      <c r="P135" s="9">
        <f t="shared" si="45"/>
        <v>2285.0500000000002</v>
      </c>
      <c r="Q135" s="9">
        <f>'Форма 2'!K558</f>
        <v>3878</v>
      </c>
      <c r="R135" s="37" t="s">
        <v>289</v>
      </c>
      <c r="S135" s="168">
        <v>1</v>
      </c>
    </row>
    <row r="136" spans="1:19" s="71" customFormat="1" ht="15.75" customHeight="1" x14ac:dyDescent="0.25">
      <c r="A136" s="17">
        <f t="shared" si="47"/>
        <v>50</v>
      </c>
      <c r="B136" s="236">
        <v>1323</v>
      </c>
      <c r="C136" s="29" t="s">
        <v>136</v>
      </c>
      <c r="D136" s="13">
        <v>1975</v>
      </c>
      <c r="E136" s="13" t="s">
        <v>68</v>
      </c>
      <c r="F136" s="13" t="s">
        <v>82</v>
      </c>
      <c r="G136" s="9">
        <v>3613.8</v>
      </c>
      <c r="H136" s="9">
        <v>3118</v>
      </c>
      <c r="I136" s="11">
        <v>206</v>
      </c>
      <c r="J136" s="9">
        <f>'Форма 2'!I561</f>
        <v>7557784.9699999997</v>
      </c>
      <c r="K136" s="9">
        <v>0</v>
      </c>
      <c r="L136" s="9">
        <v>0</v>
      </c>
      <c r="M136" s="9">
        <v>0</v>
      </c>
      <c r="N136" s="9">
        <f t="shared" si="44"/>
        <v>7335117.3600000003</v>
      </c>
      <c r="O136" s="9">
        <v>222667.61</v>
      </c>
      <c r="P136" s="9">
        <f t="shared" si="45"/>
        <v>2423.92</v>
      </c>
      <c r="Q136" s="9">
        <f>'Форма 2'!K561</f>
        <v>3878</v>
      </c>
      <c r="R136" s="37" t="s">
        <v>289</v>
      </c>
      <c r="S136" s="168">
        <v>1</v>
      </c>
    </row>
    <row r="137" spans="1:19" s="71" customFormat="1" ht="15.75" customHeight="1" x14ac:dyDescent="0.25">
      <c r="A137" s="17">
        <f t="shared" si="47"/>
        <v>51</v>
      </c>
      <c r="B137" s="236">
        <v>1484</v>
      </c>
      <c r="C137" s="29" t="s">
        <v>358</v>
      </c>
      <c r="D137" s="13">
        <v>1975</v>
      </c>
      <c r="E137" s="13" t="s">
        <v>68</v>
      </c>
      <c r="F137" s="13" t="s">
        <v>82</v>
      </c>
      <c r="G137" s="9">
        <v>4820.5</v>
      </c>
      <c r="H137" s="9">
        <v>4340.5</v>
      </c>
      <c r="I137" s="11">
        <v>235</v>
      </c>
      <c r="J137" s="9">
        <f>'Форма 2'!I564</f>
        <v>8935683.2400000002</v>
      </c>
      <c r="K137" s="9">
        <v>0</v>
      </c>
      <c r="L137" s="9">
        <v>0</v>
      </c>
      <c r="M137" s="9">
        <v>0</v>
      </c>
      <c r="N137" s="9">
        <f t="shared" si="44"/>
        <v>8690370.0299999993</v>
      </c>
      <c r="O137" s="9">
        <v>245313.21</v>
      </c>
      <c r="P137" s="9">
        <f t="shared" si="45"/>
        <v>2058.6799999999998</v>
      </c>
      <c r="Q137" s="9">
        <f>'Форма 2'!K564</f>
        <v>3878</v>
      </c>
      <c r="R137" s="37" t="s">
        <v>289</v>
      </c>
      <c r="S137" s="168">
        <v>1</v>
      </c>
    </row>
    <row r="138" spans="1:19" s="71" customFormat="1" ht="15.75" customHeight="1" x14ac:dyDescent="0.25">
      <c r="A138" s="282" t="s">
        <v>105</v>
      </c>
      <c r="B138" s="282"/>
      <c r="C138" s="282"/>
      <c r="D138" s="13" t="s">
        <v>13</v>
      </c>
      <c r="E138" s="17" t="s">
        <v>13</v>
      </c>
      <c r="F138" s="17" t="s">
        <v>13</v>
      </c>
      <c r="G138" s="9">
        <f>SUM(G139:G197)</f>
        <v>350988.53</v>
      </c>
      <c r="H138" s="9">
        <f t="shared" ref="H138:O138" si="48">SUM(H139:H197)</f>
        <v>302277.53999999998</v>
      </c>
      <c r="I138" s="11">
        <f t="shared" si="48"/>
        <v>11100</v>
      </c>
      <c r="J138" s="9">
        <f t="shared" si="48"/>
        <v>278555790.58999997</v>
      </c>
      <c r="K138" s="9">
        <f t="shared" si="48"/>
        <v>0</v>
      </c>
      <c r="L138" s="9">
        <f t="shared" si="48"/>
        <v>0</v>
      </c>
      <c r="M138" s="9">
        <f t="shared" si="48"/>
        <v>0</v>
      </c>
      <c r="N138" s="9">
        <f t="shared" si="48"/>
        <v>271000772.97000003</v>
      </c>
      <c r="O138" s="9">
        <f t="shared" si="48"/>
        <v>7555017.6200000001</v>
      </c>
      <c r="P138" s="17" t="s">
        <v>13</v>
      </c>
      <c r="Q138" s="17" t="s">
        <v>13</v>
      </c>
      <c r="R138" s="17" t="s">
        <v>13</v>
      </c>
      <c r="S138" s="236" t="s">
        <v>13</v>
      </c>
    </row>
    <row r="139" spans="1:19" s="71" customFormat="1" ht="15" customHeight="1" x14ac:dyDescent="0.25">
      <c r="A139" s="236">
        <f>A137+1</f>
        <v>52</v>
      </c>
      <c r="B139" s="236">
        <v>3345</v>
      </c>
      <c r="C139" s="233" t="s">
        <v>584</v>
      </c>
      <c r="D139" s="13">
        <v>1993</v>
      </c>
      <c r="E139" s="13" t="s">
        <v>86</v>
      </c>
      <c r="F139" s="13" t="s">
        <v>81</v>
      </c>
      <c r="G139" s="9">
        <v>5751.94</v>
      </c>
      <c r="H139" s="9">
        <v>4732.1899999999996</v>
      </c>
      <c r="I139" s="11">
        <v>179</v>
      </c>
      <c r="J139" s="9">
        <f>'Форма 2'!I567</f>
        <v>0</v>
      </c>
      <c r="K139" s="9">
        <v>0</v>
      </c>
      <c r="L139" s="9">
        <v>0</v>
      </c>
      <c r="M139" s="9">
        <v>0</v>
      </c>
      <c r="N139" s="9">
        <f>J139-K139-L139-M139-O139</f>
        <v>0</v>
      </c>
      <c r="O139" s="9">
        <v>0</v>
      </c>
      <c r="P139" s="9">
        <f>J139/H139</f>
        <v>0</v>
      </c>
      <c r="Q139" s="9">
        <f>'Форма 2'!K567</f>
        <v>6.82</v>
      </c>
      <c r="R139" s="37" t="s">
        <v>289</v>
      </c>
      <c r="S139" s="168">
        <v>1</v>
      </c>
    </row>
    <row r="140" spans="1:19" s="71" customFormat="1" ht="15.75" customHeight="1" x14ac:dyDescent="0.25">
      <c r="A140" s="17">
        <f>A139+1</f>
        <v>53</v>
      </c>
      <c r="B140" s="236">
        <v>4242</v>
      </c>
      <c r="C140" s="29" t="s">
        <v>203</v>
      </c>
      <c r="D140" s="13">
        <v>1991</v>
      </c>
      <c r="E140" s="13" t="s">
        <v>86</v>
      </c>
      <c r="F140" s="13" t="s">
        <v>82</v>
      </c>
      <c r="G140" s="9">
        <v>10373.61</v>
      </c>
      <c r="H140" s="9">
        <v>8994.61</v>
      </c>
      <c r="I140" s="11">
        <v>340</v>
      </c>
      <c r="J140" s="9">
        <f>'Форма 2'!I569</f>
        <v>4195085.97</v>
      </c>
      <c r="K140" s="9">
        <v>0</v>
      </c>
      <c r="L140" s="9">
        <v>0</v>
      </c>
      <c r="M140" s="9">
        <v>0</v>
      </c>
      <c r="N140" s="9">
        <f t="shared" ref="N140:N194" si="49">J140-K140-L140-M140-O140</f>
        <v>4074571.18</v>
      </c>
      <c r="O140" s="9">
        <v>120514.79</v>
      </c>
      <c r="P140" s="9">
        <f t="shared" ref="P140:P194" si="50">J140/H140</f>
        <v>466.4</v>
      </c>
      <c r="Q140" s="9">
        <f>'Форма 2'!K569</f>
        <v>509.1</v>
      </c>
      <c r="R140" s="37" t="s">
        <v>289</v>
      </c>
      <c r="S140" s="168">
        <v>1</v>
      </c>
    </row>
    <row r="141" spans="1:19" s="71" customFormat="1" ht="15.75" customHeight="1" x14ac:dyDescent="0.25">
      <c r="A141" s="17">
        <f>A140+1</f>
        <v>54</v>
      </c>
      <c r="B141" s="236">
        <v>3198</v>
      </c>
      <c r="C141" s="29" t="s">
        <v>138</v>
      </c>
      <c r="D141" s="13">
        <v>1976</v>
      </c>
      <c r="E141" s="13" t="s">
        <v>68</v>
      </c>
      <c r="F141" s="13" t="s">
        <v>82</v>
      </c>
      <c r="G141" s="9">
        <v>2977.1</v>
      </c>
      <c r="H141" s="9">
        <v>2619.1</v>
      </c>
      <c r="I141" s="11">
        <v>99</v>
      </c>
      <c r="J141" s="9">
        <f>'Форма 2'!I574</f>
        <v>7373396.2999999998</v>
      </c>
      <c r="K141" s="9">
        <v>0</v>
      </c>
      <c r="L141" s="9">
        <v>0</v>
      </c>
      <c r="M141" s="9">
        <v>0</v>
      </c>
      <c r="N141" s="9">
        <f t="shared" si="49"/>
        <v>7155001.6299999999</v>
      </c>
      <c r="O141" s="9">
        <v>218394.67</v>
      </c>
      <c r="P141" s="9">
        <f t="shared" si="50"/>
        <v>2815.24</v>
      </c>
      <c r="Q141" s="9">
        <f>'Форма 2'!K574</f>
        <v>3878</v>
      </c>
      <c r="R141" s="37" t="s">
        <v>289</v>
      </c>
      <c r="S141" s="168">
        <v>1</v>
      </c>
    </row>
    <row r="142" spans="1:19" s="71" customFormat="1" ht="15.75" customHeight="1" x14ac:dyDescent="0.25">
      <c r="A142" s="17">
        <f t="shared" ref="A142:A194" si="51">A141+1</f>
        <v>55</v>
      </c>
      <c r="B142" s="236">
        <v>3204</v>
      </c>
      <c r="C142" s="29" t="s">
        <v>359</v>
      </c>
      <c r="D142" s="13">
        <v>1976</v>
      </c>
      <c r="E142" s="13" t="s">
        <v>68</v>
      </c>
      <c r="F142" s="13" t="s">
        <v>82</v>
      </c>
      <c r="G142" s="9">
        <v>2920.3</v>
      </c>
      <c r="H142" s="9">
        <v>2626.3</v>
      </c>
      <c r="I142" s="11">
        <v>99</v>
      </c>
      <c r="J142" s="9">
        <f>'Форма 2'!I577</f>
        <v>6844077</v>
      </c>
      <c r="K142" s="9">
        <v>0</v>
      </c>
      <c r="L142" s="9">
        <v>0</v>
      </c>
      <c r="M142" s="9">
        <v>0</v>
      </c>
      <c r="N142" s="9">
        <f t="shared" si="49"/>
        <v>6625634.6699999999</v>
      </c>
      <c r="O142" s="9">
        <v>218442.33</v>
      </c>
      <c r="P142" s="9">
        <f t="shared" si="50"/>
        <v>2605.98</v>
      </c>
      <c r="Q142" s="9">
        <f>'Форма 2'!K577</f>
        <v>3878</v>
      </c>
      <c r="R142" s="37" t="s">
        <v>289</v>
      </c>
      <c r="S142" s="168">
        <v>1</v>
      </c>
    </row>
    <row r="143" spans="1:19" s="71" customFormat="1" ht="15.75" customHeight="1" x14ac:dyDescent="0.25">
      <c r="A143" s="17">
        <f t="shared" si="51"/>
        <v>56</v>
      </c>
      <c r="B143" s="236">
        <v>4069</v>
      </c>
      <c r="C143" s="29" t="s">
        <v>278</v>
      </c>
      <c r="D143" s="13">
        <v>1988</v>
      </c>
      <c r="E143" s="13" t="s">
        <v>68</v>
      </c>
      <c r="F143" s="13" t="s">
        <v>82</v>
      </c>
      <c r="G143" s="9">
        <v>12269.93</v>
      </c>
      <c r="H143" s="9">
        <v>11279.7</v>
      </c>
      <c r="I143" s="11">
        <v>430</v>
      </c>
      <c r="J143" s="9">
        <f>'Форма 2'!I580</f>
        <v>15381608.279999999</v>
      </c>
      <c r="K143" s="9">
        <v>0</v>
      </c>
      <c r="L143" s="9">
        <v>0</v>
      </c>
      <c r="M143" s="9">
        <v>0</v>
      </c>
      <c r="N143" s="9">
        <f t="shared" si="49"/>
        <v>14959164.609999999</v>
      </c>
      <c r="O143" s="9">
        <v>422443.67</v>
      </c>
      <c r="P143" s="9">
        <f t="shared" si="50"/>
        <v>1363.65</v>
      </c>
      <c r="Q143" s="9">
        <f>'Форма 2'!K580</f>
        <v>2492</v>
      </c>
      <c r="R143" s="37" t="s">
        <v>289</v>
      </c>
      <c r="S143" s="168">
        <v>1</v>
      </c>
    </row>
    <row r="144" spans="1:19" s="71" customFormat="1" ht="15.75" customHeight="1" x14ac:dyDescent="0.25">
      <c r="A144" s="17">
        <f t="shared" si="51"/>
        <v>57</v>
      </c>
      <c r="B144" s="236">
        <v>3120</v>
      </c>
      <c r="C144" s="29" t="s">
        <v>247</v>
      </c>
      <c r="D144" s="13">
        <v>1973</v>
      </c>
      <c r="E144" s="13" t="s">
        <v>68</v>
      </c>
      <c r="F144" s="13" t="s">
        <v>82</v>
      </c>
      <c r="G144" s="9">
        <v>3548.7</v>
      </c>
      <c r="H144" s="9">
        <v>2596.1</v>
      </c>
      <c r="I144" s="11">
        <v>88</v>
      </c>
      <c r="J144" s="9">
        <f>'Форма 2'!I583</f>
        <v>6216049.4000000004</v>
      </c>
      <c r="K144" s="9">
        <v>0</v>
      </c>
      <c r="L144" s="9">
        <v>0</v>
      </c>
      <c r="M144" s="9">
        <v>0</v>
      </c>
      <c r="N144" s="9">
        <f t="shared" si="49"/>
        <v>6029263.3499999996</v>
      </c>
      <c r="O144" s="9">
        <v>186786.05</v>
      </c>
      <c r="P144" s="9">
        <f t="shared" si="50"/>
        <v>2394.38</v>
      </c>
      <c r="Q144" s="9">
        <f>'Форма 2'!K583</f>
        <v>3878</v>
      </c>
      <c r="R144" s="37" t="s">
        <v>289</v>
      </c>
      <c r="S144" s="168">
        <v>1</v>
      </c>
    </row>
    <row r="145" spans="1:77" s="71" customFormat="1" ht="15.75" customHeight="1" x14ac:dyDescent="0.25">
      <c r="A145" s="17">
        <f t="shared" si="51"/>
        <v>58</v>
      </c>
      <c r="B145" s="236">
        <v>3445</v>
      </c>
      <c r="C145" s="29" t="s">
        <v>248</v>
      </c>
      <c r="D145" s="13">
        <v>1974</v>
      </c>
      <c r="E145" s="13" t="s">
        <v>68</v>
      </c>
      <c r="F145" s="13" t="s">
        <v>82</v>
      </c>
      <c r="G145" s="9">
        <v>6406.9</v>
      </c>
      <c r="H145" s="9">
        <v>5942.4</v>
      </c>
      <c r="I145" s="11">
        <v>224</v>
      </c>
      <c r="J145" s="9">
        <f>'Форма 2'!I586</f>
        <v>14622260.460000001</v>
      </c>
      <c r="K145" s="9">
        <v>0</v>
      </c>
      <c r="L145" s="9">
        <v>0</v>
      </c>
      <c r="M145" s="9">
        <v>0</v>
      </c>
      <c r="N145" s="9">
        <f t="shared" si="49"/>
        <v>14110578.289999999</v>
      </c>
      <c r="O145" s="9">
        <v>511682.17</v>
      </c>
      <c r="P145" s="9">
        <f t="shared" si="50"/>
        <v>2460.67</v>
      </c>
      <c r="Q145" s="9">
        <f>'Форма 2'!K586</f>
        <v>3878</v>
      </c>
      <c r="R145" s="37" t="s">
        <v>289</v>
      </c>
      <c r="S145" s="168">
        <v>1</v>
      </c>
    </row>
    <row r="146" spans="1:77" s="71" customFormat="1" x14ac:dyDescent="0.25">
      <c r="A146" s="236">
        <f t="shared" si="51"/>
        <v>59</v>
      </c>
      <c r="B146" s="236">
        <v>3304</v>
      </c>
      <c r="C146" s="233" t="s">
        <v>249</v>
      </c>
      <c r="D146" s="13">
        <v>1993</v>
      </c>
      <c r="E146" s="13" t="s">
        <v>86</v>
      </c>
      <c r="F146" s="13" t="s">
        <v>81</v>
      </c>
      <c r="G146" s="9">
        <v>5107.1000000000004</v>
      </c>
      <c r="H146" s="9">
        <v>4426.3999999999996</v>
      </c>
      <c r="I146" s="11">
        <v>167</v>
      </c>
      <c r="J146" s="9">
        <f>'Форма 2'!I589</f>
        <v>0</v>
      </c>
      <c r="K146" s="9">
        <v>0</v>
      </c>
      <c r="L146" s="9">
        <v>0</v>
      </c>
      <c r="M146" s="9">
        <v>0</v>
      </c>
      <c r="N146" s="9">
        <f>J146-K146-L146-M146-O146</f>
        <v>0</v>
      </c>
      <c r="O146" s="9">
        <v>0</v>
      </c>
      <c r="P146" s="9">
        <f>J146/H146</f>
        <v>0</v>
      </c>
      <c r="Q146" s="9">
        <f>'Форма 2'!K589</f>
        <v>14.59</v>
      </c>
      <c r="R146" s="37" t="s">
        <v>289</v>
      </c>
      <c r="S146" s="168">
        <v>1</v>
      </c>
    </row>
    <row r="147" spans="1:77" s="71" customFormat="1" ht="15.75" customHeight="1" x14ac:dyDescent="0.25">
      <c r="A147" s="17">
        <f>A146+1</f>
        <v>60</v>
      </c>
      <c r="B147" s="236">
        <v>4054</v>
      </c>
      <c r="C147" s="29" t="s">
        <v>250</v>
      </c>
      <c r="D147" s="13">
        <v>1972</v>
      </c>
      <c r="E147" s="13" t="s">
        <v>68</v>
      </c>
      <c r="F147" s="13" t="s">
        <v>82</v>
      </c>
      <c r="G147" s="9">
        <v>3751.5</v>
      </c>
      <c r="H147" s="9">
        <v>2911</v>
      </c>
      <c r="I147" s="11">
        <v>100</v>
      </c>
      <c r="J147" s="9">
        <f>'Форма 2'!I592</f>
        <v>7885398.7400000002</v>
      </c>
      <c r="K147" s="9">
        <v>0</v>
      </c>
      <c r="L147" s="9">
        <v>0</v>
      </c>
      <c r="M147" s="9">
        <v>0</v>
      </c>
      <c r="N147" s="9">
        <f t="shared" si="49"/>
        <v>7657074.6900000004</v>
      </c>
      <c r="O147" s="9">
        <v>228324.05</v>
      </c>
      <c r="P147" s="9">
        <f t="shared" si="50"/>
        <v>2708.83</v>
      </c>
      <c r="Q147" s="9">
        <f>'Форма 2'!K592</f>
        <v>3878</v>
      </c>
      <c r="R147" s="37" t="s">
        <v>289</v>
      </c>
      <c r="S147" s="168">
        <v>1</v>
      </c>
    </row>
    <row r="148" spans="1:77" s="71" customFormat="1" ht="15.75" customHeight="1" x14ac:dyDescent="0.25">
      <c r="A148" s="236">
        <f t="shared" ref="A148" si="52">A147+1</f>
        <v>61</v>
      </c>
      <c r="B148" s="236">
        <v>3305</v>
      </c>
      <c r="C148" s="233" t="s">
        <v>251</v>
      </c>
      <c r="D148" s="13">
        <v>1972</v>
      </c>
      <c r="E148" s="13" t="s">
        <v>68</v>
      </c>
      <c r="F148" s="13" t="s">
        <v>223</v>
      </c>
      <c r="G148" s="9">
        <v>3101.4</v>
      </c>
      <c r="H148" s="9">
        <v>2891.1</v>
      </c>
      <c r="I148" s="11">
        <v>124</v>
      </c>
      <c r="J148" s="9">
        <f>'Форма 2'!I595</f>
        <v>2369613.9</v>
      </c>
      <c r="K148" s="9">
        <v>0</v>
      </c>
      <c r="L148" s="9">
        <v>0</v>
      </c>
      <c r="M148" s="9">
        <v>0</v>
      </c>
      <c r="N148" s="9">
        <f t="shared" si="49"/>
        <v>2369613.9</v>
      </c>
      <c r="O148" s="9">
        <v>0</v>
      </c>
      <c r="P148" s="9">
        <f t="shared" si="50"/>
        <v>819.62</v>
      </c>
      <c r="Q148" s="9">
        <f>'Форма 2'!K595</f>
        <v>3797</v>
      </c>
      <c r="R148" s="37" t="s">
        <v>375</v>
      </c>
      <c r="S148" s="168">
        <v>1</v>
      </c>
    </row>
    <row r="149" spans="1:77" s="71" customFormat="1" ht="30" customHeight="1" x14ac:dyDescent="0.25">
      <c r="A149" s="236">
        <f>A148+1</f>
        <v>62</v>
      </c>
      <c r="B149" s="236">
        <v>3877</v>
      </c>
      <c r="C149" s="252" t="s">
        <v>585</v>
      </c>
      <c r="D149" s="251" t="s">
        <v>638</v>
      </c>
      <c r="E149" s="251" t="s">
        <v>86</v>
      </c>
      <c r="F149" s="251" t="s">
        <v>81</v>
      </c>
      <c r="G149" s="22">
        <v>15313.39</v>
      </c>
      <c r="H149" s="22">
        <v>14684.6</v>
      </c>
      <c r="I149" s="15">
        <v>425</v>
      </c>
      <c r="J149" s="22">
        <f>'Форма 2'!I597</f>
        <v>0</v>
      </c>
      <c r="K149" s="22">
        <v>0</v>
      </c>
      <c r="L149" s="22">
        <v>0</v>
      </c>
      <c r="M149" s="22">
        <v>0</v>
      </c>
      <c r="N149" s="22">
        <f t="shared" si="49"/>
        <v>0</v>
      </c>
      <c r="O149" s="22">
        <v>0</v>
      </c>
      <c r="P149" s="22">
        <f t="shared" si="50"/>
        <v>0</v>
      </c>
      <c r="Q149" s="22">
        <f>'Форма 2'!K597</f>
        <v>4.4000000000000004</v>
      </c>
      <c r="R149" s="206" t="s">
        <v>289</v>
      </c>
      <c r="S149" s="168">
        <v>1</v>
      </c>
    </row>
    <row r="150" spans="1:77" s="71" customFormat="1" ht="15.75" customHeight="1" x14ac:dyDescent="0.25">
      <c r="A150" s="17">
        <f>A149+1</f>
        <v>63</v>
      </c>
      <c r="B150" s="236">
        <v>3082</v>
      </c>
      <c r="C150" s="29" t="s">
        <v>360</v>
      </c>
      <c r="D150" s="13">
        <v>1994</v>
      </c>
      <c r="E150" s="13" t="s">
        <v>367</v>
      </c>
      <c r="F150" s="13" t="s">
        <v>87</v>
      </c>
      <c r="G150" s="9">
        <v>9404.7999999999993</v>
      </c>
      <c r="H150" s="9">
        <v>8596.6</v>
      </c>
      <c r="I150" s="11">
        <v>325</v>
      </c>
      <c r="J150" s="9">
        <f>'Форма 2'!I600</f>
        <v>11102394.470000001</v>
      </c>
      <c r="K150" s="9">
        <v>0</v>
      </c>
      <c r="L150" s="9">
        <v>0</v>
      </c>
      <c r="M150" s="9">
        <v>0</v>
      </c>
      <c r="N150" s="9">
        <f t="shared" si="49"/>
        <v>10780351.859999999</v>
      </c>
      <c r="O150" s="9">
        <v>322042.61</v>
      </c>
      <c r="P150" s="9">
        <f t="shared" si="50"/>
        <v>1291.49</v>
      </c>
      <c r="Q150" s="9">
        <f>'Форма 2'!K600</f>
        <v>1350.48</v>
      </c>
      <c r="R150" s="37" t="s">
        <v>289</v>
      </c>
      <c r="S150" s="168">
        <v>1</v>
      </c>
    </row>
    <row r="151" spans="1:77" s="71" customFormat="1" ht="15.75" customHeight="1" x14ac:dyDescent="0.25">
      <c r="A151" s="17">
        <f t="shared" si="51"/>
        <v>64</v>
      </c>
      <c r="B151" s="236">
        <v>3359</v>
      </c>
      <c r="C151" s="29" t="s">
        <v>139</v>
      </c>
      <c r="D151" s="13">
        <v>1969</v>
      </c>
      <c r="E151" s="13" t="s">
        <v>68</v>
      </c>
      <c r="F151" s="13" t="s">
        <v>82</v>
      </c>
      <c r="G151" s="9">
        <v>3795.2</v>
      </c>
      <c r="H151" s="9">
        <v>3598</v>
      </c>
      <c r="I151" s="11">
        <v>136</v>
      </c>
      <c r="J151" s="9">
        <f>'Форма 2'!I616</f>
        <v>5690870.1100000003</v>
      </c>
      <c r="K151" s="9">
        <v>0</v>
      </c>
      <c r="L151" s="9">
        <v>0</v>
      </c>
      <c r="M151" s="9">
        <v>0</v>
      </c>
      <c r="N151" s="9">
        <f t="shared" si="49"/>
        <v>5521810.1200000001</v>
      </c>
      <c r="O151" s="9">
        <v>169059.99</v>
      </c>
      <c r="P151" s="9">
        <f t="shared" si="50"/>
        <v>1581.68</v>
      </c>
      <c r="Q151" s="9">
        <f>'Форма 2'!K616</f>
        <v>3878</v>
      </c>
      <c r="R151" s="37" t="s">
        <v>289</v>
      </c>
      <c r="S151" s="168">
        <v>1</v>
      </c>
    </row>
    <row r="152" spans="1:77" s="71" customFormat="1" ht="15.75" customHeight="1" x14ac:dyDescent="0.25">
      <c r="A152" s="17">
        <f t="shared" si="51"/>
        <v>65</v>
      </c>
      <c r="B152" s="236">
        <v>3278</v>
      </c>
      <c r="C152" s="29" t="s">
        <v>106</v>
      </c>
      <c r="D152" s="13">
        <v>1978</v>
      </c>
      <c r="E152" s="13" t="s">
        <v>68</v>
      </c>
      <c r="F152" s="13" t="s">
        <v>82</v>
      </c>
      <c r="G152" s="9">
        <v>4824.5</v>
      </c>
      <c r="H152" s="9">
        <v>4404.5</v>
      </c>
      <c r="I152" s="11">
        <v>224</v>
      </c>
      <c r="J152" s="9">
        <f>'Форма 2'!I619</f>
        <v>12102095.689999999</v>
      </c>
      <c r="K152" s="9">
        <v>0</v>
      </c>
      <c r="L152" s="9">
        <v>0</v>
      </c>
      <c r="M152" s="9">
        <v>0</v>
      </c>
      <c r="N152" s="9">
        <f t="shared" si="49"/>
        <v>11733415.970000001</v>
      </c>
      <c r="O152" s="9">
        <v>368679.72</v>
      </c>
      <c r="P152" s="9">
        <f t="shared" si="50"/>
        <v>2747.67</v>
      </c>
      <c r="Q152" s="9">
        <f>'Форма 2'!K619</f>
        <v>3878</v>
      </c>
      <c r="R152" s="37" t="s">
        <v>289</v>
      </c>
      <c r="S152" s="168">
        <v>1</v>
      </c>
    </row>
    <row r="153" spans="1:77" s="71" customFormat="1" ht="15.75" customHeight="1" x14ac:dyDescent="0.25">
      <c r="A153" s="17">
        <f t="shared" si="51"/>
        <v>66</v>
      </c>
      <c r="B153" s="236">
        <v>3280</v>
      </c>
      <c r="C153" s="29" t="s">
        <v>108</v>
      </c>
      <c r="D153" s="13">
        <v>1978</v>
      </c>
      <c r="E153" s="13" t="s">
        <v>68</v>
      </c>
      <c r="F153" s="13" t="s">
        <v>82</v>
      </c>
      <c r="G153" s="9">
        <v>4732.6000000000004</v>
      </c>
      <c r="H153" s="9">
        <v>4328.8</v>
      </c>
      <c r="I153" s="11">
        <v>224</v>
      </c>
      <c r="J153" s="9">
        <f>'Форма 2'!I622</f>
        <v>12117854.289999999</v>
      </c>
      <c r="K153" s="9">
        <v>0</v>
      </c>
      <c r="L153" s="9">
        <v>0</v>
      </c>
      <c r="M153" s="9">
        <v>0</v>
      </c>
      <c r="N153" s="9">
        <f t="shared" si="49"/>
        <v>11755285.279999999</v>
      </c>
      <c r="O153" s="9">
        <v>362569.01</v>
      </c>
      <c r="P153" s="9">
        <f t="shared" si="50"/>
        <v>2799.36</v>
      </c>
      <c r="Q153" s="9">
        <f>'Форма 2'!K622</f>
        <v>3878</v>
      </c>
      <c r="R153" s="37" t="s">
        <v>289</v>
      </c>
      <c r="S153" s="168">
        <v>1</v>
      </c>
    </row>
    <row r="154" spans="1:77" s="71" customFormat="1" ht="15.75" customHeight="1" x14ac:dyDescent="0.25">
      <c r="A154" s="17">
        <f t="shared" si="51"/>
        <v>67</v>
      </c>
      <c r="B154" s="236">
        <v>3284</v>
      </c>
      <c r="C154" s="29" t="s">
        <v>140</v>
      </c>
      <c r="D154" s="13">
        <v>1972</v>
      </c>
      <c r="E154" s="13" t="s">
        <v>68</v>
      </c>
      <c r="F154" s="13" t="s">
        <v>82</v>
      </c>
      <c r="G154" s="9">
        <v>4029.4</v>
      </c>
      <c r="H154" s="9">
        <v>3631.8</v>
      </c>
      <c r="I154" s="11">
        <v>137</v>
      </c>
      <c r="J154" s="9">
        <f>'Форма 2'!I625</f>
        <v>9534896.9600000009</v>
      </c>
      <c r="K154" s="9">
        <v>0</v>
      </c>
      <c r="L154" s="9">
        <v>0</v>
      </c>
      <c r="M154" s="9">
        <v>0</v>
      </c>
      <c r="N154" s="9">
        <f t="shared" si="49"/>
        <v>9214989.7899999991</v>
      </c>
      <c r="O154" s="9">
        <v>319907.17</v>
      </c>
      <c r="P154" s="9">
        <f t="shared" si="50"/>
        <v>2625.39</v>
      </c>
      <c r="Q154" s="9">
        <f>'Форма 2'!K625</f>
        <v>3878</v>
      </c>
      <c r="R154" s="37" t="s">
        <v>289</v>
      </c>
      <c r="S154" s="168">
        <v>1</v>
      </c>
    </row>
    <row r="155" spans="1:77" s="71" customFormat="1" ht="15.75" customHeight="1" x14ac:dyDescent="0.25">
      <c r="A155" s="236">
        <f t="shared" si="51"/>
        <v>68</v>
      </c>
      <c r="B155" s="236">
        <v>4052</v>
      </c>
      <c r="C155" s="29" t="s">
        <v>526</v>
      </c>
      <c r="D155" s="13">
        <v>1972</v>
      </c>
      <c r="E155" s="13" t="s">
        <v>68</v>
      </c>
      <c r="F155" s="13" t="s">
        <v>114</v>
      </c>
      <c r="G155" s="9">
        <v>4460.8</v>
      </c>
      <c r="H155" s="9">
        <v>3622.5</v>
      </c>
      <c r="I155" s="11">
        <v>126</v>
      </c>
      <c r="J155" s="9">
        <f>'Форма 2'!I628</f>
        <v>6291826.5499999998</v>
      </c>
      <c r="K155" s="9">
        <v>0</v>
      </c>
      <c r="L155" s="9">
        <v>0</v>
      </c>
      <c r="M155" s="9">
        <v>0</v>
      </c>
      <c r="N155" s="9">
        <f>J155-K155-L155-M155-O155</f>
        <v>6090190.0700000003</v>
      </c>
      <c r="O155" s="9">
        <v>201636.48000000001</v>
      </c>
      <c r="P155" s="9">
        <f>J155/H155</f>
        <v>1736.87</v>
      </c>
      <c r="Q155" s="9">
        <f>'Форма 2'!K628</f>
        <v>3878</v>
      </c>
      <c r="R155" s="37" t="s">
        <v>289</v>
      </c>
      <c r="S155" s="168">
        <v>1</v>
      </c>
    </row>
    <row r="156" spans="1:77" s="71" customFormat="1" ht="15.75" customHeight="1" x14ac:dyDescent="0.25">
      <c r="A156" s="17">
        <f t="shared" ref="A156:A162" si="53">A155+1</f>
        <v>69</v>
      </c>
      <c r="B156" s="236">
        <v>3286</v>
      </c>
      <c r="C156" s="29" t="s">
        <v>141</v>
      </c>
      <c r="D156" s="13">
        <v>1972</v>
      </c>
      <c r="E156" s="13" t="s">
        <v>68</v>
      </c>
      <c r="F156" s="13" t="s">
        <v>82</v>
      </c>
      <c r="G156" s="9">
        <v>3853.6</v>
      </c>
      <c r="H156" s="9">
        <v>3572.1</v>
      </c>
      <c r="I156" s="11">
        <v>135</v>
      </c>
      <c r="J156" s="9">
        <f>'Форма 2'!I631</f>
        <v>8985458.7400000002</v>
      </c>
      <c r="K156" s="9">
        <v>0</v>
      </c>
      <c r="L156" s="9">
        <v>0</v>
      </c>
      <c r="M156" s="9">
        <v>0</v>
      </c>
      <c r="N156" s="9">
        <f t="shared" si="49"/>
        <v>8710945.5399999991</v>
      </c>
      <c r="O156" s="9">
        <v>274513.2</v>
      </c>
      <c r="P156" s="9">
        <f t="shared" si="50"/>
        <v>2515.46</v>
      </c>
      <c r="Q156" s="9">
        <f>'Форма 2'!K631</f>
        <v>3878</v>
      </c>
      <c r="R156" s="37" t="s">
        <v>289</v>
      </c>
      <c r="S156" s="168">
        <v>1</v>
      </c>
    </row>
    <row r="157" spans="1:77" s="71" customFormat="1" x14ac:dyDescent="0.25">
      <c r="A157" s="236">
        <f>A156+1</f>
        <v>70</v>
      </c>
      <c r="B157" s="236">
        <v>4060</v>
      </c>
      <c r="C157" s="233" t="s">
        <v>586</v>
      </c>
      <c r="D157" s="13">
        <v>1993</v>
      </c>
      <c r="E157" s="13" t="s">
        <v>86</v>
      </c>
      <c r="F157" s="13" t="s">
        <v>87</v>
      </c>
      <c r="G157" s="9">
        <v>13074.4</v>
      </c>
      <c r="H157" s="9">
        <v>11300</v>
      </c>
      <c r="I157" s="11">
        <v>380</v>
      </c>
      <c r="J157" s="9">
        <f>'Форма 2'!I634</f>
        <v>4371245.93</v>
      </c>
      <c r="K157" s="9">
        <v>0</v>
      </c>
      <c r="L157" s="9">
        <v>0</v>
      </c>
      <c r="M157" s="9">
        <v>0</v>
      </c>
      <c r="N157" s="9">
        <f t="shared" ref="N157:N163" si="54">J157-K157-L157-M157-O157</f>
        <v>4371245.93</v>
      </c>
      <c r="O157" s="9">
        <v>0</v>
      </c>
      <c r="P157" s="9">
        <f t="shared" ref="P157:P163" si="55">J157/H157</f>
        <v>386.84</v>
      </c>
      <c r="Q157" s="9">
        <f>'Форма 2'!K634</f>
        <v>616.47</v>
      </c>
      <c r="R157" s="37" t="s">
        <v>289</v>
      </c>
      <c r="S157" s="168">
        <v>1</v>
      </c>
    </row>
    <row r="158" spans="1:77" s="71" customFormat="1" x14ac:dyDescent="0.25">
      <c r="A158" s="236">
        <f>A157+1</f>
        <v>71</v>
      </c>
      <c r="B158" s="236">
        <v>4061</v>
      </c>
      <c r="C158" s="233" t="s">
        <v>587</v>
      </c>
      <c r="D158" s="13">
        <v>1994</v>
      </c>
      <c r="E158" s="13" t="s">
        <v>86</v>
      </c>
      <c r="F158" s="13" t="s">
        <v>81</v>
      </c>
      <c r="G158" s="9">
        <v>8770</v>
      </c>
      <c r="H158" s="9">
        <v>7554</v>
      </c>
      <c r="I158" s="11">
        <v>316</v>
      </c>
      <c r="J158" s="9">
        <f>'Форма 2'!I644</f>
        <v>0</v>
      </c>
      <c r="K158" s="9">
        <v>0</v>
      </c>
      <c r="L158" s="9">
        <v>0</v>
      </c>
      <c r="M158" s="9">
        <v>0</v>
      </c>
      <c r="N158" s="9">
        <f t="shared" si="54"/>
        <v>0</v>
      </c>
      <c r="O158" s="9">
        <v>0</v>
      </c>
      <c r="P158" s="9">
        <f t="shared" si="55"/>
        <v>0</v>
      </c>
      <c r="Q158" s="9">
        <f>'Форма 2'!K644</f>
        <v>17.09</v>
      </c>
      <c r="R158" s="37" t="s">
        <v>289</v>
      </c>
      <c r="S158" s="168">
        <v>1</v>
      </c>
    </row>
    <row r="159" spans="1:77" x14ac:dyDescent="0.25">
      <c r="A159" s="236">
        <f>A158+1</f>
        <v>72</v>
      </c>
      <c r="B159" s="236">
        <v>8191</v>
      </c>
      <c r="C159" s="29" t="s">
        <v>455</v>
      </c>
      <c r="D159" s="13">
        <v>1992</v>
      </c>
      <c r="E159" s="13" t="s">
        <v>86</v>
      </c>
      <c r="F159" s="13" t="s">
        <v>82</v>
      </c>
      <c r="G159" s="9">
        <v>8376.51</v>
      </c>
      <c r="H159" s="9">
        <v>7694.91</v>
      </c>
      <c r="I159" s="11">
        <v>291</v>
      </c>
      <c r="J159" s="9">
        <f>'Форма 2'!I649</f>
        <v>7185883.9299999997</v>
      </c>
      <c r="K159" s="9">
        <v>0</v>
      </c>
      <c r="L159" s="9">
        <v>0</v>
      </c>
      <c r="M159" s="9">
        <v>0</v>
      </c>
      <c r="N159" s="9">
        <f t="shared" si="54"/>
        <v>6978749.0099999998</v>
      </c>
      <c r="O159" s="9">
        <v>207134.92</v>
      </c>
      <c r="P159" s="9">
        <f t="shared" si="55"/>
        <v>933.85</v>
      </c>
      <c r="Q159" s="9">
        <f>'Форма 2'!K649</f>
        <v>1190.2</v>
      </c>
      <c r="R159" s="37" t="s">
        <v>289</v>
      </c>
      <c r="S159" s="168">
        <v>1</v>
      </c>
      <c r="T159" s="71"/>
      <c r="U159" s="71"/>
      <c r="V159" s="71"/>
      <c r="W159" s="71"/>
      <c r="X159" s="71"/>
      <c r="Y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</row>
    <row r="160" spans="1:77" x14ac:dyDescent="0.25">
      <c r="A160" s="236">
        <f t="shared" si="53"/>
        <v>73</v>
      </c>
      <c r="B160" s="236">
        <v>4240</v>
      </c>
      <c r="C160" s="29" t="s">
        <v>205</v>
      </c>
      <c r="D160" s="13" t="s">
        <v>163</v>
      </c>
      <c r="E160" s="13" t="s">
        <v>86</v>
      </c>
      <c r="F160" s="13" t="s">
        <v>87</v>
      </c>
      <c r="G160" s="9">
        <v>18666.39</v>
      </c>
      <c r="H160" s="9">
        <v>16244.29</v>
      </c>
      <c r="I160" s="11">
        <v>614</v>
      </c>
      <c r="J160" s="9">
        <f>'Форма 2'!I658</f>
        <v>4184123.77</v>
      </c>
      <c r="K160" s="9">
        <v>0</v>
      </c>
      <c r="L160" s="9">
        <v>0</v>
      </c>
      <c r="M160" s="9">
        <v>0</v>
      </c>
      <c r="N160" s="9">
        <f t="shared" si="54"/>
        <v>4063209.63</v>
      </c>
      <c r="O160" s="9">
        <v>120914.14</v>
      </c>
      <c r="P160" s="9">
        <f t="shared" si="55"/>
        <v>257.58</v>
      </c>
      <c r="Q160" s="9">
        <f>'Форма 2'!K658</f>
        <v>291.85000000000002</v>
      </c>
      <c r="R160" s="37" t="s">
        <v>289</v>
      </c>
      <c r="S160" s="168">
        <v>1</v>
      </c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</row>
    <row r="161" spans="1:19" s="71" customFormat="1" ht="15.75" customHeight="1" x14ac:dyDescent="0.25">
      <c r="A161" s="236">
        <f t="shared" si="53"/>
        <v>74</v>
      </c>
      <c r="B161" s="236">
        <v>4358</v>
      </c>
      <c r="C161" s="29" t="s">
        <v>527</v>
      </c>
      <c r="D161" s="13">
        <v>1991</v>
      </c>
      <c r="E161" s="13" t="s">
        <v>86</v>
      </c>
      <c r="F161" s="13" t="s">
        <v>87</v>
      </c>
      <c r="G161" s="9">
        <v>7037.5</v>
      </c>
      <c r="H161" s="9">
        <v>5129.5</v>
      </c>
      <c r="I161" s="11">
        <v>194</v>
      </c>
      <c r="J161" s="9">
        <f>'Форма 2'!I668</f>
        <v>1945583.34</v>
      </c>
      <c r="K161" s="9">
        <v>0</v>
      </c>
      <c r="L161" s="9">
        <v>0</v>
      </c>
      <c r="M161" s="9">
        <v>0</v>
      </c>
      <c r="N161" s="9">
        <f t="shared" si="54"/>
        <v>1878880.73</v>
      </c>
      <c r="O161" s="9">
        <v>66702.61</v>
      </c>
      <c r="P161" s="9">
        <f t="shared" si="55"/>
        <v>379.29</v>
      </c>
      <c r="Q161" s="9">
        <f>'Форма 2'!K668</f>
        <v>452.66</v>
      </c>
      <c r="R161" s="37" t="s">
        <v>289</v>
      </c>
      <c r="S161" s="168">
        <v>1</v>
      </c>
    </row>
    <row r="162" spans="1:19" s="71" customFormat="1" ht="15.75" customHeight="1" x14ac:dyDescent="0.25">
      <c r="A162" s="236">
        <f t="shared" si="53"/>
        <v>75</v>
      </c>
      <c r="B162" s="236">
        <v>4093</v>
      </c>
      <c r="C162" s="29" t="s">
        <v>483</v>
      </c>
      <c r="D162" s="13" t="s">
        <v>486</v>
      </c>
      <c r="E162" s="13" t="s">
        <v>86</v>
      </c>
      <c r="F162" s="13" t="s">
        <v>87</v>
      </c>
      <c r="G162" s="9">
        <v>23779.8</v>
      </c>
      <c r="H162" s="9">
        <v>18536.900000000001</v>
      </c>
      <c r="I162" s="11">
        <v>519</v>
      </c>
      <c r="J162" s="9">
        <f>'Форма 2'!I672</f>
        <v>6221434.71</v>
      </c>
      <c r="K162" s="9">
        <v>0</v>
      </c>
      <c r="L162" s="9">
        <v>0</v>
      </c>
      <c r="M162" s="9">
        <v>0</v>
      </c>
      <c r="N162" s="9">
        <f t="shared" si="54"/>
        <v>6039206.5199999996</v>
      </c>
      <c r="O162" s="9">
        <v>182228.19</v>
      </c>
      <c r="P162" s="9">
        <f t="shared" si="55"/>
        <v>335.62</v>
      </c>
      <c r="Q162" s="9">
        <f>'Форма 2'!K672</f>
        <v>374.03</v>
      </c>
      <c r="R162" s="37" t="s">
        <v>289</v>
      </c>
      <c r="S162" s="168">
        <v>1</v>
      </c>
    </row>
    <row r="163" spans="1:19" s="71" customFormat="1" x14ac:dyDescent="0.25">
      <c r="A163" s="236">
        <f>A162+1</f>
        <v>76</v>
      </c>
      <c r="B163" s="236">
        <v>3116</v>
      </c>
      <c r="C163" s="233" t="s">
        <v>207</v>
      </c>
      <c r="D163" s="13">
        <v>1983</v>
      </c>
      <c r="E163" s="13" t="s">
        <v>68</v>
      </c>
      <c r="F163" s="13" t="s">
        <v>82</v>
      </c>
      <c r="G163" s="9">
        <v>3560</v>
      </c>
      <c r="H163" s="9">
        <v>2647.9</v>
      </c>
      <c r="I163" s="11">
        <v>88</v>
      </c>
      <c r="J163" s="9">
        <f>'Форма 2'!I681</f>
        <v>4742805.82</v>
      </c>
      <c r="K163" s="9">
        <v>0</v>
      </c>
      <c r="L163" s="9">
        <v>0</v>
      </c>
      <c r="M163" s="9">
        <v>0</v>
      </c>
      <c r="N163" s="9">
        <f t="shared" si="54"/>
        <v>4742805.82</v>
      </c>
      <c r="O163" s="9">
        <v>0</v>
      </c>
      <c r="P163" s="9">
        <f t="shared" si="55"/>
        <v>1791.16</v>
      </c>
      <c r="Q163" s="9">
        <f>'Форма 2'!K681</f>
        <v>3878</v>
      </c>
      <c r="R163" s="37" t="s">
        <v>289</v>
      </c>
      <c r="S163" s="168">
        <v>1</v>
      </c>
    </row>
    <row r="164" spans="1:19" s="71" customFormat="1" ht="15.75" customHeight="1" x14ac:dyDescent="0.25">
      <c r="A164" s="17">
        <f>A163+1</f>
        <v>77</v>
      </c>
      <c r="B164" s="236">
        <v>3291</v>
      </c>
      <c r="C164" s="29" t="s">
        <v>142</v>
      </c>
      <c r="D164" s="13">
        <v>1973</v>
      </c>
      <c r="E164" s="13" t="s">
        <v>68</v>
      </c>
      <c r="F164" s="13" t="s">
        <v>82</v>
      </c>
      <c r="G164" s="9">
        <v>3087</v>
      </c>
      <c r="H164" s="9">
        <v>2878.8</v>
      </c>
      <c r="I164" s="11">
        <v>109</v>
      </c>
      <c r="J164" s="9">
        <f>'Форма 2'!I684</f>
        <v>7431616.5199999996</v>
      </c>
      <c r="K164" s="9">
        <v>0</v>
      </c>
      <c r="L164" s="9">
        <v>0</v>
      </c>
      <c r="M164" s="9">
        <v>0</v>
      </c>
      <c r="N164" s="9">
        <f t="shared" si="49"/>
        <v>7190428.96</v>
      </c>
      <c r="O164" s="9">
        <v>241187.56</v>
      </c>
      <c r="P164" s="9">
        <f t="shared" si="50"/>
        <v>2581.5</v>
      </c>
      <c r="Q164" s="9">
        <f>'Форма 2'!K684</f>
        <v>3878</v>
      </c>
      <c r="R164" s="37" t="s">
        <v>289</v>
      </c>
      <c r="S164" s="168">
        <v>1</v>
      </c>
    </row>
    <row r="165" spans="1:19" s="71" customFormat="1" ht="15.75" customHeight="1" x14ac:dyDescent="0.25">
      <c r="A165" s="17">
        <f t="shared" si="51"/>
        <v>78</v>
      </c>
      <c r="B165" s="236">
        <v>3295</v>
      </c>
      <c r="C165" s="29" t="s">
        <v>143</v>
      </c>
      <c r="D165" s="13">
        <v>1972</v>
      </c>
      <c r="E165" s="13" t="s">
        <v>68</v>
      </c>
      <c r="F165" s="13" t="s">
        <v>82</v>
      </c>
      <c r="G165" s="9">
        <v>3837.1</v>
      </c>
      <c r="H165" s="9">
        <v>3558.7</v>
      </c>
      <c r="I165" s="11">
        <v>134</v>
      </c>
      <c r="J165" s="9">
        <f>'Форма 2'!I687</f>
        <v>9750668.7699999996</v>
      </c>
      <c r="K165" s="9">
        <v>0</v>
      </c>
      <c r="L165" s="9">
        <v>0</v>
      </c>
      <c r="M165" s="9">
        <v>0</v>
      </c>
      <c r="N165" s="9">
        <f t="shared" si="49"/>
        <v>9461223.8900000006</v>
      </c>
      <c r="O165" s="9">
        <v>289444.88</v>
      </c>
      <c r="P165" s="9">
        <f t="shared" si="50"/>
        <v>2739.95</v>
      </c>
      <c r="Q165" s="9">
        <f>'Форма 2'!K687</f>
        <v>3878</v>
      </c>
      <c r="R165" s="37" t="s">
        <v>289</v>
      </c>
      <c r="S165" s="168">
        <v>1</v>
      </c>
    </row>
    <row r="166" spans="1:19" s="71" customFormat="1" ht="15.75" customHeight="1" x14ac:dyDescent="0.25">
      <c r="A166" s="17">
        <f t="shared" si="51"/>
        <v>79</v>
      </c>
      <c r="B166" s="236">
        <v>3298</v>
      </c>
      <c r="C166" s="29" t="s">
        <v>144</v>
      </c>
      <c r="D166" s="13">
        <v>1973</v>
      </c>
      <c r="E166" s="13" t="s">
        <v>68</v>
      </c>
      <c r="F166" s="13" t="s">
        <v>82</v>
      </c>
      <c r="G166" s="9">
        <v>2995.8</v>
      </c>
      <c r="H166" s="9">
        <v>2717.8</v>
      </c>
      <c r="I166" s="11">
        <v>103</v>
      </c>
      <c r="J166" s="9">
        <f>'Форма 2'!I690</f>
        <v>7342228.8600000003</v>
      </c>
      <c r="K166" s="9">
        <v>0</v>
      </c>
      <c r="L166" s="9">
        <v>0</v>
      </c>
      <c r="M166" s="9">
        <v>0</v>
      </c>
      <c r="N166" s="9">
        <f t="shared" si="49"/>
        <v>7111224.5999999996</v>
      </c>
      <c r="O166" s="9">
        <v>231004.26</v>
      </c>
      <c r="P166" s="9">
        <f t="shared" si="50"/>
        <v>2701.53</v>
      </c>
      <c r="Q166" s="9">
        <f>'Форма 2'!K690</f>
        <v>3878</v>
      </c>
      <c r="R166" s="37" t="s">
        <v>289</v>
      </c>
      <c r="S166" s="168">
        <v>1</v>
      </c>
    </row>
    <row r="167" spans="1:19" s="71" customFormat="1" ht="15.75" customHeight="1" x14ac:dyDescent="0.25">
      <c r="A167" s="236">
        <f t="shared" si="51"/>
        <v>80</v>
      </c>
      <c r="B167" s="236">
        <v>3171</v>
      </c>
      <c r="C167" s="29" t="s">
        <v>453</v>
      </c>
      <c r="D167" s="13" t="s">
        <v>454</v>
      </c>
      <c r="E167" s="13" t="s">
        <v>86</v>
      </c>
      <c r="F167" s="13" t="s">
        <v>82</v>
      </c>
      <c r="G167" s="9">
        <v>9302.2999999999993</v>
      </c>
      <c r="H167" s="9">
        <v>8269.5</v>
      </c>
      <c r="I167" s="11">
        <v>312</v>
      </c>
      <c r="J167" s="9">
        <f>'Форма 2'!I693</f>
        <v>3822512.28</v>
      </c>
      <c r="K167" s="9">
        <v>0</v>
      </c>
      <c r="L167" s="9">
        <v>0</v>
      </c>
      <c r="M167" s="9">
        <v>0</v>
      </c>
      <c r="N167" s="9">
        <f t="shared" si="49"/>
        <v>3699952.72</v>
      </c>
      <c r="O167" s="9">
        <v>122559.56</v>
      </c>
      <c r="P167" s="9">
        <f t="shared" si="50"/>
        <v>462.24</v>
      </c>
      <c r="Q167" s="9">
        <f>'Форма 2'!K693</f>
        <v>553.75</v>
      </c>
      <c r="R167" s="37" t="s">
        <v>289</v>
      </c>
      <c r="S167" s="168">
        <v>1</v>
      </c>
    </row>
    <row r="168" spans="1:19" s="71" customFormat="1" x14ac:dyDescent="0.25">
      <c r="A168" s="236">
        <f>A167+1</f>
        <v>81</v>
      </c>
      <c r="B168" s="236">
        <v>4261</v>
      </c>
      <c r="C168" s="233" t="s">
        <v>588</v>
      </c>
      <c r="D168" s="13">
        <v>1995</v>
      </c>
      <c r="E168" s="13" t="s">
        <v>86</v>
      </c>
      <c r="F168" s="13" t="s">
        <v>81</v>
      </c>
      <c r="G168" s="9">
        <v>3560.1</v>
      </c>
      <c r="H168" s="9">
        <v>3106.9</v>
      </c>
      <c r="I168" s="11">
        <v>117</v>
      </c>
      <c r="J168" s="9">
        <f>'Форма 2'!I698</f>
        <v>0</v>
      </c>
      <c r="K168" s="9">
        <v>0</v>
      </c>
      <c r="L168" s="9">
        <v>0</v>
      </c>
      <c r="M168" s="9">
        <v>0</v>
      </c>
      <c r="N168" s="9">
        <f>J168-K168-L168-M168-O168</f>
        <v>0</v>
      </c>
      <c r="O168" s="9">
        <v>0</v>
      </c>
      <c r="P168" s="9">
        <f>J168/H168</f>
        <v>0</v>
      </c>
      <c r="Q168" s="9">
        <f>'Форма 2'!K698</f>
        <v>20.78</v>
      </c>
      <c r="R168" s="37" t="s">
        <v>289</v>
      </c>
      <c r="S168" s="168">
        <v>1</v>
      </c>
    </row>
    <row r="169" spans="1:19" s="71" customFormat="1" x14ac:dyDescent="0.25">
      <c r="A169" s="236">
        <f>A168+1</f>
        <v>82</v>
      </c>
      <c r="B169" s="236">
        <v>4378</v>
      </c>
      <c r="C169" s="233" t="s">
        <v>589</v>
      </c>
      <c r="D169" s="13">
        <v>1994</v>
      </c>
      <c r="E169" s="13" t="s">
        <v>86</v>
      </c>
      <c r="F169" s="13" t="s">
        <v>81</v>
      </c>
      <c r="G169" s="9">
        <v>4584</v>
      </c>
      <c r="H169" s="9">
        <v>3900.4</v>
      </c>
      <c r="I169" s="11">
        <v>147</v>
      </c>
      <c r="J169" s="9">
        <f>'Форма 2'!I701</f>
        <v>0</v>
      </c>
      <c r="K169" s="9">
        <v>0</v>
      </c>
      <c r="L169" s="9">
        <v>0</v>
      </c>
      <c r="M169" s="9">
        <v>0</v>
      </c>
      <c r="N169" s="9">
        <f>J169-K169-L169-M169-O169</f>
        <v>0</v>
      </c>
      <c r="O169" s="9">
        <v>0</v>
      </c>
      <c r="P169" s="9">
        <f>J169/H169</f>
        <v>0</v>
      </c>
      <c r="Q169" s="9">
        <f>'Форма 2'!K701</f>
        <v>8.2799999999999994</v>
      </c>
      <c r="R169" s="37" t="s">
        <v>289</v>
      </c>
      <c r="S169" s="168">
        <v>1</v>
      </c>
    </row>
    <row r="170" spans="1:19" s="71" customFormat="1" x14ac:dyDescent="0.25">
      <c r="A170" s="236">
        <f>A169+1</f>
        <v>83</v>
      </c>
      <c r="B170" s="236">
        <v>4243</v>
      </c>
      <c r="C170" s="233" t="s">
        <v>590</v>
      </c>
      <c r="D170" s="13">
        <v>1994</v>
      </c>
      <c r="E170" s="13" t="s">
        <v>86</v>
      </c>
      <c r="F170" s="13" t="s">
        <v>81</v>
      </c>
      <c r="G170" s="9">
        <v>4356.18</v>
      </c>
      <c r="H170" s="9">
        <v>3950.38</v>
      </c>
      <c r="I170" s="11">
        <v>151</v>
      </c>
      <c r="J170" s="9">
        <f>'Форма 2'!I703</f>
        <v>0</v>
      </c>
      <c r="K170" s="9">
        <v>0</v>
      </c>
      <c r="L170" s="9">
        <v>0</v>
      </c>
      <c r="M170" s="9">
        <v>0</v>
      </c>
      <c r="N170" s="9">
        <f>J170-K170-L170-M170-O170</f>
        <v>0</v>
      </c>
      <c r="O170" s="9">
        <v>0</v>
      </c>
      <c r="P170" s="9">
        <f>J170/H170</f>
        <v>0</v>
      </c>
      <c r="Q170" s="9">
        <f>'Форма 2'!K703</f>
        <v>16.34</v>
      </c>
      <c r="R170" s="37" t="s">
        <v>289</v>
      </c>
      <c r="S170" s="168">
        <v>1</v>
      </c>
    </row>
    <row r="171" spans="1:19" s="71" customFormat="1" x14ac:dyDescent="0.25">
      <c r="A171" s="236">
        <f>A170+1</f>
        <v>84</v>
      </c>
      <c r="B171" s="236">
        <v>4379</v>
      </c>
      <c r="C171" s="233" t="s">
        <v>591</v>
      </c>
      <c r="D171" s="13">
        <v>1994</v>
      </c>
      <c r="E171" s="13" t="s">
        <v>86</v>
      </c>
      <c r="F171" s="13" t="s">
        <v>81</v>
      </c>
      <c r="G171" s="9">
        <v>4563.1000000000004</v>
      </c>
      <c r="H171" s="9">
        <v>3914.2</v>
      </c>
      <c r="I171" s="11">
        <v>148</v>
      </c>
      <c r="J171" s="9">
        <f>'Форма 2'!I706</f>
        <v>0</v>
      </c>
      <c r="K171" s="9">
        <v>0</v>
      </c>
      <c r="L171" s="9">
        <v>0</v>
      </c>
      <c r="M171" s="9">
        <v>0</v>
      </c>
      <c r="N171" s="9">
        <f>J171-K171-L171-M171-O171</f>
        <v>0</v>
      </c>
      <c r="O171" s="9">
        <v>0</v>
      </c>
      <c r="P171" s="9">
        <f>J171/H171</f>
        <v>0</v>
      </c>
      <c r="Q171" s="9">
        <f>'Форма 2'!K706</f>
        <v>8.25</v>
      </c>
      <c r="R171" s="37" t="s">
        <v>289</v>
      </c>
      <c r="S171" s="168">
        <v>1</v>
      </c>
    </row>
    <row r="172" spans="1:19" s="71" customFormat="1" ht="15.75" customHeight="1" x14ac:dyDescent="0.25">
      <c r="A172" s="236">
        <f t="shared" ref="A172:A177" si="56">A171+1</f>
        <v>85</v>
      </c>
      <c r="B172" s="236">
        <v>3313</v>
      </c>
      <c r="C172" s="29" t="s">
        <v>145</v>
      </c>
      <c r="D172" s="13">
        <v>1973</v>
      </c>
      <c r="E172" s="13" t="s">
        <v>68</v>
      </c>
      <c r="F172" s="13" t="s">
        <v>82</v>
      </c>
      <c r="G172" s="9">
        <v>3909.4</v>
      </c>
      <c r="H172" s="9">
        <v>3573</v>
      </c>
      <c r="I172" s="11">
        <v>135</v>
      </c>
      <c r="J172" s="9">
        <f>'Форма 2'!I708</f>
        <v>9374140.5199999996</v>
      </c>
      <c r="K172" s="9">
        <v>0</v>
      </c>
      <c r="L172" s="9">
        <v>0</v>
      </c>
      <c r="M172" s="9">
        <v>0</v>
      </c>
      <c r="N172" s="9">
        <f t="shared" si="49"/>
        <v>9085271.3100000005</v>
      </c>
      <c r="O172" s="9">
        <v>288869.21000000002</v>
      </c>
      <c r="P172" s="9">
        <f t="shared" si="50"/>
        <v>2623.6</v>
      </c>
      <c r="Q172" s="9">
        <f>'Форма 2'!K708</f>
        <v>3878</v>
      </c>
      <c r="R172" s="37" t="s">
        <v>289</v>
      </c>
      <c r="S172" s="168">
        <v>1</v>
      </c>
    </row>
    <row r="173" spans="1:19" s="71" customFormat="1" ht="15.75" customHeight="1" x14ac:dyDescent="0.25">
      <c r="A173" s="236">
        <f t="shared" si="56"/>
        <v>86</v>
      </c>
      <c r="B173" s="236">
        <v>4342</v>
      </c>
      <c r="C173" s="29" t="s">
        <v>146</v>
      </c>
      <c r="D173" s="13">
        <v>1974</v>
      </c>
      <c r="E173" s="13" t="s">
        <v>68</v>
      </c>
      <c r="F173" s="13" t="s">
        <v>82</v>
      </c>
      <c r="G173" s="9">
        <v>5793.55</v>
      </c>
      <c r="H173" s="9">
        <v>4412.1499999999996</v>
      </c>
      <c r="I173" s="11">
        <v>167</v>
      </c>
      <c r="J173" s="9">
        <f>'Форма 2'!I711</f>
        <v>12160086.77</v>
      </c>
      <c r="K173" s="9">
        <v>0</v>
      </c>
      <c r="L173" s="9">
        <v>0</v>
      </c>
      <c r="M173" s="9">
        <v>0</v>
      </c>
      <c r="N173" s="9">
        <f t="shared" si="49"/>
        <v>11799634.35</v>
      </c>
      <c r="O173" s="9">
        <v>360452.42</v>
      </c>
      <c r="P173" s="9">
        <f t="shared" si="50"/>
        <v>2756.05</v>
      </c>
      <c r="Q173" s="9">
        <f>'Форма 2'!K711</f>
        <v>3878</v>
      </c>
      <c r="R173" s="37" t="s">
        <v>289</v>
      </c>
      <c r="S173" s="168">
        <v>1</v>
      </c>
    </row>
    <row r="174" spans="1:19" s="71" customFormat="1" ht="15.75" customHeight="1" x14ac:dyDescent="0.25">
      <c r="A174" s="236">
        <f t="shared" si="56"/>
        <v>87</v>
      </c>
      <c r="B174" s="236">
        <v>4343</v>
      </c>
      <c r="C174" s="233" t="s">
        <v>210</v>
      </c>
      <c r="D174" s="13">
        <v>1981</v>
      </c>
      <c r="E174" s="13" t="s">
        <v>68</v>
      </c>
      <c r="F174" s="13" t="s">
        <v>223</v>
      </c>
      <c r="G174" s="9">
        <v>3624.8</v>
      </c>
      <c r="H174" s="9">
        <v>2708.3</v>
      </c>
      <c r="I174" s="11">
        <v>102</v>
      </c>
      <c r="J174" s="9">
        <f>'Форма 2'!I714</f>
        <v>2362990.17</v>
      </c>
      <c r="K174" s="9">
        <v>0</v>
      </c>
      <c r="L174" s="9">
        <v>0</v>
      </c>
      <c r="M174" s="9">
        <v>0</v>
      </c>
      <c r="N174" s="9">
        <f t="shared" si="49"/>
        <v>2362990.17</v>
      </c>
      <c r="O174" s="9">
        <v>0</v>
      </c>
      <c r="P174" s="9">
        <f t="shared" si="50"/>
        <v>872.5</v>
      </c>
      <c r="Q174" s="9">
        <f>'Форма 2'!K714</f>
        <v>3670</v>
      </c>
      <c r="R174" s="37" t="s">
        <v>375</v>
      </c>
      <c r="S174" s="168">
        <v>1</v>
      </c>
    </row>
    <row r="175" spans="1:19" s="71" customFormat="1" ht="15.75" customHeight="1" x14ac:dyDescent="0.25">
      <c r="A175" s="236">
        <f t="shared" si="56"/>
        <v>88</v>
      </c>
      <c r="B175" s="236">
        <v>4344</v>
      </c>
      <c r="C175" s="29" t="s">
        <v>147</v>
      </c>
      <c r="D175" s="13">
        <v>1974</v>
      </c>
      <c r="E175" s="13" t="s">
        <v>68</v>
      </c>
      <c r="F175" s="13" t="s">
        <v>82</v>
      </c>
      <c r="G175" s="9">
        <v>4367.7</v>
      </c>
      <c r="H175" s="9">
        <v>3205.5</v>
      </c>
      <c r="I175" s="11">
        <v>121</v>
      </c>
      <c r="J175" s="9">
        <f>'Форма 2'!I716</f>
        <v>6209810.6500000004</v>
      </c>
      <c r="K175" s="9">
        <v>0</v>
      </c>
      <c r="L175" s="9">
        <v>0</v>
      </c>
      <c r="M175" s="9">
        <v>0</v>
      </c>
      <c r="N175" s="9">
        <f t="shared" si="49"/>
        <v>6021942.2999999998</v>
      </c>
      <c r="O175" s="9">
        <v>187868.35</v>
      </c>
      <c r="P175" s="9">
        <f t="shared" si="50"/>
        <v>1937.24</v>
      </c>
      <c r="Q175" s="9">
        <f>'Форма 2'!K716</f>
        <v>3878</v>
      </c>
      <c r="R175" s="37" t="s">
        <v>289</v>
      </c>
      <c r="S175" s="168">
        <v>1</v>
      </c>
    </row>
    <row r="176" spans="1:19" s="71" customFormat="1" ht="15.75" customHeight="1" x14ac:dyDescent="0.25">
      <c r="A176" s="236">
        <f t="shared" si="56"/>
        <v>89</v>
      </c>
      <c r="B176" s="236">
        <v>3320</v>
      </c>
      <c r="C176" s="29" t="s">
        <v>148</v>
      </c>
      <c r="D176" s="13">
        <v>1976</v>
      </c>
      <c r="E176" s="13" t="s">
        <v>68</v>
      </c>
      <c r="F176" s="13" t="s">
        <v>82</v>
      </c>
      <c r="G176" s="9">
        <v>3018</v>
      </c>
      <c r="H176" s="9">
        <v>2666</v>
      </c>
      <c r="I176" s="11">
        <v>101</v>
      </c>
      <c r="J176" s="9">
        <f>'Форма 2'!I719</f>
        <v>7221900.8600000003</v>
      </c>
      <c r="K176" s="9">
        <v>0</v>
      </c>
      <c r="L176" s="9">
        <v>0</v>
      </c>
      <c r="M176" s="9">
        <v>0</v>
      </c>
      <c r="N176" s="9">
        <f t="shared" si="49"/>
        <v>7004000.0999999996</v>
      </c>
      <c r="O176" s="9">
        <v>217900.76</v>
      </c>
      <c r="P176" s="9">
        <f t="shared" si="50"/>
        <v>2708.89</v>
      </c>
      <c r="Q176" s="9">
        <f>'Форма 2'!K719</f>
        <v>3878</v>
      </c>
      <c r="R176" s="37" t="s">
        <v>289</v>
      </c>
      <c r="S176" s="168">
        <v>1</v>
      </c>
    </row>
    <row r="177" spans="1:19" s="71" customFormat="1" ht="15.75" customHeight="1" x14ac:dyDescent="0.25">
      <c r="A177" s="236">
        <f t="shared" si="56"/>
        <v>90</v>
      </c>
      <c r="B177" s="236">
        <v>4244</v>
      </c>
      <c r="C177" s="29" t="s">
        <v>445</v>
      </c>
      <c r="D177" s="13">
        <v>1992</v>
      </c>
      <c r="E177" s="13" t="s">
        <v>86</v>
      </c>
      <c r="F177" s="13" t="s">
        <v>82</v>
      </c>
      <c r="G177" s="9">
        <v>10030.629999999999</v>
      </c>
      <c r="H177" s="9">
        <v>9070.6299999999992</v>
      </c>
      <c r="I177" s="11">
        <v>343</v>
      </c>
      <c r="J177" s="9">
        <f>'Форма 2'!I722</f>
        <v>8370242.7699999996</v>
      </c>
      <c r="K177" s="9">
        <v>0</v>
      </c>
      <c r="L177" s="9">
        <v>0</v>
      </c>
      <c r="M177" s="9">
        <v>0</v>
      </c>
      <c r="N177" s="9">
        <f t="shared" si="49"/>
        <v>8128412.2400000002</v>
      </c>
      <c r="O177" s="9">
        <v>241830.53</v>
      </c>
      <c r="P177" s="9">
        <f t="shared" si="50"/>
        <v>922.79</v>
      </c>
      <c r="Q177" s="9">
        <f>'Форма 2'!K722</f>
        <v>1009.68</v>
      </c>
      <c r="R177" s="37" t="s">
        <v>289</v>
      </c>
      <c r="S177" s="168">
        <v>1</v>
      </c>
    </row>
    <row r="178" spans="1:19" s="71" customFormat="1" x14ac:dyDescent="0.25">
      <c r="A178" s="236">
        <f>A177+1</f>
        <v>91</v>
      </c>
      <c r="B178" s="236">
        <v>3172</v>
      </c>
      <c r="C178" s="233" t="s">
        <v>592</v>
      </c>
      <c r="D178" s="13">
        <v>1994</v>
      </c>
      <c r="E178" s="13" t="s">
        <v>86</v>
      </c>
      <c r="F178" s="13" t="s">
        <v>81</v>
      </c>
      <c r="G178" s="9">
        <v>11811.72</v>
      </c>
      <c r="H178" s="9">
        <v>9843.1</v>
      </c>
      <c r="I178" s="11">
        <v>347</v>
      </c>
      <c r="J178" s="9">
        <f>'Форма 2'!I731</f>
        <v>0</v>
      </c>
      <c r="K178" s="9">
        <v>0</v>
      </c>
      <c r="L178" s="9">
        <v>0</v>
      </c>
      <c r="M178" s="9">
        <v>0</v>
      </c>
      <c r="N178" s="9">
        <f>J178-K178-L178-M178-O178</f>
        <v>0</v>
      </c>
      <c r="O178" s="9">
        <v>0</v>
      </c>
      <c r="P178" s="9">
        <f>J178/H178</f>
        <v>0</v>
      </c>
      <c r="Q178" s="9">
        <f>'Форма 2'!K731</f>
        <v>6.56</v>
      </c>
      <c r="R178" s="37" t="s">
        <v>289</v>
      </c>
      <c r="S178" s="168">
        <v>1</v>
      </c>
    </row>
    <row r="179" spans="1:19" s="71" customFormat="1" ht="15.75" customHeight="1" x14ac:dyDescent="0.25">
      <c r="A179" s="17">
        <f>A178+1</f>
        <v>92</v>
      </c>
      <c r="B179" s="236">
        <v>3433</v>
      </c>
      <c r="C179" s="29" t="s">
        <v>361</v>
      </c>
      <c r="D179" s="13">
        <v>1992</v>
      </c>
      <c r="E179" s="13" t="s">
        <v>368</v>
      </c>
      <c r="F179" s="13" t="s">
        <v>81</v>
      </c>
      <c r="G179" s="9">
        <v>4578.6000000000004</v>
      </c>
      <c r="H179" s="9">
        <v>3939</v>
      </c>
      <c r="I179" s="11">
        <v>149</v>
      </c>
      <c r="J179" s="9">
        <f>'Форма 2'!I734</f>
        <v>513445.23</v>
      </c>
      <c r="K179" s="9">
        <v>0</v>
      </c>
      <c r="L179" s="9">
        <v>0</v>
      </c>
      <c r="M179" s="9">
        <v>0</v>
      </c>
      <c r="N179" s="9">
        <f t="shared" si="49"/>
        <v>497014.78</v>
      </c>
      <c r="O179" s="9">
        <v>16430.45</v>
      </c>
      <c r="P179" s="9">
        <f t="shared" si="50"/>
        <v>130.35</v>
      </c>
      <c r="Q179" s="9">
        <f>'Форма 2'!K734</f>
        <v>188</v>
      </c>
      <c r="R179" s="37" t="s">
        <v>289</v>
      </c>
      <c r="S179" s="168">
        <v>1</v>
      </c>
    </row>
    <row r="180" spans="1:19" s="71" customFormat="1" ht="15.75" customHeight="1" x14ac:dyDescent="0.25">
      <c r="A180" s="17">
        <f t="shared" si="51"/>
        <v>93</v>
      </c>
      <c r="B180" s="236">
        <v>3173</v>
      </c>
      <c r="C180" s="29" t="s">
        <v>149</v>
      </c>
      <c r="D180" s="13">
        <v>1976</v>
      </c>
      <c r="E180" s="13" t="s">
        <v>68</v>
      </c>
      <c r="F180" s="13" t="s">
        <v>82</v>
      </c>
      <c r="G180" s="9">
        <v>2921</v>
      </c>
      <c r="H180" s="9">
        <v>2633.8</v>
      </c>
      <c r="I180" s="11">
        <v>99</v>
      </c>
      <c r="J180" s="9">
        <f>'Форма 2'!I739</f>
        <v>6454686.9900000002</v>
      </c>
      <c r="K180" s="9">
        <v>0</v>
      </c>
      <c r="L180" s="9">
        <v>0</v>
      </c>
      <c r="M180" s="9">
        <v>0</v>
      </c>
      <c r="N180" s="9">
        <f t="shared" si="49"/>
        <v>6261355.46</v>
      </c>
      <c r="O180" s="9">
        <v>193331.53</v>
      </c>
      <c r="P180" s="9">
        <f t="shared" si="50"/>
        <v>2450.71</v>
      </c>
      <c r="Q180" s="9">
        <f>'Форма 2'!K739</f>
        <v>3878</v>
      </c>
      <c r="R180" s="37" t="s">
        <v>289</v>
      </c>
      <c r="S180" s="168">
        <v>1</v>
      </c>
    </row>
    <row r="181" spans="1:19" s="71" customFormat="1" ht="15.75" customHeight="1" x14ac:dyDescent="0.25">
      <c r="A181" s="236">
        <f>A180+1</f>
        <v>94</v>
      </c>
      <c r="B181" s="236">
        <v>4250</v>
      </c>
      <c r="C181" s="29" t="s">
        <v>536</v>
      </c>
      <c r="D181" s="13">
        <v>1969</v>
      </c>
      <c r="E181" s="13" t="s">
        <v>95</v>
      </c>
      <c r="F181" s="13" t="s">
        <v>81</v>
      </c>
      <c r="G181" s="9">
        <v>6170</v>
      </c>
      <c r="H181" s="9">
        <v>5742.5</v>
      </c>
      <c r="I181" s="11">
        <v>217</v>
      </c>
      <c r="J181" s="9">
        <f>'Форма 2'!I742</f>
        <v>134815</v>
      </c>
      <c r="K181" s="9">
        <v>0</v>
      </c>
      <c r="L181" s="9">
        <v>0</v>
      </c>
      <c r="M181" s="9">
        <v>0</v>
      </c>
      <c r="N181" s="9">
        <f t="shared" si="49"/>
        <v>130855.76</v>
      </c>
      <c r="O181" s="9">
        <v>3959.24</v>
      </c>
      <c r="P181" s="9">
        <f t="shared" si="50"/>
        <v>23.48</v>
      </c>
      <c r="Q181" s="9">
        <f>'Форма 2'!K742</f>
        <v>24</v>
      </c>
      <c r="R181" s="37" t="s">
        <v>289</v>
      </c>
      <c r="S181" s="168">
        <v>1</v>
      </c>
    </row>
    <row r="182" spans="1:19" s="71" customFormat="1" ht="15" customHeight="1" x14ac:dyDescent="0.25">
      <c r="A182" s="236">
        <f>A181+1</f>
        <v>95</v>
      </c>
      <c r="B182" s="236">
        <v>3141</v>
      </c>
      <c r="C182" s="233" t="s">
        <v>212</v>
      </c>
      <c r="D182" s="13" t="s">
        <v>378</v>
      </c>
      <c r="E182" s="13" t="s">
        <v>86</v>
      </c>
      <c r="F182" s="13" t="s">
        <v>81</v>
      </c>
      <c r="G182" s="9">
        <v>11490.4</v>
      </c>
      <c r="H182" s="9">
        <v>8978.6</v>
      </c>
      <c r="I182" s="11">
        <v>271</v>
      </c>
      <c r="J182" s="9">
        <f>'Форма 2'!I744</f>
        <v>0</v>
      </c>
      <c r="K182" s="9">
        <v>0</v>
      </c>
      <c r="L182" s="9">
        <v>0</v>
      </c>
      <c r="M182" s="9">
        <v>0</v>
      </c>
      <c r="N182" s="9">
        <f>J182-K182-L182-M182-O182</f>
        <v>0</v>
      </c>
      <c r="O182" s="9">
        <v>0</v>
      </c>
      <c r="P182" s="9">
        <f>J182/H182</f>
        <v>0</v>
      </c>
      <c r="Q182" s="9">
        <f>'Форма 2'!K744</f>
        <v>7.2</v>
      </c>
      <c r="R182" s="37" t="s">
        <v>289</v>
      </c>
      <c r="S182" s="168">
        <v>1</v>
      </c>
    </row>
    <row r="183" spans="1:19" s="71" customFormat="1" ht="15" customHeight="1" x14ac:dyDescent="0.25">
      <c r="A183" s="236">
        <f>A182+1</f>
        <v>96</v>
      </c>
      <c r="B183" s="236">
        <v>4303</v>
      </c>
      <c r="C183" s="233" t="s">
        <v>733</v>
      </c>
      <c r="D183" s="13">
        <v>1987</v>
      </c>
      <c r="E183" s="13" t="s">
        <v>737</v>
      </c>
      <c r="F183" s="13" t="s">
        <v>82</v>
      </c>
      <c r="G183" s="9">
        <v>15111.46</v>
      </c>
      <c r="H183" s="9">
        <v>13539.46</v>
      </c>
      <c r="I183" s="11">
        <v>511</v>
      </c>
      <c r="J183" s="9">
        <f>'Форма 2'!I747</f>
        <v>4443922.59</v>
      </c>
      <c r="K183" s="9">
        <v>0</v>
      </c>
      <c r="L183" s="9">
        <v>0</v>
      </c>
      <c r="M183" s="9">
        <v>0</v>
      </c>
      <c r="N183" s="9">
        <f>J183-K183-L183-M183-O183</f>
        <v>4443922.59</v>
      </c>
      <c r="O183" s="9">
        <v>0</v>
      </c>
      <c r="P183" s="9">
        <f>J183/H183</f>
        <v>328.22</v>
      </c>
      <c r="Q183" s="9">
        <f>'Форма 2'!K747</f>
        <v>2492</v>
      </c>
      <c r="R183" s="37" t="s">
        <v>289</v>
      </c>
      <c r="S183" s="168">
        <v>1</v>
      </c>
    </row>
    <row r="184" spans="1:19" s="71" customFormat="1" ht="15" customHeight="1" x14ac:dyDescent="0.25">
      <c r="A184" s="236">
        <f t="shared" ref="A184:A185" si="57">A183+1</f>
        <v>97</v>
      </c>
      <c r="B184" s="236">
        <v>4122</v>
      </c>
      <c r="C184" s="233" t="s">
        <v>593</v>
      </c>
      <c r="D184" s="13">
        <v>1994</v>
      </c>
      <c r="E184" s="13" t="s">
        <v>86</v>
      </c>
      <c r="F184" s="13" t="s">
        <v>81</v>
      </c>
      <c r="G184" s="9">
        <v>3846</v>
      </c>
      <c r="H184" s="9">
        <v>3489.9</v>
      </c>
      <c r="I184" s="11">
        <v>143</v>
      </c>
      <c r="J184" s="9">
        <f>'Форма 2'!I750</f>
        <v>0</v>
      </c>
      <c r="K184" s="9">
        <v>0</v>
      </c>
      <c r="L184" s="9">
        <v>0</v>
      </c>
      <c r="M184" s="9">
        <v>0</v>
      </c>
      <c r="N184" s="9">
        <f>J184-K184-L184-M184-O184</f>
        <v>0</v>
      </c>
      <c r="O184" s="9">
        <v>0</v>
      </c>
      <c r="P184" s="9">
        <f>J184/H184</f>
        <v>0</v>
      </c>
      <c r="Q184" s="9">
        <f>'Форма 2'!K750</f>
        <v>18.5</v>
      </c>
      <c r="R184" s="37" t="s">
        <v>289</v>
      </c>
      <c r="S184" s="168">
        <v>1</v>
      </c>
    </row>
    <row r="185" spans="1:19" s="71" customFormat="1" ht="15.75" customHeight="1" x14ac:dyDescent="0.25">
      <c r="A185" s="236">
        <f t="shared" si="57"/>
        <v>98</v>
      </c>
      <c r="B185" s="236">
        <v>3378</v>
      </c>
      <c r="C185" s="29" t="s">
        <v>150</v>
      </c>
      <c r="D185" s="13">
        <v>1973</v>
      </c>
      <c r="E185" s="13" t="s">
        <v>68</v>
      </c>
      <c r="F185" s="13" t="s">
        <v>82</v>
      </c>
      <c r="G185" s="9">
        <v>4538.3999999999996</v>
      </c>
      <c r="H185" s="9">
        <v>3969.6</v>
      </c>
      <c r="I185" s="11">
        <v>150</v>
      </c>
      <c r="J185" s="9">
        <f>'Форма 2'!I753</f>
        <v>6240218.6799999997</v>
      </c>
      <c r="K185" s="9">
        <v>0</v>
      </c>
      <c r="L185" s="9">
        <v>0</v>
      </c>
      <c r="M185" s="9">
        <v>0</v>
      </c>
      <c r="N185" s="9">
        <f t="shared" si="49"/>
        <v>6056080.7800000003</v>
      </c>
      <c r="O185" s="9">
        <v>184137.9</v>
      </c>
      <c r="P185" s="9">
        <f t="shared" si="50"/>
        <v>1572</v>
      </c>
      <c r="Q185" s="9">
        <f>'Форма 2'!K753</f>
        <v>3878</v>
      </c>
      <c r="R185" s="37" t="s">
        <v>289</v>
      </c>
      <c r="S185" s="168">
        <v>1</v>
      </c>
    </row>
    <row r="186" spans="1:19" s="71" customFormat="1" ht="15.75" customHeight="1" x14ac:dyDescent="0.25">
      <c r="A186" s="17">
        <f t="shared" si="51"/>
        <v>99</v>
      </c>
      <c r="B186" s="236">
        <v>3381</v>
      </c>
      <c r="C186" s="29" t="s">
        <v>151</v>
      </c>
      <c r="D186" s="13">
        <v>1979</v>
      </c>
      <c r="E186" s="13" t="s">
        <v>68</v>
      </c>
      <c r="F186" s="13" t="s">
        <v>82</v>
      </c>
      <c r="G186" s="9">
        <v>1603.3</v>
      </c>
      <c r="H186" s="9">
        <v>1492.8</v>
      </c>
      <c r="I186" s="11">
        <v>56</v>
      </c>
      <c r="J186" s="9">
        <f>'Форма 2'!I756</f>
        <v>4572495.8499999996</v>
      </c>
      <c r="K186" s="9">
        <v>0</v>
      </c>
      <c r="L186" s="9">
        <v>0</v>
      </c>
      <c r="M186" s="9">
        <v>0</v>
      </c>
      <c r="N186" s="9">
        <f t="shared" si="49"/>
        <v>4450283.55</v>
      </c>
      <c r="O186" s="9">
        <v>122212.3</v>
      </c>
      <c r="P186" s="9">
        <f t="shared" si="50"/>
        <v>3063.03</v>
      </c>
      <c r="Q186" s="9">
        <f>'Форма 2'!K756</f>
        <v>3878</v>
      </c>
      <c r="R186" s="37" t="s">
        <v>289</v>
      </c>
      <c r="S186" s="168">
        <v>1</v>
      </c>
    </row>
    <row r="187" spans="1:19" s="71" customFormat="1" ht="15" customHeight="1" x14ac:dyDescent="0.25">
      <c r="A187" s="236">
        <f t="shared" ref="A187:A193" si="58">A186+1</f>
        <v>100</v>
      </c>
      <c r="B187" s="236">
        <v>3398</v>
      </c>
      <c r="C187" s="233" t="s">
        <v>152</v>
      </c>
      <c r="D187" s="13">
        <v>1977</v>
      </c>
      <c r="E187" s="13" t="s">
        <v>68</v>
      </c>
      <c r="F187" s="13" t="s">
        <v>82</v>
      </c>
      <c r="G187" s="9">
        <v>4923.7</v>
      </c>
      <c r="H187" s="9">
        <v>2693</v>
      </c>
      <c r="I187" s="11">
        <v>102</v>
      </c>
      <c r="J187" s="9">
        <f>'Форма 2'!I759</f>
        <v>8989079.2100000009</v>
      </c>
      <c r="K187" s="9">
        <v>0</v>
      </c>
      <c r="L187" s="9">
        <v>0</v>
      </c>
      <c r="M187" s="9">
        <v>0</v>
      </c>
      <c r="N187" s="9">
        <f>J187-K187-L187-M187-O187</f>
        <v>8989079.2100000009</v>
      </c>
      <c r="O187" s="9">
        <v>0</v>
      </c>
      <c r="P187" s="9">
        <f>J187/H187</f>
        <v>3337.94</v>
      </c>
      <c r="Q187" s="9">
        <f>'Форма 2'!K759</f>
        <v>4448</v>
      </c>
      <c r="R187" s="37" t="s">
        <v>289</v>
      </c>
      <c r="S187" s="168">
        <v>1</v>
      </c>
    </row>
    <row r="188" spans="1:19" s="71" customFormat="1" ht="15" customHeight="1" x14ac:dyDescent="0.25">
      <c r="A188" s="236">
        <f t="shared" si="58"/>
        <v>101</v>
      </c>
      <c r="B188" s="236">
        <v>3403</v>
      </c>
      <c r="C188" s="233" t="s">
        <v>594</v>
      </c>
      <c r="D188" s="13">
        <v>1940</v>
      </c>
      <c r="E188" s="13" t="s">
        <v>95</v>
      </c>
      <c r="F188" s="13" t="s">
        <v>81</v>
      </c>
      <c r="G188" s="9">
        <v>902.03</v>
      </c>
      <c r="H188" s="9">
        <v>812.03</v>
      </c>
      <c r="I188" s="11">
        <v>31</v>
      </c>
      <c r="J188" s="9">
        <f>'Форма 2'!I762</f>
        <v>57041.8</v>
      </c>
      <c r="K188" s="9">
        <v>0</v>
      </c>
      <c r="L188" s="9">
        <v>0</v>
      </c>
      <c r="M188" s="9">
        <v>0</v>
      </c>
      <c r="N188" s="9">
        <f>J188-K188-L188-M188-O188</f>
        <v>57041.8</v>
      </c>
      <c r="O188" s="9">
        <v>0</v>
      </c>
      <c r="P188" s="9">
        <f>J188/H188</f>
        <v>70.25</v>
      </c>
      <c r="Q188" s="9">
        <f>'Форма 2'!K762</f>
        <v>73</v>
      </c>
      <c r="R188" s="37" t="s">
        <v>289</v>
      </c>
      <c r="S188" s="168">
        <v>1</v>
      </c>
    </row>
    <row r="189" spans="1:19" s="71" customFormat="1" ht="15" customHeight="1" x14ac:dyDescent="0.25">
      <c r="A189" s="236">
        <f t="shared" si="58"/>
        <v>102</v>
      </c>
      <c r="B189" s="236">
        <v>3404</v>
      </c>
      <c r="C189" s="233" t="s">
        <v>595</v>
      </c>
      <c r="D189" s="13">
        <v>1951</v>
      </c>
      <c r="E189" s="13" t="s">
        <v>95</v>
      </c>
      <c r="F189" s="13" t="s">
        <v>81</v>
      </c>
      <c r="G189" s="9">
        <v>1279.28</v>
      </c>
      <c r="H189" s="9">
        <v>1165.78</v>
      </c>
      <c r="I189" s="11">
        <v>52</v>
      </c>
      <c r="J189" s="9">
        <f>'Форма 2'!I764</f>
        <v>47956.52</v>
      </c>
      <c r="K189" s="9">
        <v>0</v>
      </c>
      <c r="L189" s="9">
        <v>0</v>
      </c>
      <c r="M189" s="9">
        <v>0</v>
      </c>
      <c r="N189" s="9">
        <f>J189-K189-L189-M189-O189</f>
        <v>47956.52</v>
      </c>
      <c r="O189" s="9">
        <v>0</v>
      </c>
      <c r="P189" s="9">
        <f>J189/H189</f>
        <v>41.14</v>
      </c>
      <c r="Q189" s="9">
        <f>'Форма 2'!K764</f>
        <v>47</v>
      </c>
      <c r="R189" s="37" t="s">
        <v>289</v>
      </c>
      <c r="S189" s="168">
        <v>1</v>
      </c>
    </row>
    <row r="190" spans="1:19" s="71" customFormat="1" ht="15.75" customHeight="1" x14ac:dyDescent="0.25">
      <c r="A190" s="236">
        <f t="shared" si="58"/>
        <v>103</v>
      </c>
      <c r="B190" s="236">
        <v>3406</v>
      </c>
      <c r="C190" s="29" t="s">
        <v>528</v>
      </c>
      <c r="D190" s="13">
        <v>1956</v>
      </c>
      <c r="E190" s="13" t="s">
        <v>529</v>
      </c>
      <c r="F190" s="13" t="s">
        <v>114</v>
      </c>
      <c r="G190" s="9">
        <v>1344.96</v>
      </c>
      <c r="H190" s="9">
        <v>1229.96</v>
      </c>
      <c r="I190" s="11">
        <v>46</v>
      </c>
      <c r="J190" s="9">
        <f>'Форма 2'!I766</f>
        <v>7706906.7999999998</v>
      </c>
      <c r="K190" s="9">
        <v>0</v>
      </c>
      <c r="L190" s="9">
        <v>0</v>
      </c>
      <c r="M190" s="9">
        <v>0</v>
      </c>
      <c r="N190" s="9">
        <f t="shared" si="49"/>
        <v>7414956.7199999997</v>
      </c>
      <c r="O190" s="9">
        <v>291950.08000000002</v>
      </c>
      <c r="P190" s="9">
        <f t="shared" si="50"/>
        <v>6265.98</v>
      </c>
      <c r="Q190" s="9">
        <f>'Форма 2'!K766</f>
        <v>17763</v>
      </c>
      <c r="R190" s="37" t="s">
        <v>289</v>
      </c>
      <c r="S190" s="168">
        <v>1</v>
      </c>
    </row>
    <row r="191" spans="1:19" s="71" customFormat="1" ht="15" customHeight="1" x14ac:dyDescent="0.25">
      <c r="A191" s="236">
        <f t="shared" si="58"/>
        <v>104</v>
      </c>
      <c r="B191" s="236">
        <v>3409</v>
      </c>
      <c r="C191" s="233" t="s">
        <v>596</v>
      </c>
      <c r="D191" s="13">
        <v>1939</v>
      </c>
      <c r="E191" s="13" t="s">
        <v>95</v>
      </c>
      <c r="F191" s="13" t="s">
        <v>81</v>
      </c>
      <c r="G191" s="9">
        <v>1900.24</v>
      </c>
      <c r="H191" s="9">
        <v>1702.64</v>
      </c>
      <c r="I191" s="11">
        <v>64</v>
      </c>
      <c r="J191" s="9">
        <f>'Форма 2'!I775</f>
        <v>66529.759999999995</v>
      </c>
      <c r="K191" s="9">
        <v>0</v>
      </c>
      <c r="L191" s="9">
        <v>0</v>
      </c>
      <c r="M191" s="9">
        <v>0</v>
      </c>
      <c r="N191" s="9">
        <f>J191-K191-L191-M191-O191</f>
        <v>66529.759999999995</v>
      </c>
      <c r="O191" s="9">
        <v>0</v>
      </c>
      <c r="P191" s="9">
        <f>J191/H191</f>
        <v>39.07</v>
      </c>
      <c r="Q191" s="9">
        <f>'Форма 2'!K775</f>
        <v>47</v>
      </c>
      <c r="R191" s="37" t="s">
        <v>289</v>
      </c>
      <c r="S191" s="168">
        <v>1</v>
      </c>
    </row>
    <row r="192" spans="1:19" s="71" customFormat="1" ht="15" customHeight="1" x14ac:dyDescent="0.25">
      <c r="A192" s="236">
        <f t="shared" si="58"/>
        <v>105</v>
      </c>
      <c r="B192" s="236">
        <v>3411</v>
      </c>
      <c r="C192" s="233" t="s">
        <v>597</v>
      </c>
      <c r="D192" s="13">
        <v>1939</v>
      </c>
      <c r="E192" s="13" t="s">
        <v>95</v>
      </c>
      <c r="F192" s="13" t="s">
        <v>81</v>
      </c>
      <c r="G192" s="9">
        <v>2227</v>
      </c>
      <c r="H192" s="9">
        <v>1713.6</v>
      </c>
      <c r="I192" s="11">
        <v>62</v>
      </c>
      <c r="J192" s="9">
        <f>'Форма 2'!I777</f>
        <v>64484.66</v>
      </c>
      <c r="K192" s="9">
        <v>0</v>
      </c>
      <c r="L192" s="9">
        <v>0</v>
      </c>
      <c r="M192" s="9">
        <v>0</v>
      </c>
      <c r="N192" s="9">
        <f>J192-K192-L192-M192-O192</f>
        <v>64484.66</v>
      </c>
      <c r="O192" s="9">
        <v>0</v>
      </c>
      <c r="P192" s="9">
        <f>J192/H192</f>
        <v>37.630000000000003</v>
      </c>
      <c r="Q192" s="9">
        <f>'Форма 2'!K777</f>
        <v>47</v>
      </c>
      <c r="R192" s="37" t="s">
        <v>289</v>
      </c>
      <c r="S192" s="168">
        <v>1</v>
      </c>
    </row>
    <row r="193" spans="1:19" s="71" customFormat="1" ht="15.75" customHeight="1" x14ac:dyDescent="0.25">
      <c r="A193" s="236">
        <f t="shared" si="58"/>
        <v>106</v>
      </c>
      <c r="B193" s="236">
        <v>3416</v>
      </c>
      <c r="C193" s="29" t="s">
        <v>484</v>
      </c>
      <c r="D193" s="13">
        <v>1917</v>
      </c>
      <c r="E193" s="13" t="s">
        <v>112</v>
      </c>
      <c r="F193" s="13" t="s">
        <v>82</v>
      </c>
      <c r="G193" s="9">
        <v>941</v>
      </c>
      <c r="H193" s="9">
        <v>887</v>
      </c>
      <c r="I193" s="11">
        <v>34</v>
      </c>
      <c r="J193" s="9">
        <f>'Форма 2'!I779</f>
        <v>1947000.45</v>
      </c>
      <c r="K193" s="9">
        <v>0</v>
      </c>
      <c r="L193" s="9">
        <v>0</v>
      </c>
      <c r="M193" s="9">
        <v>0</v>
      </c>
      <c r="N193" s="9">
        <f t="shared" si="49"/>
        <v>1917620.41</v>
      </c>
      <c r="O193" s="9">
        <v>29380.04</v>
      </c>
      <c r="P193" s="9">
        <f t="shared" si="50"/>
        <v>2195.04</v>
      </c>
      <c r="Q193" s="9">
        <f>'Форма 2'!K779</f>
        <v>2283</v>
      </c>
      <c r="R193" s="37" t="s">
        <v>289</v>
      </c>
      <c r="S193" s="168">
        <v>1</v>
      </c>
    </row>
    <row r="194" spans="1:19" s="71" customFormat="1" ht="15.75" customHeight="1" x14ac:dyDescent="0.25">
      <c r="A194" s="236">
        <f t="shared" si="51"/>
        <v>107</v>
      </c>
      <c r="B194" s="236">
        <v>3417</v>
      </c>
      <c r="C194" s="29" t="s">
        <v>485</v>
      </c>
      <c r="D194" s="13">
        <v>1917</v>
      </c>
      <c r="E194" s="13" t="s">
        <v>112</v>
      </c>
      <c r="F194" s="13" t="s">
        <v>82</v>
      </c>
      <c r="G194" s="9">
        <v>975.5</v>
      </c>
      <c r="H194" s="9">
        <v>921.5</v>
      </c>
      <c r="I194" s="11">
        <v>35</v>
      </c>
      <c r="J194" s="9">
        <f>'Форма 2'!I782</f>
        <v>1857478.12</v>
      </c>
      <c r="K194" s="9">
        <v>0</v>
      </c>
      <c r="L194" s="9">
        <v>0</v>
      </c>
      <c r="M194" s="9">
        <v>0</v>
      </c>
      <c r="N194" s="9">
        <f t="shared" si="49"/>
        <v>1826955.34</v>
      </c>
      <c r="O194" s="9">
        <v>30522.78</v>
      </c>
      <c r="P194" s="9">
        <f t="shared" si="50"/>
        <v>2015.71</v>
      </c>
      <c r="Q194" s="9">
        <f>'Форма 2'!K782</f>
        <v>2283</v>
      </c>
      <c r="R194" s="37" t="s">
        <v>289</v>
      </c>
      <c r="S194" s="168">
        <v>1</v>
      </c>
    </row>
    <row r="195" spans="1:19" s="71" customFormat="1" ht="15" customHeight="1" x14ac:dyDescent="0.25">
      <c r="A195" s="236">
        <f>A194+1</f>
        <v>108</v>
      </c>
      <c r="B195" s="236">
        <v>4314</v>
      </c>
      <c r="C195" s="233" t="s">
        <v>598</v>
      </c>
      <c r="D195" s="13">
        <v>1995</v>
      </c>
      <c r="E195" s="13" t="s">
        <v>86</v>
      </c>
      <c r="F195" s="13" t="s">
        <v>81</v>
      </c>
      <c r="G195" s="9">
        <v>5431.51</v>
      </c>
      <c r="H195" s="9">
        <v>4047.51</v>
      </c>
      <c r="I195" s="11">
        <v>182</v>
      </c>
      <c r="J195" s="9">
        <f>'Форма 2'!I785</f>
        <v>0</v>
      </c>
      <c r="K195" s="9">
        <v>0</v>
      </c>
      <c r="L195" s="9">
        <v>0</v>
      </c>
      <c r="M195" s="9">
        <v>0</v>
      </c>
      <c r="N195" s="9">
        <f>J195-K195-L195-M195-O195</f>
        <v>0</v>
      </c>
      <c r="O195" s="9">
        <v>0</v>
      </c>
      <c r="P195" s="9">
        <f>J195/H195</f>
        <v>0</v>
      </c>
      <c r="Q195" s="9">
        <f>'Форма 2'!K785</f>
        <v>7.98</v>
      </c>
      <c r="R195" s="37" t="s">
        <v>289</v>
      </c>
      <c r="S195" s="168">
        <v>1</v>
      </c>
    </row>
    <row r="196" spans="1:19" s="71" customFormat="1" ht="15" customHeight="1" x14ac:dyDescent="0.25">
      <c r="A196" s="236">
        <f>A195+1</f>
        <v>109</v>
      </c>
      <c r="B196" s="236">
        <v>4105</v>
      </c>
      <c r="C196" s="233" t="s">
        <v>599</v>
      </c>
      <c r="D196" s="13">
        <v>1994</v>
      </c>
      <c r="E196" s="13" t="s">
        <v>86</v>
      </c>
      <c r="F196" s="13" t="s">
        <v>81</v>
      </c>
      <c r="G196" s="9">
        <v>6081.4</v>
      </c>
      <c r="H196" s="9">
        <v>5483.6</v>
      </c>
      <c r="I196" s="11">
        <v>167</v>
      </c>
      <c r="J196" s="9">
        <f>'Форма 2'!I787</f>
        <v>0</v>
      </c>
      <c r="K196" s="9">
        <v>0</v>
      </c>
      <c r="L196" s="9">
        <v>0</v>
      </c>
      <c r="M196" s="9">
        <v>0</v>
      </c>
      <c r="N196" s="9">
        <f>J196-K196-L196-M196-O196</f>
        <v>0</v>
      </c>
      <c r="O196" s="9">
        <v>0</v>
      </c>
      <c r="P196" s="9">
        <f>J196/H196</f>
        <v>0</v>
      </c>
      <c r="Q196" s="9">
        <f>'Форма 2'!K787</f>
        <v>5.89</v>
      </c>
      <c r="R196" s="37" t="s">
        <v>289</v>
      </c>
      <c r="S196" s="168">
        <v>1</v>
      </c>
    </row>
    <row r="197" spans="1:19" s="71" customFormat="1" ht="21" customHeight="1" x14ac:dyDescent="0.25">
      <c r="A197" s="236">
        <f>A196+1</f>
        <v>110</v>
      </c>
      <c r="B197" s="236">
        <v>3421</v>
      </c>
      <c r="C197" s="27" t="s">
        <v>734</v>
      </c>
      <c r="D197" s="251">
        <v>1989</v>
      </c>
      <c r="E197" s="251" t="s">
        <v>86</v>
      </c>
      <c r="F197" s="251" t="s">
        <v>82</v>
      </c>
      <c r="G197" s="22">
        <v>5994</v>
      </c>
      <c r="H197" s="22">
        <v>5494.6</v>
      </c>
      <c r="I197" s="15">
        <v>208</v>
      </c>
      <c r="J197" s="22">
        <f>'Форма 2'!I789</f>
        <v>2049566.4</v>
      </c>
      <c r="K197" s="22">
        <v>0</v>
      </c>
      <c r="L197" s="22">
        <v>0</v>
      </c>
      <c r="M197" s="22">
        <v>0</v>
      </c>
      <c r="N197" s="22">
        <f>J197-K197-L197-M197-O197</f>
        <v>2049566.4</v>
      </c>
      <c r="O197" s="22">
        <v>0</v>
      </c>
      <c r="P197" s="22">
        <f>J197/H197</f>
        <v>373.01</v>
      </c>
      <c r="Q197" s="22">
        <f>'Форма 2'!K789</f>
        <v>447.49</v>
      </c>
      <c r="R197" s="206" t="s">
        <v>289</v>
      </c>
      <c r="S197" s="168">
        <v>2</v>
      </c>
    </row>
    <row r="198" spans="1:19" s="71" customFormat="1" ht="15.75" customHeight="1" x14ac:dyDescent="0.25">
      <c r="A198" s="282" t="s">
        <v>111</v>
      </c>
      <c r="B198" s="282"/>
      <c r="C198" s="282"/>
      <c r="D198" s="13" t="s">
        <v>13</v>
      </c>
      <c r="E198" s="17" t="s">
        <v>13</v>
      </c>
      <c r="F198" s="17" t="s">
        <v>13</v>
      </c>
      <c r="G198" s="9">
        <f t="shared" ref="G198:O198" si="59">SUM(G199:G229)</f>
        <v>242272.94</v>
      </c>
      <c r="H198" s="9">
        <f t="shared" si="59"/>
        <v>198874.79</v>
      </c>
      <c r="I198" s="11">
        <f t="shared" si="59"/>
        <v>7441</v>
      </c>
      <c r="J198" s="9">
        <f t="shared" si="59"/>
        <v>79709517.799999997</v>
      </c>
      <c r="K198" s="9">
        <f t="shared" si="59"/>
        <v>0</v>
      </c>
      <c r="L198" s="9">
        <f t="shared" si="59"/>
        <v>0</v>
      </c>
      <c r="M198" s="9">
        <f t="shared" si="59"/>
        <v>0</v>
      </c>
      <c r="N198" s="9">
        <f t="shared" si="59"/>
        <v>78547731.390000001</v>
      </c>
      <c r="O198" s="9">
        <f t="shared" si="59"/>
        <v>1161786.4099999999</v>
      </c>
      <c r="P198" s="17" t="s">
        <v>13</v>
      </c>
      <c r="Q198" s="17" t="s">
        <v>13</v>
      </c>
      <c r="R198" s="17" t="s">
        <v>13</v>
      </c>
      <c r="S198" s="236" t="s">
        <v>13</v>
      </c>
    </row>
    <row r="199" spans="1:19" s="71" customFormat="1" ht="15.75" customHeight="1" x14ac:dyDescent="0.25">
      <c r="A199" s="236">
        <f>A197+1</f>
        <v>111</v>
      </c>
      <c r="B199" s="236">
        <v>2466</v>
      </c>
      <c r="C199" s="29" t="s">
        <v>537</v>
      </c>
      <c r="D199" s="13">
        <v>1966</v>
      </c>
      <c r="E199" s="13" t="s">
        <v>95</v>
      </c>
      <c r="F199" s="13" t="s">
        <v>81</v>
      </c>
      <c r="G199" s="9">
        <v>3317.9</v>
      </c>
      <c r="H199" s="9">
        <v>2580.6999999999998</v>
      </c>
      <c r="I199" s="11">
        <v>94</v>
      </c>
      <c r="J199" s="9">
        <f>'Форма 2'!I791</f>
        <v>96130.6</v>
      </c>
      <c r="K199" s="9">
        <v>0</v>
      </c>
      <c r="L199" s="9">
        <v>0</v>
      </c>
      <c r="M199" s="9">
        <v>0</v>
      </c>
      <c r="N199" s="9">
        <f>J199-K199-L199-M199-O199</f>
        <v>92659.38</v>
      </c>
      <c r="O199" s="9">
        <v>3471.22</v>
      </c>
      <c r="P199" s="9">
        <f>J199/H199</f>
        <v>37.25</v>
      </c>
      <c r="Q199" s="9">
        <f>'Форма 2'!K791</f>
        <v>47</v>
      </c>
      <c r="R199" s="37" t="s">
        <v>289</v>
      </c>
      <c r="S199" s="168">
        <v>1</v>
      </c>
    </row>
    <row r="200" spans="1:19" s="71" customFormat="1" ht="15.75" customHeight="1" x14ac:dyDescent="0.25">
      <c r="A200" s="236">
        <f>A199+1</f>
        <v>112</v>
      </c>
      <c r="B200" s="236">
        <v>3011</v>
      </c>
      <c r="C200" s="29" t="s">
        <v>452</v>
      </c>
      <c r="D200" s="13">
        <v>1993</v>
      </c>
      <c r="E200" s="13" t="s">
        <v>86</v>
      </c>
      <c r="F200" s="13" t="s">
        <v>87</v>
      </c>
      <c r="G200" s="9">
        <v>17282.2</v>
      </c>
      <c r="H200" s="9">
        <v>13855.7</v>
      </c>
      <c r="I200" s="11">
        <v>523</v>
      </c>
      <c r="J200" s="9">
        <f>'Форма 2'!I793</f>
        <v>9221665.6799999997</v>
      </c>
      <c r="K200" s="9">
        <v>0</v>
      </c>
      <c r="L200" s="9">
        <v>0</v>
      </c>
      <c r="M200" s="9">
        <v>0</v>
      </c>
      <c r="N200" s="9">
        <f t="shared" ref="N200" si="60">J200-K200-L200-M200-O200</f>
        <v>8821450.0299999993</v>
      </c>
      <c r="O200" s="9">
        <v>400215.65</v>
      </c>
      <c r="P200" s="9">
        <f t="shared" ref="P200" si="61">J200/H200</f>
        <v>665.55</v>
      </c>
      <c r="Q200" s="9">
        <f>'Форма 2'!K793</f>
        <v>1005.46</v>
      </c>
      <c r="R200" s="37" t="s">
        <v>289</v>
      </c>
      <c r="S200" s="168">
        <v>1</v>
      </c>
    </row>
    <row r="201" spans="1:19" s="71" customFormat="1" ht="15" customHeight="1" x14ac:dyDescent="0.25">
      <c r="A201" s="236">
        <f t="shared" ref="A201:A224" si="62">A200+1</f>
        <v>113</v>
      </c>
      <c r="B201" s="236">
        <v>2255</v>
      </c>
      <c r="C201" s="233" t="s">
        <v>600</v>
      </c>
      <c r="D201" s="13">
        <v>1994</v>
      </c>
      <c r="E201" s="13" t="s">
        <v>86</v>
      </c>
      <c r="F201" s="13" t="s">
        <v>81</v>
      </c>
      <c r="G201" s="9">
        <v>5784</v>
      </c>
      <c r="H201" s="9">
        <v>4870</v>
      </c>
      <c r="I201" s="11">
        <v>184</v>
      </c>
      <c r="J201" s="9">
        <f>'Форма 2'!I812</f>
        <v>0</v>
      </c>
      <c r="K201" s="9">
        <v>0</v>
      </c>
      <c r="L201" s="9">
        <v>0</v>
      </c>
      <c r="M201" s="9">
        <v>0</v>
      </c>
      <c r="N201" s="9">
        <f t="shared" ref="N201:N206" si="63">J201-K201-L201-M201-O201</f>
        <v>0</v>
      </c>
      <c r="O201" s="9">
        <v>0</v>
      </c>
      <c r="P201" s="9">
        <f t="shared" ref="P201:P206" si="64">J201/H201</f>
        <v>0</v>
      </c>
      <c r="Q201" s="9">
        <f>'Форма 2'!K812</f>
        <v>13.26</v>
      </c>
      <c r="R201" s="37" t="s">
        <v>289</v>
      </c>
      <c r="S201" s="168">
        <v>1</v>
      </c>
    </row>
    <row r="202" spans="1:19" s="71" customFormat="1" ht="15.75" customHeight="1" x14ac:dyDescent="0.25">
      <c r="A202" s="236">
        <f t="shared" si="62"/>
        <v>114</v>
      </c>
      <c r="B202" s="236">
        <v>2257</v>
      </c>
      <c r="C202" s="29" t="s">
        <v>538</v>
      </c>
      <c r="D202" s="13">
        <v>1971</v>
      </c>
      <c r="E202" s="13" t="s">
        <v>95</v>
      </c>
      <c r="F202" s="13" t="s">
        <v>87</v>
      </c>
      <c r="G202" s="9">
        <v>4962.2</v>
      </c>
      <c r="H202" s="9">
        <v>4524.2</v>
      </c>
      <c r="I202" s="11">
        <v>181</v>
      </c>
      <c r="J202" s="9">
        <f>'Форма 2'!I815</f>
        <v>1093388.23</v>
      </c>
      <c r="K202" s="9">
        <v>0</v>
      </c>
      <c r="L202" s="9">
        <v>0</v>
      </c>
      <c r="M202" s="9">
        <v>0</v>
      </c>
      <c r="N202" s="9">
        <f t="shared" si="63"/>
        <v>1037371.4</v>
      </c>
      <c r="O202" s="9">
        <v>56016.83</v>
      </c>
      <c r="P202" s="9">
        <f t="shared" si="64"/>
        <v>241.68</v>
      </c>
      <c r="Q202" s="9">
        <f>'Форма 2'!K815</f>
        <v>431</v>
      </c>
      <c r="R202" s="37" t="s">
        <v>289</v>
      </c>
      <c r="S202" s="168">
        <v>1</v>
      </c>
    </row>
    <row r="203" spans="1:19" s="71" customFormat="1" ht="15.75" customHeight="1" x14ac:dyDescent="0.25">
      <c r="A203" s="236">
        <f t="shared" si="62"/>
        <v>115</v>
      </c>
      <c r="B203" s="236">
        <v>2473</v>
      </c>
      <c r="C203" s="29" t="s">
        <v>430</v>
      </c>
      <c r="D203" s="17">
        <v>1966</v>
      </c>
      <c r="E203" s="13" t="s">
        <v>95</v>
      </c>
      <c r="F203" s="13" t="s">
        <v>87</v>
      </c>
      <c r="G203" s="9">
        <v>4575</v>
      </c>
      <c r="H203" s="9">
        <v>3525.89</v>
      </c>
      <c r="I203" s="11">
        <v>125</v>
      </c>
      <c r="J203" s="9">
        <f>'Форма 2'!I819</f>
        <v>782337.14</v>
      </c>
      <c r="K203" s="9">
        <v>0</v>
      </c>
      <c r="L203" s="9">
        <v>0</v>
      </c>
      <c r="M203" s="9">
        <v>0</v>
      </c>
      <c r="N203" s="9">
        <f t="shared" si="63"/>
        <v>738680.86</v>
      </c>
      <c r="O203" s="9">
        <v>43656.28</v>
      </c>
      <c r="P203" s="9">
        <f t="shared" si="64"/>
        <v>221.88</v>
      </c>
      <c r="Q203" s="9">
        <f>'Форма 2'!K819</f>
        <v>431</v>
      </c>
      <c r="R203" s="37" t="s">
        <v>289</v>
      </c>
      <c r="S203" s="168">
        <v>1</v>
      </c>
    </row>
    <row r="204" spans="1:19" s="71" customFormat="1" ht="15" customHeight="1" x14ac:dyDescent="0.25">
      <c r="A204" s="236">
        <f t="shared" si="62"/>
        <v>116</v>
      </c>
      <c r="B204" s="236">
        <v>2980</v>
      </c>
      <c r="C204" s="233" t="s">
        <v>735</v>
      </c>
      <c r="D204" s="13">
        <v>1962</v>
      </c>
      <c r="E204" s="13" t="s">
        <v>737</v>
      </c>
      <c r="F204" s="13" t="s">
        <v>82</v>
      </c>
      <c r="G204" s="9">
        <v>4042.4</v>
      </c>
      <c r="H204" s="9">
        <v>3135.7</v>
      </c>
      <c r="I204" s="11">
        <v>90</v>
      </c>
      <c r="J204" s="9">
        <f>'Форма 2'!I823</f>
        <v>3977487.73</v>
      </c>
      <c r="K204" s="9">
        <v>0</v>
      </c>
      <c r="L204" s="9">
        <v>0</v>
      </c>
      <c r="M204" s="9">
        <v>0</v>
      </c>
      <c r="N204" s="9">
        <f t="shared" si="63"/>
        <v>3977487.73</v>
      </c>
      <c r="O204" s="9">
        <v>0</v>
      </c>
      <c r="P204" s="9">
        <f t="shared" si="64"/>
        <v>1268.45</v>
      </c>
      <c r="Q204" s="9">
        <f>'Форма 2'!K823</f>
        <v>3878</v>
      </c>
      <c r="R204" s="37" t="s">
        <v>289</v>
      </c>
      <c r="S204" s="168">
        <v>1</v>
      </c>
    </row>
    <row r="205" spans="1:19" s="71" customFormat="1" ht="15" customHeight="1" x14ac:dyDescent="0.25">
      <c r="A205" s="236">
        <f t="shared" si="62"/>
        <v>117</v>
      </c>
      <c r="B205" s="236">
        <v>3048</v>
      </c>
      <c r="C205" s="233" t="s">
        <v>601</v>
      </c>
      <c r="D205" s="13">
        <v>1991</v>
      </c>
      <c r="E205" s="13" t="s">
        <v>86</v>
      </c>
      <c r="F205" s="13" t="s">
        <v>81</v>
      </c>
      <c r="G205" s="9">
        <v>12899.3</v>
      </c>
      <c r="H205" s="9">
        <v>11324.3</v>
      </c>
      <c r="I205" s="11">
        <v>436</v>
      </c>
      <c r="J205" s="9">
        <f>'Форма 2'!I826</f>
        <v>0</v>
      </c>
      <c r="K205" s="9">
        <v>0</v>
      </c>
      <c r="L205" s="9">
        <v>0</v>
      </c>
      <c r="M205" s="9">
        <v>0</v>
      </c>
      <c r="N205" s="9">
        <f t="shared" si="63"/>
        <v>0</v>
      </c>
      <c r="O205" s="9">
        <v>0</v>
      </c>
      <c r="P205" s="9">
        <f t="shared" si="64"/>
        <v>0</v>
      </c>
      <c r="Q205" s="9">
        <f>'Форма 2'!K826</f>
        <v>5.7</v>
      </c>
      <c r="R205" s="37" t="s">
        <v>289</v>
      </c>
      <c r="S205" s="168">
        <v>1</v>
      </c>
    </row>
    <row r="206" spans="1:19" s="71" customFormat="1" ht="15" customHeight="1" x14ac:dyDescent="0.25">
      <c r="A206" s="236">
        <f t="shared" si="62"/>
        <v>118</v>
      </c>
      <c r="B206" s="236">
        <v>2406</v>
      </c>
      <c r="C206" s="233" t="s">
        <v>602</v>
      </c>
      <c r="D206" s="13">
        <v>1994</v>
      </c>
      <c r="E206" s="13" t="s">
        <v>86</v>
      </c>
      <c r="F206" s="13" t="s">
        <v>81</v>
      </c>
      <c r="G206" s="9">
        <v>4598</v>
      </c>
      <c r="H206" s="9">
        <v>3371</v>
      </c>
      <c r="I206" s="11">
        <v>104</v>
      </c>
      <c r="J206" s="9">
        <f>'Форма 2'!I829</f>
        <v>0</v>
      </c>
      <c r="K206" s="9">
        <v>0</v>
      </c>
      <c r="L206" s="9">
        <v>0</v>
      </c>
      <c r="M206" s="9">
        <v>0</v>
      </c>
      <c r="N206" s="9">
        <f t="shared" si="63"/>
        <v>0</v>
      </c>
      <c r="O206" s="9">
        <v>0</v>
      </c>
      <c r="P206" s="9">
        <f t="shared" si="64"/>
        <v>0</v>
      </c>
      <c r="Q206" s="9">
        <f>'Форма 2'!K829</f>
        <v>9.58</v>
      </c>
      <c r="R206" s="37" t="s">
        <v>289</v>
      </c>
      <c r="S206" s="168">
        <v>1</v>
      </c>
    </row>
    <row r="207" spans="1:19" s="71" customFormat="1" ht="15.75" customHeight="1" x14ac:dyDescent="0.25">
      <c r="A207" s="236">
        <f t="shared" si="62"/>
        <v>119</v>
      </c>
      <c r="B207" s="236">
        <v>2237</v>
      </c>
      <c r="C207" s="29" t="s">
        <v>541</v>
      </c>
      <c r="D207" s="13">
        <v>1971</v>
      </c>
      <c r="E207" s="13" t="s">
        <v>95</v>
      </c>
      <c r="F207" s="13" t="s">
        <v>81</v>
      </c>
      <c r="G207" s="9">
        <v>3617.3</v>
      </c>
      <c r="H207" s="9">
        <v>3373.3</v>
      </c>
      <c r="I207" s="11">
        <v>132</v>
      </c>
      <c r="J207" s="9">
        <f>'Форма 2'!I831</f>
        <v>80959.199999999997</v>
      </c>
      <c r="K207" s="9">
        <v>0</v>
      </c>
      <c r="L207" s="9">
        <v>0</v>
      </c>
      <c r="M207" s="9">
        <v>0</v>
      </c>
      <c r="N207" s="9">
        <f t="shared" ref="N207:N221" si="65">J207-K207-L207-M207-O207</f>
        <v>78633.440000000002</v>
      </c>
      <c r="O207" s="9">
        <v>2325.7600000000002</v>
      </c>
      <c r="P207" s="9">
        <f t="shared" ref="P207:P221" si="66">J207/H207</f>
        <v>24</v>
      </c>
      <c r="Q207" s="9">
        <f>'Форма 2'!K831</f>
        <v>24</v>
      </c>
      <c r="R207" s="37" t="s">
        <v>289</v>
      </c>
      <c r="S207" s="168">
        <v>1</v>
      </c>
    </row>
    <row r="208" spans="1:19" s="71" customFormat="1" ht="15.75" customHeight="1" x14ac:dyDescent="0.25">
      <c r="A208" s="236">
        <f t="shared" si="62"/>
        <v>120</v>
      </c>
      <c r="B208" s="236">
        <v>2414</v>
      </c>
      <c r="C208" s="29" t="s">
        <v>531</v>
      </c>
      <c r="D208" s="13">
        <v>1965</v>
      </c>
      <c r="E208" s="13" t="s">
        <v>95</v>
      </c>
      <c r="F208" s="13" t="s">
        <v>81</v>
      </c>
      <c r="G208" s="9">
        <v>4119.5</v>
      </c>
      <c r="H208" s="9">
        <v>3170.6</v>
      </c>
      <c r="I208" s="11">
        <v>111</v>
      </c>
      <c r="J208" s="9">
        <f>'Форма 2'!I833</f>
        <v>114080.4</v>
      </c>
      <c r="K208" s="9">
        <v>0</v>
      </c>
      <c r="L208" s="9">
        <v>0</v>
      </c>
      <c r="M208" s="9">
        <v>0</v>
      </c>
      <c r="N208" s="9">
        <f t="shared" si="65"/>
        <v>109801.76</v>
      </c>
      <c r="O208" s="9">
        <v>4278.6400000000003</v>
      </c>
      <c r="P208" s="9">
        <f t="shared" si="66"/>
        <v>35.979999999999997</v>
      </c>
      <c r="Q208" s="9">
        <f>'Форма 2'!K833</f>
        <v>47</v>
      </c>
      <c r="R208" s="37" t="s">
        <v>289</v>
      </c>
      <c r="S208" s="168">
        <v>1</v>
      </c>
    </row>
    <row r="209" spans="1:19" s="71" customFormat="1" ht="15.75" customHeight="1" x14ac:dyDescent="0.25">
      <c r="A209" s="236">
        <f t="shared" si="62"/>
        <v>121</v>
      </c>
      <c r="B209" s="236">
        <v>2415</v>
      </c>
      <c r="C209" s="29" t="s">
        <v>532</v>
      </c>
      <c r="D209" s="13">
        <v>1967</v>
      </c>
      <c r="E209" s="13" t="s">
        <v>95</v>
      </c>
      <c r="F209" s="13" t="s">
        <v>87</v>
      </c>
      <c r="G209" s="9">
        <v>4166.3</v>
      </c>
      <c r="H209" s="9">
        <v>3171.86</v>
      </c>
      <c r="I209" s="11">
        <v>131</v>
      </c>
      <c r="J209" s="9">
        <f>'Форма 2'!I835</f>
        <v>779658.86</v>
      </c>
      <c r="K209" s="9">
        <v>0</v>
      </c>
      <c r="L209" s="9">
        <v>0</v>
      </c>
      <c r="M209" s="9">
        <v>0</v>
      </c>
      <c r="N209" s="9">
        <f t="shared" si="65"/>
        <v>741907.42</v>
      </c>
      <c r="O209" s="9">
        <v>37751.440000000002</v>
      </c>
      <c r="P209" s="9">
        <f t="shared" si="66"/>
        <v>245.8</v>
      </c>
      <c r="Q209" s="9">
        <f>'Форма 2'!K835</f>
        <v>409</v>
      </c>
      <c r="R209" s="37" t="s">
        <v>289</v>
      </c>
      <c r="S209" s="168">
        <v>1</v>
      </c>
    </row>
    <row r="210" spans="1:19" s="71" customFormat="1" ht="15" customHeight="1" x14ac:dyDescent="0.25">
      <c r="A210" s="236">
        <f t="shared" si="62"/>
        <v>122</v>
      </c>
      <c r="B210" s="236">
        <v>2245</v>
      </c>
      <c r="C210" s="233" t="s">
        <v>603</v>
      </c>
      <c r="D210" s="13">
        <v>1994</v>
      </c>
      <c r="E210" s="13" t="s">
        <v>86</v>
      </c>
      <c r="F210" s="13" t="s">
        <v>81</v>
      </c>
      <c r="G210" s="9">
        <v>8632.7999999999993</v>
      </c>
      <c r="H210" s="9">
        <v>7261.8</v>
      </c>
      <c r="I210" s="11">
        <v>274</v>
      </c>
      <c r="J210" s="9">
        <f>'Форма 2'!I839</f>
        <v>0</v>
      </c>
      <c r="K210" s="9">
        <v>0</v>
      </c>
      <c r="L210" s="9">
        <v>0</v>
      </c>
      <c r="M210" s="9">
        <v>0</v>
      </c>
      <c r="N210" s="9">
        <f>J210-K210-L210-M210-O210</f>
        <v>0</v>
      </c>
      <c r="O210" s="9">
        <v>0</v>
      </c>
      <c r="P210" s="9">
        <f>J210/H210</f>
        <v>0</v>
      </c>
      <c r="Q210" s="9">
        <f>'Форма 2'!K839</f>
        <v>13.35</v>
      </c>
      <c r="R210" s="37" t="s">
        <v>289</v>
      </c>
      <c r="S210" s="168">
        <v>1</v>
      </c>
    </row>
    <row r="211" spans="1:19" s="71" customFormat="1" ht="15.75" customHeight="1" x14ac:dyDescent="0.25">
      <c r="A211" s="236">
        <f t="shared" si="62"/>
        <v>123</v>
      </c>
      <c r="B211" s="236">
        <v>2276</v>
      </c>
      <c r="C211" s="29" t="s">
        <v>547</v>
      </c>
      <c r="D211" s="13">
        <v>1966</v>
      </c>
      <c r="E211" s="13" t="s">
        <v>95</v>
      </c>
      <c r="F211" s="13" t="s">
        <v>81</v>
      </c>
      <c r="G211" s="9">
        <v>3830.95</v>
      </c>
      <c r="H211" s="9">
        <v>3594.95</v>
      </c>
      <c r="I211" s="11">
        <v>136</v>
      </c>
      <c r="J211" s="9">
        <f>'Форма 2'!I843</f>
        <v>86278.8</v>
      </c>
      <c r="K211" s="9">
        <v>0</v>
      </c>
      <c r="L211" s="9">
        <v>0</v>
      </c>
      <c r="M211" s="9">
        <v>0</v>
      </c>
      <c r="N211" s="9">
        <f t="shared" si="65"/>
        <v>41767.57</v>
      </c>
      <c r="O211" s="9">
        <v>44511.23</v>
      </c>
      <c r="P211" s="9">
        <f t="shared" si="66"/>
        <v>24</v>
      </c>
      <c r="Q211" s="9">
        <f>'Форма 2'!K843</f>
        <v>24</v>
      </c>
      <c r="R211" s="37" t="s">
        <v>289</v>
      </c>
      <c r="S211" s="168">
        <v>1</v>
      </c>
    </row>
    <row r="212" spans="1:19" s="71" customFormat="1" ht="15.75" customHeight="1" x14ac:dyDescent="0.25">
      <c r="A212" s="236">
        <f t="shared" si="62"/>
        <v>124</v>
      </c>
      <c r="B212" s="236">
        <v>2436</v>
      </c>
      <c r="C212" s="29" t="s">
        <v>362</v>
      </c>
      <c r="D212" s="13">
        <v>1966</v>
      </c>
      <c r="E212" s="13" t="s">
        <v>95</v>
      </c>
      <c r="F212" s="13" t="s">
        <v>87</v>
      </c>
      <c r="G212" s="9">
        <v>3432.9</v>
      </c>
      <c r="H212" s="9">
        <v>2593.5</v>
      </c>
      <c r="I212" s="11">
        <v>92</v>
      </c>
      <c r="J212" s="9">
        <f>'Форма 2'!I845</f>
        <v>679379.51</v>
      </c>
      <c r="K212" s="9">
        <v>0</v>
      </c>
      <c r="L212" s="9">
        <v>0</v>
      </c>
      <c r="M212" s="9">
        <v>0</v>
      </c>
      <c r="N212" s="9">
        <f t="shared" si="65"/>
        <v>648906.93999999994</v>
      </c>
      <c r="O212" s="9">
        <v>30472.57</v>
      </c>
      <c r="P212" s="9">
        <f t="shared" si="66"/>
        <v>261.95</v>
      </c>
      <c r="Q212" s="9">
        <f>'Форма 2'!K845</f>
        <v>409</v>
      </c>
      <c r="R212" s="37" t="s">
        <v>289</v>
      </c>
      <c r="S212" s="168">
        <v>1</v>
      </c>
    </row>
    <row r="213" spans="1:19" s="71" customFormat="1" ht="18.75" customHeight="1" x14ac:dyDescent="0.25">
      <c r="A213" s="236">
        <f t="shared" si="62"/>
        <v>125</v>
      </c>
      <c r="B213" s="236">
        <v>2289</v>
      </c>
      <c r="C213" s="233" t="s">
        <v>604</v>
      </c>
      <c r="D213" s="13">
        <v>1994</v>
      </c>
      <c r="E213" s="13" t="s">
        <v>86</v>
      </c>
      <c r="F213" s="13" t="s">
        <v>81</v>
      </c>
      <c r="G213" s="9">
        <v>4595.8999999999996</v>
      </c>
      <c r="H213" s="9">
        <v>3975.9</v>
      </c>
      <c r="I213" s="11">
        <v>150</v>
      </c>
      <c r="J213" s="9">
        <f>'Форма 2'!I849</f>
        <v>0</v>
      </c>
      <c r="K213" s="9">
        <v>0</v>
      </c>
      <c r="L213" s="9">
        <v>0</v>
      </c>
      <c r="M213" s="9">
        <v>0</v>
      </c>
      <c r="N213" s="9">
        <f>J213-K213-L213-M213-O213</f>
        <v>0</v>
      </c>
      <c r="O213" s="9">
        <v>0</v>
      </c>
      <c r="P213" s="9">
        <f>J213/H213</f>
        <v>0</v>
      </c>
      <c r="Q213" s="9">
        <f>'Форма 2'!K849</f>
        <v>16.239999999999998</v>
      </c>
      <c r="R213" s="37" t="s">
        <v>289</v>
      </c>
      <c r="S213" s="168">
        <v>1</v>
      </c>
    </row>
    <row r="214" spans="1:19" s="71" customFormat="1" ht="30" customHeight="1" x14ac:dyDescent="0.25">
      <c r="A214" s="236">
        <f t="shared" si="62"/>
        <v>126</v>
      </c>
      <c r="B214" s="236">
        <v>2163</v>
      </c>
      <c r="C214" s="27" t="s">
        <v>221</v>
      </c>
      <c r="D214" s="251" t="s">
        <v>277</v>
      </c>
      <c r="E214" s="251" t="s">
        <v>86</v>
      </c>
      <c r="F214" s="251" t="s">
        <v>81</v>
      </c>
      <c r="G214" s="22">
        <v>14853.3</v>
      </c>
      <c r="H214" s="22">
        <v>13205.4</v>
      </c>
      <c r="I214" s="15">
        <v>689</v>
      </c>
      <c r="J214" s="22">
        <f>'Форма 2'!I852</f>
        <v>0</v>
      </c>
      <c r="K214" s="22">
        <v>0</v>
      </c>
      <c r="L214" s="22">
        <v>0</v>
      </c>
      <c r="M214" s="22">
        <v>0</v>
      </c>
      <c r="N214" s="22">
        <f>J214-K214-L214-M214-O214</f>
        <v>0</v>
      </c>
      <c r="O214" s="22">
        <v>0</v>
      </c>
      <c r="P214" s="22">
        <f>J214/H214</f>
        <v>0</v>
      </c>
      <c r="Q214" s="22">
        <f>'Форма 2'!K852</f>
        <v>4.8899999999999997</v>
      </c>
      <c r="R214" s="206" t="s">
        <v>289</v>
      </c>
      <c r="S214" s="168">
        <v>1</v>
      </c>
    </row>
    <row r="215" spans="1:19" s="71" customFormat="1" ht="30" customHeight="1" x14ac:dyDescent="0.25">
      <c r="A215" s="236">
        <f t="shared" si="62"/>
        <v>127</v>
      </c>
      <c r="B215" s="236">
        <v>2164</v>
      </c>
      <c r="C215" s="27" t="s">
        <v>736</v>
      </c>
      <c r="D215" s="251">
        <v>1990</v>
      </c>
      <c r="E215" s="251" t="s">
        <v>86</v>
      </c>
      <c r="F215" s="251" t="s">
        <v>82</v>
      </c>
      <c r="G215" s="22">
        <v>2570.5</v>
      </c>
      <c r="H215" s="22">
        <v>2540.5</v>
      </c>
      <c r="I215" s="15">
        <v>96</v>
      </c>
      <c r="J215" s="22">
        <f>'Форма 2'!I855</f>
        <v>3793764</v>
      </c>
      <c r="K215" s="22">
        <v>0</v>
      </c>
      <c r="L215" s="22">
        <v>0</v>
      </c>
      <c r="M215" s="22">
        <v>0</v>
      </c>
      <c r="N215" s="22">
        <f>J215-K215-L215-M215-O215</f>
        <v>3793764</v>
      </c>
      <c r="O215" s="22">
        <v>0</v>
      </c>
      <c r="P215" s="22">
        <f>J215/H215</f>
        <v>1493.31</v>
      </c>
      <c r="Q215" s="22">
        <f>'Форма 2'!K855</f>
        <v>1764.72</v>
      </c>
      <c r="R215" s="206" t="s">
        <v>289</v>
      </c>
      <c r="S215" s="168">
        <v>2</v>
      </c>
    </row>
    <row r="216" spans="1:19" s="71" customFormat="1" ht="30" customHeight="1" x14ac:dyDescent="0.25">
      <c r="A216" s="236">
        <f t="shared" si="62"/>
        <v>128</v>
      </c>
      <c r="B216" s="236">
        <v>2438</v>
      </c>
      <c r="C216" s="27" t="s">
        <v>222</v>
      </c>
      <c r="D216" s="251">
        <v>1981</v>
      </c>
      <c r="E216" s="251" t="s">
        <v>68</v>
      </c>
      <c r="F216" s="251" t="s">
        <v>223</v>
      </c>
      <c r="G216" s="22">
        <v>2923.7</v>
      </c>
      <c r="H216" s="22">
        <v>2631.7</v>
      </c>
      <c r="I216" s="15">
        <v>90</v>
      </c>
      <c r="J216" s="22">
        <f>'Форма 2'!I858</f>
        <v>2060833.03</v>
      </c>
      <c r="K216" s="22">
        <v>0</v>
      </c>
      <c r="L216" s="22">
        <v>0</v>
      </c>
      <c r="M216" s="22">
        <v>0</v>
      </c>
      <c r="N216" s="22">
        <f>J216-K216-L216-M216-O216</f>
        <v>2060833.03</v>
      </c>
      <c r="O216" s="22">
        <v>0</v>
      </c>
      <c r="P216" s="22">
        <f>J216/H216</f>
        <v>783.08</v>
      </c>
      <c r="Q216" s="22">
        <f>'Форма 2'!K858</f>
        <v>3670</v>
      </c>
      <c r="R216" s="206" t="s">
        <v>375</v>
      </c>
      <c r="S216" s="168">
        <v>1</v>
      </c>
    </row>
    <row r="217" spans="1:19" s="71" customFormat="1" ht="15" customHeight="1" x14ac:dyDescent="0.25">
      <c r="A217" s="236">
        <f>A216+1</f>
        <v>129</v>
      </c>
      <c r="B217" s="236">
        <v>2297</v>
      </c>
      <c r="C217" s="233" t="s">
        <v>605</v>
      </c>
      <c r="D217" s="13">
        <v>1995</v>
      </c>
      <c r="E217" s="13" t="s">
        <v>86</v>
      </c>
      <c r="F217" s="13" t="s">
        <v>81</v>
      </c>
      <c r="G217" s="9">
        <v>6636.5</v>
      </c>
      <c r="H217" s="9">
        <v>6000.5</v>
      </c>
      <c r="I217" s="11">
        <v>227</v>
      </c>
      <c r="J217" s="9">
        <f>'Форма 2'!I860</f>
        <v>0</v>
      </c>
      <c r="K217" s="9">
        <v>0</v>
      </c>
      <c r="L217" s="9">
        <v>0</v>
      </c>
      <c r="M217" s="9">
        <v>0</v>
      </c>
      <c r="N217" s="9">
        <f>J217-K217-L217-M217-O217</f>
        <v>0</v>
      </c>
      <c r="O217" s="9">
        <v>0</v>
      </c>
      <c r="P217" s="9">
        <f>J217/H217</f>
        <v>0</v>
      </c>
      <c r="Q217" s="9">
        <f>'Форма 2'!K860</f>
        <v>10.76</v>
      </c>
      <c r="R217" s="37" t="s">
        <v>289</v>
      </c>
      <c r="S217" s="168">
        <v>1</v>
      </c>
    </row>
    <row r="218" spans="1:19" s="71" customFormat="1" ht="15" customHeight="1" x14ac:dyDescent="0.25">
      <c r="A218" s="236">
        <f t="shared" ref="A218" si="67">A217+1</f>
        <v>130</v>
      </c>
      <c r="B218" s="236">
        <v>2454</v>
      </c>
      <c r="C218" s="233" t="s">
        <v>153</v>
      </c>
      <c r="D218" s="13">
        <v>1980</v>
      </c>
      <c r="E218" s="13" t="s">
        <v>68</v>
      </c>
      <c r="F218" s="13" t="s">
        <v>223</v>
      </c>
      <c r="G218" s="9">
        <v>5451.1</v>
      </c>
      <c r="H218" s="9">
        <v>3959.3</v>
      </c>
      <c r="I218" s="11">
        <v>178</v>
      </c>
      <c r="J218" s="9">
        <f>'Форма 2'!I863</f>
        <v>3230714.81</v>
      </c>
      <c r="K218" s="9">
        <v>0</v>
      </c>
      <c r="L218" s="9">
        <v>0</v>
      </c>
      <c r="M218" s="9">
        <v>0</v>
      </c>
      <c r="N218" s="9">
        <f t="shared" ref="N218" si="68">J218-K218-L218-M218-O218</f>
        <v>3230714.81</v>
      </c>
      <c r="O218" s="9">
        <v>0</v>
      </c>
      <c r="P218" s="9">
        <f t="shared" ref="P218" si="69">J218/H218</f>
        <v>815.98</v>
      </c>
      <c r="Q218" s="9">
        <f>'Форма 2'!K863</f>
        <v>3797</v>
      </c>
      <c r="R218" s="37" t="s">
        <v>375</v>
      </c>
      <c r="S218" s="168">
        <v>1</v>
      </c>
    </row>
    <row r="219" spans="1:19" s="71" customFormat="1" ht="15.75" customHeight="1" x14ac:dyDescent="0.25">
      <c r="A219" s="236">
        <f t="shared" ref="A219:A221" si="70">A218+1</f>
        <v>131</v>
      </c>
      <c r="B219" s="236">
        <v>2455</v>
      </c>
      <c r="C219" s="29" t="s">
        <v>154</v>
      </c>
      <c r="D219" s="13">
        <v>1979</v>
      </c>
      <c r="E219" s="13" t="s">
        <v>68</v>
      </c>
      <c r="F219" s="13" t="s">
        <v>82</v>
      </c>
      <c r="G219" s="9">
        <v>3521.2</v>
      </c>
      <c r="H219" s="9">
        <v>2587.9</v>
      </c>
      <c r="I219" s="11">
        <v>131</v>
      </c>
      <c r="J219" s="9">
        <f>'Форма 2'!I865</f>
        <v>6962753.7300000004</v>
      </c>
      <c r="K219" s="9">
        <v>0</v>
      </c>
      <c r="L219" s="9">
        <v>0</v>
      </c>
      <c r="M219" s="9">
        <v>0</v>
      </c>
      <c r="N219" s="9">
        <f t="shared" si="65"/>
        <v>6750612.4800000004</v>
      </c>
      <c r="O219" s="9">
        <v>212141.25</v>
      </c>
      <c r="P219" s="9">
        <f t="shared" si="66"/>
        <v>2690.5</v>
      </c>
      <c r="Q219" s="9">
        <f>'Форма 2'!K865</f>
        <v>3878</v>
      </c>
      <c r="R219" s="37" t="s">
        <v>289</v>
      </c>
      <c r="S219" s="168">
        <v>1</v>
      </c>
    </row>
    <row r="220" spans="1:19" s="71" customFormat="1" ht="15.75" customHeight="1" x14ac:dyDescent="0.25">
      <c r="A220" s="236">
        <f t="shared" si="70"/>
        <v>132</v>
      </c>
      <c r="B220" s="236">
        <v>2457</v>
      </c>
      <c r="C220" s="29" t="s">
        <v>155</v>
      </c>
      <c r="D220" s="13">
        <v>1979</v>
      </c>
      <c r="E220" s="13" t="s">
        <v>68</v>
      </c>
      <c r="F220" s="13" t="s">
        <v>82</v>
      </c>
      <c r="G220" s="9">
        <v>5288.2</v>
      </c>
      <c r="H220" s="9">
        <v>3935.2</v>
      </c>
      <c r="I220" s="11">
        <v>209</v>
      </c>
      <c r="J220" s="9">
        <f>'Форма 2'!I868</f>
        <v>11223977.34</v>
      </c>
      <c r="K220" s="9">
        <v>0</v>
      </c>
      <c r="L220" s="9">
        <v>0</v>
      </c>
      <c r="M220" s="9">
        <v>0</v>
      </c>
      <c r="N220" s="9">
        <f t="shared" si="65"/>
        <v>10898990.09</v>
      </c>
      <c r="O220" s="9">
        <v>324987.25</v>
      </c>
      <c r="P220" s="9">
        <f t="shared" si="66"/>
        <v>2852.2</v>
      </c>
      <c r="Q220" s="9">
        <f>'Форма 2'!K868</f>
        <v>3878</v>
      </c>
      <c r="R220" s="37" t="s">
        <v>289</v>
      </c>
      <c r="S220" s="168">
        <v>1</v>
      </c>
    </row>
    <row r="221" spans="1:19" s="71" customFormat="1" ht="15" customHeight="1" x14ac:dyDescent="0.25">
      <c r="A221" s="236">
        <f t="shared" si="70"/>
        <v>133</v>
      </c>
      <c r="B221" s="236">
        <v>2303</v>
      </c>
      <c r="C221" s="233" t="s">
        <v>156</v>
      </c>
      <c r="D221" s="13">
        <v>1976</v>
      </c>
      <c r="E221" s="13" t="s">
        <v>737</v>
      </c>
      <c r="F221" s="13" t="s">
        <v>82</v>
      </c>
      <c r="G221" s="9">
        <v>14384.1</v>
      </c>
      <c r="H221" s="9">
        <v>12308.1</v>
      </c>
      <c r="I221" s="11">
        <v>520</v>
      </c>
      <c r="J221" s="9">
        <f>'Форма 2'!I871</f>
        <v>25124163.890000001</v>
      </c>
      <c r="K221" s="9">
        <v>0</v>
      </c>
      <c r="L221" s="9">
        <v>0</v>
      </c>
      <c r="M221" s="9">
        <v>0</v>
      </c>
      <c r="N221" s="9">
        <f t="shared" si="65"/>
        <v>25124163.890000001</v>
      </c>
      <c r="O221" s="9">
        <v>0</v>
      </c>
      <c r="P221" s="9">
        <f t="shared" si="66"/>
        <v>2041.27</v>
      </c>
      <c r="Q221" s="9">
        <f>'Форма 2'!K871</f>
        <v>2492</v>
      </c>
      <c r="R221" s="37" t="s">
        <v>289</v>
      </c>
      <c r="S221" s="168">
        <v>1</v>
      </c>
    </row>
    <row r="222" spans="1:19" s="71" customFormat="1" ht="15" customHeight="1" x14ac:dyDescent="0.25">
      <c r="A222" s="236">
        <f>A221+1</f>
        <v>134</v>
      </c>
      <c r="B222" s="236">
        <v>2309</v>
      </c>
      <c r="C222" s="233" t="s">
        <v>606</v>
      </c>
      <c r="D222" s="13">
        <v>1995</v>
      </c>
      <c r="E222" s="13" t="s">
        <v>86</v>
      </c>
      <c r="F222" s="13" t="s">
        <v>87</v>
      </c>
      <c r="G222" s="9">
        <v>10815.4</v>
      </c>
      <c r="H222" s="9">
        <v>8987.4</v>
      </c>
      <c r="I222" s="11">
        <v>340</v>
      </c>
      <c r="J222" s="9">
        <f>'Форма 2'!I874</f>
        <v>5257862.99</v>
      </c>
      <c r="K222" s="9">
        <v>0</v>
      </c>
      <c r="L222" s="9">
        <v>0</v>
      </c>
      <c r="M222" s="9">
        <v>0</v>
      </c>
      <c r="N222" s="9">
        <f>J222-K222-L222-M222-O222</f>
        <v>5257862.99</v>
      </c>
      <c r="O222" s="9">
        <v>0</v>
      </c>
      <c r="P222" s="9">
        <f>J222/H222</f>
        <v>585.03</v>
      </c>
      <c r="Q222" s="9">
        <f>'Форма 2'!K874</f>
        <v>775.05</v>
      </c>
      <c r="R222" s="37" t="s">
        <v>289</v>
      </c>
      <c r="S222" s="168">
        <v>1</v>
      </c>
    </row>
    <row r="223" spans="1:19" s="71" customFormat="1" ht="15.75" customHeight="1" x14ac:dyDescent="0.25">
      <c r="A223" s="236">
        <f t="shared" si="62"/>
        <v>135</v>
      </c>
      <c r="B223" s="236">
        <v>2983</v>
      </c>
      <c r="C223" s="29" t="s">
        <v>540</v>
      </c>
      <c r="D223" s="13">
        <v>1961</v>
      </c>
      <c r="E223" s="13" t="s">
        <v>95</v>
      </c>
      <c r="F223" s="13" t="s">
        <v>81</v>
      </c>
      <c r="G223" s="9">
        <v>974</v>
      </c>
      <c r="H223" s="9">
        <v>933.8</v>
      </c>
      <c r="I223" s="11">
        <v>37</v>
      </c>
      <c r="J223" s="9">
        <f>'Форма 2'!I884</f>
        <v>64428</v>
      </c>
      <c r="K223" s="9">
        <v>0</v>
      </c>
      <c r="L223" s="9">
        <v>0</v>
      </c>
      <c r="M223" s="9">
        <v>0</v>
      </c>
      <c r="N223" s="9">
        <f t="shared" ref="N223" si="71">J223-K223-L223-M223-O223</f>
        <v>62469.71</v>
      </c>
      <c r="O223" s="9">
        <v>1958.29</v>
      </c>
      <c r="P223" s="9">
        <f t="shared" ref="P223" si="72">J223/H223</f>
        <v>69</v>
      </c>
      <c r="Q223" s="9">
        <f>'Форма 2'!K884</f>
        <v>73</v>
      </c>
      <c r="R223" s="37" t="s">
        <v>289</v>
      </c>
      <c r="S223" s="168">
        <v>1</v>
      </c>
    </row>
    <row r="224" spans="1:19" s="71" customFormat="1" ht="15" customHeight="1" x14ac:dyDescent="0.25">
      <c r="A224" s="236">
        <f t="shared" si="62"/>
        <v>136</v>
      </c>
      <c r="B224" s="236">
        <v>2374</v>
      </c>
      <c r="C224" s="233" t="s">
        <v>607</v>
      </c>
      <c r="D224" s="13">
        <v>1993</v>
      </c>
      <c r="E224" s="13" t="s">
        <v>86</v>
      </c>
      <c r="F224" s="13" t="s">
        <v>81</v>
      </c>
      <c r="G224" s="9">
        <v>19028.7</v>
      </c>
      <c r="H224" s="9">
        <v>16028.7</v>
      </c>
      <c r="I224" s="11">
        <v>568</v>
      </c>
      <c r="J224" s="9">
        <f>'Форма 2'!I886</f>
        <v>0</v>
      </c>
      <c r="K224" s="9">
        <v>0</v>
      </c>
      <c r="L224" s="9">
        <v>0</v>
      </c>
      <c r="M224" s="9">
        <v>0</v>
      </c>
      <c r="N224" s="9">
        <f t="shared" ref="N224:N229" si="73">J224-K224-L224-M224-O224</f>
        <v>0</v>
      </c>
      <c r="O224" s="9">
        <v>0</v>
      </c>
      <c r="P224" s="9">
        <f t="shared" ref="P224:P229" si="74">J224/H224</f>
        <v>0</v>
      </c>
      <c r="Q224" s="9">
        <f>'Форма 2'!K886</f>
        <v>14.1</v>
      </c>
      <c r="R224" s="37" t="s">
        <v>289</v>
      </c>
      <c r="S224" s="168">
        <v>1</v>
      </c>
    </row>
    <row r="225" spans="1:19" s="71" customFormat="1" ht="15" customHeight="1" x14ac:dyDescent="0.25">
      <c r="A225" s="236">
        <f t="shared" ref="A225:A229" si="75">A224+1</f>
        <v>137</v>
      </c>
      <c r="B225" s="236">
        <v>2389</v>
      </c>
      <c r="C225" s="233" t="s">
        <v>608</v>
      </c>
      <c r="D225" s="13">
        <v>1996</v>
      </c>
      <c r="E225" s="13" t="s">
        <v>86</v>
      </c>
      <c r="F225" s="13" t="s">
        <v>81</v>
      </c>
      <c r="G225" s="9">
        <v>13756.89</v>
      </c>
      <c r="H225" s="9">
        <v>11256.89</v>
      </c>
      <c r="I225" s="11">
        <v>298</v>
      </c>
      <c r="J225" s="9">
        <f>'Форма 2'!I894</f>
        <v>0</v>
      </c>
      <c r="K225" s="9">
        <v>0</v>
      </c>
      <c r="L225" s="9">
        <v>0</v>
      </c>
      <c r="M225" s="9">
        <v>0</v>
      </c>
      <c r="N225" s="9">
        <f t="shared" si="73"/>
        <v>0</v>
      </c>
      <c r="O225" s="9">
        <v>0</v>
      </c>
      <c r="P225" s="9">
        <f t="shared" si="74"/>
        <v>0</v>
      </c>
      <c r="Q225" s="9">
        <f>'Форма 2'!K894</f>
        <v>14.34</v>
      </c>
      <c r="R225" s="37" t="s">
        <v>289</v>
      </c>
      <c r="S225" s="168">
        <v>1</v>
      </c>
    </row>
    <row r="226" spans="1:19" s="71" customFormat="1" ht="15" customHeight="1" x14ac:dyDescent="0.25">
      <c r="A226" s="236">
        <f t="shared" si="75"/>
        <v>138</v>
      </c>
      <c r="B226" s="236">
        <v>2392</v>
      </c>
      <c r="C226" s="233" t="s">
        <v>609</v>
      </c>
      <c r="D226" s="13">
        <v>1993</v>
      </c>
      <c r="E226" s="13" t="s">
        <v>86</v>
      </c>
      <c r="F226" s="13" t="s">
        <v>81</v>
      </c>
      <c r="G226" s="9">
        <v>31834.1</v>
      </c>
      <c r="H226" s="9">
        <v>24130</v>
      </c>
      <c r="I226" s="11">
        <v>853</v>
      </c>
      <c r="J226" s="9">
        <f>'Форма 2'!I900</f>
        <v>0</v>
      </c>
      <c r="K226" s="9">
        <v>0</v>
      </c>
      <c r="L226" s="9">
        <v>0</v>
      </c>
      <c r="M226" s="9">
        <v>0</v>
      </c>
      <c r="N226" s="9">
        <f t="shared" si="73"/>
        <v>0</v>
      </c>
      <c r="O226" s="9">
        <v>0</v>
      </c>
      <c r="P226" s="9">
        <f t="shared" si="74"/>
        <v>0</v>
      </c>
      <c r="Q226" s="9">
        <f>'Форма 2'!K900</f>
        <v>14.78</v>
      </c>
      <c r="R226" s="37" t="s">
        <v>289</v>
      </c>
      <c r="S226" s="168">
        <v>1</v>
      </c>
    </row>
    <row r="227" spans="1:19" s="71" customFormat="1" ht="15" customHeight="1" x14ac:dyDescent="0.25">
      <c r="A227" s="236">
        <f t="shared" si="75"/>
        <v>139</v>
      </c>
      <c r="B227" s="236">
        <v>2393</v>
      </c>
      <c r="C227" s="233" t="s">
        <v>612</v>
      </c>
      <c r="D227" s="13">
        <v>1994</v>
      </c>
      <c r="E227" s="13" t="s">
        <v>86</v>
      </c>
      <c r="F227" s="13" t="s">
        <v>87</v>
      </c>
      <c r="G227" s="9">
        <v>8268.2999999999993</v>
      </c>
      <c r="H227" s="9">
        <v>6768.3</v>
      </c>
      <c r="I227" s="11">
        <v>194</v>
      </c>
      <c r="J227" s="9">
        <f>'Форма 2'!I912</f>
        <v>5079653.8600000003</v>
      </c>
      <c r="K227" s="9">
        <v>0</v>
      </c>
      <c r="L227" s="9">
        <v>0</v>
      </c>
      <c r="M227" s="9">
        <v>0</v>
      </c>
      <c r="N227" s="9">
        <f t="shared" si="73"/>
        <v>5079653.8600000003</v>
      </c>
      <c r="O227" s="9">
        <v>0</v>
      </c>
      <c r="P227" s="9">
        <f t="shared" si="74"/>
        <v>750.51</v>
      </c>
      <c r="Q227" s="9">
        <f>'Форма 2'!K912</f>
        <v>1029.18</v>
      </c>
      <c r="R227" s="37" t="s">
        <v>289</v>
      </c>
      <c r="S227" s="168">
        <v>1</v>
      </c>
    </row>
    <row r="228" spans="1:19" s="71" customFormat="1" ht="15" customHeight="1" x14ac:dyDescent="0.25">
      <c r="A228" s="236">
        <f t="shared" si="75"/>
        <v>140</v>
      </c>
      <c r="B228" s="236">
        <v>2394</v>
      </c>
      <c r="C228" s="233" t="s">
        <v>613</v>
      </c>
      <c r="D228" s="13">
        <v>1994</v>
      </c>
      <c r="E228" s="13" t="s">
        <v>86</v>
      </c>
      <c r="F228" s="13" t="s">
        <v>81</v>
      </c>
      <c r="G228" s="9">
        <v>6001.5</v>
      </c>
      <c r="H228" s="9">
        <v>4486.8</v>
      </c>
      <c r="I228" s="11">
        <v>131</v>
      </c>
      <c r="J228" s="9">
        <f>'Форма 2'!I922</f>
        <v>0</v>
      </c>
      <c r="K228" s="9">
        <v>0</v>
      </c>
      <c r="L228" s="9">
        <v>0</v>
      </c>
      <c r="M228" s="9">
        <v>0</v>
      </c>
      <c r="N228" s="9">
        <f t="shared" si="73"/>
        <v>0</v>
      </c>
      <c r="O228" s="9">
        <v>0</v>
      </c>
      <c r="P228" s="9">
        <f t="shared" si="74"/>
        <v>0</v>
      </c>
      <c r="Q228" s="9">
        <f>'Форма 2'!K922</f>
        <v>14.37</v>
      </c>
      <c r="R228" s="37" t="s">
        <v>289</v>
      </c>
      <c r="S228" s="168">
        <v>1</v>
      </c>
    </row>
    <row r="229" spans="1:19" s="71" customFormat="1" x14ac:dyDescent="0.25">
      <c r="A229" s="236">
        <f t="shared" si="75"/>
        <v>141</v>
      </c>
      <c r="B229" s="236">
        <v>2395</v>
      </c>
      <c r="C229" s="233" t="s">
        <v>614</v>
      </c>
      <c r="D229" s="13">
        <v>1994</v>
      </c>
      <c r="E229" s="13" t="s">
        <v>86</v>
      </c>
      <c r="F229" s="13" t="s">
        <v>81</v>
      </c>
      <c r="G229" s="9">
        <v>6108.8</v>
      </c>
      <c r="H229" s="9">
        <v>4784.8999999999996</v>
      </c>
      <c r="I229" s="11">
        <v>117</v>
      </c>
      <c r="J229" s="9">
        <f>'Форма 2'!I925</f>
        <v>0</v>
      </c>
      <c r="K229" s="9">
        <v>0</v>
      </c>
      <c r="L229" s="9">
        <v>0</v>
      </c>
      <c r="M229" s="9">
        <v>0</v>
      </c>
      <c r="N229" s="9">
        <f t="shared" si="73"/>
        <v>0</v>
      </c>
      <c r="O229" s="9">
        <v>0</v>
      </c>
      <c r="P229" s="9">
        <f t="shared" si="74"/>
        <v>0</v>
      </c>
      <c r="Q229" s="9">
        <f>'Форма 2'!K925</f>
        <v>13.49</v>
      </c>
      <c r="R229" s="37" t="s">
        <v>289</v>
      </c>
      <c r="S229" s="168">
        <v>1</v>
      </c>
    </row>
    <row r="230" spans="1:19" ht="15.75" customHeight="1" x14ac:dyDescent="0.25">
      <c r="A230" s="279" t="s">
        <v>31</v>
      </c>
      <c r="B230" s="279"/>
      <c r="C230" s="279"/>
      <c r="D230" s="10" t="s">
        <v>13</v>
      </c>
      <c r="E230" s="9" t="s">
        <v>13</v>
      </c>
      <c r="F230" s="9" t="s">
        <v>13</v>
      </c>
      <c r="G230" s="9">
        <f>SUM(G231:G233)</f>
        <v>2683.8</v>
      </c>
      <c r="H230" s="9">
        <f t="shared" ref="H230:O230" si="76">SUM(H231:H233)</f>
        <v>1928</v>
      </c>
      <c r="I230" s="11">
        <f t="shared" si="76"/>
        <v>73</v>
      </c>
      <c r="J230" s="9">
        <f t="shared" si="76"/>
        <v>5340360.78</v>
      </c>
      <c r="K230" s="9">
        <f t="shared" si="76"/>
        <v>0</v>
      </c>
      <c r="L230" s="9">
        <f t="shared" si="76"/>
        <v>0</v>
      </c>
      <c r="M230" s="9">
        <f t="shared" si="76"/>
        <v>0</v>
      </c>
      <c r="N230" s="9">
        <f t="shared" si="76"/>
        <v>5271033.26</v>
      </c>
      <c r="O230" s="9">
        <f t="shared" si="76"/>
        <v>69327.520000000004</v>
      </c>
      <c r="P230" s="9" t="s">
        <v>13</v>
      </c>
      <c r="Q230" s="9" t="s">
        <v>13</v>
      </c>
      <c r="R230" s="9" t="s">
        <v>13</v>
      </c>
      <c r="S230" s="15" t="s">
        <v>13</v>
      </c>
    </row>
    <row r="231" spans="1:19" ht="15.75" customHeight="1" x14ac:dyDescent="0.25">
      <c r="A231" s="40">
        <v>1</v>
      </c>
      <c r="B231" s="40">
        <v>4859</v>
      </c>
      <c r="C231" s="41" t="s">
        <v>435</v>
      </c>
      <c r="D231" s="17">
        <v>1970</v>
      </c>
      <c r="E231" s="17" t="s">
        <v>232</v>
      </c>
      <c r="F231" s="17" t="s">
        <v>81</v>
      </c>
      <c r="G231" s="9">
        <v>360</v>
      </c>
      <c r="H231" s="9">
        <v>336</v>
      </c>
      <c r="I231" s="11">
        <v>12</v>
      </c>
      <c r="J231" s="9">
        <f>'Форма 2'!I929</f>
        <v>13582.8</v>
      </c>
      <c r="K231" s="9">
        <v>0</v>
      </c>
      <c r="L231" s="9">
        <v>0</v>
      </c>
      <c r="M231" s="9">
        <v>0</v>
      </c>
      <c r="N231" s="9">
        <f>J231-O231</f>
        <v>13582.8</v>
      </c>
      <c r="O231" s="9">
        <v>0</v>
      </c>
      <c r="P231" s="9">
        <f>J231/H231</f>
        <v>40.43</v>
      </c>
      <c r="Q231" s="9">
        <f>'Форма 2'!K929</f>
        <v>42</v>
      </c>
      <c r="R231" s="16">
        <v>2020</v>
      </c>
      <c r="S231" s="168">
        <v>1</v>
      </c>
    </row>
    <row r="232" spans="1:19" ht="15.75" customHeight="1" x14ac:dyDescent="0.25">
      <c r="A232" s="40">
        <f>A231+1</f>
        <v>2</v>
      </c>
      <c r="B232" s="40">
        <v>8046</v>
      </c>
      <c r="C232" s="41" t="s">
        <v>288</v>
      </c>
      <c r="D232" s="17">
        <v>1960</v>
      </c>
      <c r="E232" s="17" t="s">
        <v>68</v>
      </c>
      <c r="F232" s="33" t="s">
        <v>81</v>
      </c>
      <c r="G232" s="9">
        <v>340</v>
      </c>
      <c r="H232" s="9">
        <v>325</v>
      </c>
      <c r="I232" s="11">
        <v>12</v>
      </c>
      <c r="J232" s="9">
        <f>'Форма 2'!I931</f>
        <v>80502.5</v>
      </c>
      <c r="K232" s="9">
        <v>0</v>
      </c>
      <c r="L232" s="9">
        <v>0</v>
      </c>
      <c r="M232" s="9">
        <v>0</v>
      </c>
      <c r="N232" s="9">
        <f>J232-O232</f>
        <v>80502.5</v>
      </c>
      <c r="O232" s="9">
        <v>0</v>
      </c>
      <c r="P232" s="9">
        <f>J232/H232</f>
        <v>247.7</v>
      </c>
      <c r="Q232" s="9">
        <f>'Форма 2'!K931</f>
        <v>260</v>
      </c>
      <c r="R232" s="16">
        <v>2020</v>
      </c>
      <c r="S232" s="168">
        <v>1</v>
      </c>
    </row>
    <row r="233" spans="1:19" ht="15.75" customHeight="1" x14ac:dyDescent="0.25">
      <c r="A233" s="40">
        <f>A232+1</f>
        <v>3</v>
      </c>
      <c r="B233" s="40">
        <v>4850</v>
      </c>
      <c r="C233" s="41" t="s">
        <v>157</v>
      </c>
      <c r="D233" s="33">
        <v>1988</v>
      </c>
      <c r="E233" s="33" t="s">
        <v>68</v>
      </c>
      <c r="F233" s="33" t="s">
        <v>82</v>
      </c>
      <c r="G233" s="35">
        <v>1983.8</v>
      </c>
      <c r="H233" s="9">
        <v>1267</v>
      </c>
      <c r="I233" s="42">
        <v>49</v>
      </c>
      <c r="J233" s="9">
        <f>'Форма 2'!I933</f>
        <v>5246275.4800000004</v>
      </c>
      <c r="K233" s="9">
        <v>0</v>
      </c>
      <c r="L233" s="9">
        <v>0</v>
      </c>
      <c r="M233" s="9">
        <v>0</v>
      </c>
      <c r="N233" s="9">
        <f>J233-O233</f>
        <v>5176947.96</v>
      </c>
      <c r="O233" s="9">
        <v>69327.520000000004</v>
      </c>
      <c r="P233" s="9">
        <f>J233/H233</f>
        <v>4140.71</v>
      </c>
      <c r="Q233" s="9">
        <f>'Форма 2'!K933</f>
        <v>5144</v>
      </c>
      <c r="R233" s="43">
        <v>2020</v>
      </c>
      <c r="S233" s="168">
        <v>1</v>
      </c>
    </row>
    <row r="234" spans="1:19" s="71" customFormat="1" ht="15.75" customHeight="1" x14ac:dyDescent="0.25">
      <c r="A234" s="279" t="s">
        <v>32</v>
      </c>
      <c r="B234" s="279"/>
      <c r="C234" s="279"/>
      <c r="D234" s="10" t="s">
        <v>13</v>
      </c>
      <c r="E234" s="9" t="s">
        <v>13</v>
      </c>
      <c r="F234" s="9" t="s">
        <v>13</v>
      </c>
      <c r="G234" s="9">
        <f>SUM(G235:G240)</f>
        <v>2572.4899999999998</v>
      </c>
      <c r="H234" s="9">
        <f t="shared" ref="H234:O234" si="77">SUM(H235:H240)</f>
        <v>2314.64</v>
      </c>
      <c r="I234" s="11">
        <f t="shared" si="77"/>
        <v>95</v>
      </c>
      <c r="J234" s="9">
        <f t="shared" si="77"/>
        <v>2506510.5</v>
      </c>
      <c r="K234" s="9">
        <f t="shared" si="77"/>
        <v>0</v>
      </c>
      <c r="L234" s="9">
        <f t="shared" si="77"/>
        <v>0</v>
      </c>
      <c r="M234" s="9">
        <f t="shared" si="77"/>
        <v>0</v>
      </c>
      <c r="N234" s="9">
        <f t="shared" si="77"/>
        <v>2396313.52</v>
      </c>
      <c r="O234" s="9">
        <f t="shared" si="77"/>
        <v>110196.98</v>
      </c>
      <c r="P234" s="9" t="s">
        <v>13</v>
      </c>
      <c r="Q234" s="9" t="s">
        <v>13</v>
      </c>
      <c r="R234" s="9" t="s">
        <v>13</v>
      </c>
      <c r="S234" s="15" t="s">
        <v>13</v>
      </c>
    </row>
    <row r="235" spans="1:19" s="71" customFormat="1" ht="15.75" customHeight="1" x14ac:dyDescent="0.25">
      <c r="A235" s="242">
        <v>1</v>
      </c>
      <c r="B235" s="238">
        <v>7260</v>
      </c>
      <c r="C235" s="232" t="s">
        <v>450</v>
      </c>
      <c r="D235" s="34">
        <v>1969</v>
      </c>
      <c r="E235" s="34" t="s">
        <v>68</v>
      </c>
      <c r="F235" s="34" t="s">
        <v>81</v>
      </c>
      <c r="G235" s="35">
        <v>362.6</v>
      </c>
      <c r="H235" s="171">
        <v>335.8</v>
      </c>
      <c r="I235" s="137">
        <v>14</v>
      </c>
      <c r="J235" s="35">
        <f>'Форма 2'!I937</f>
        <v>64556.85</v>
      </c>
      <c r="K235" s="35">
        <v>0</v>
      </c>
      <c r="L235" s="35">
        <v>0</v>
      </c>
      <c r="M235" s="35">
        <v>0</v>
      </c>
      <c r="N235" s="35">
        <f>J235-K235-L235-M235-O235</f>
        <v>60909.1</v>
      </c>
      <c r="O235" s="35">
        <v>3647.75</v>
      </c>
      <c r="P235" s="9">
        <f>J235/H235</f>
        <v>192.25</v>
      </c>
      <c r="Q235" s="9">
        <f>'Форма 2'!K937</f>
        <v>259</v>
      </c>
      <c r="R235" s="37" t="s">
        <v>289</v>
      </c>
      <c r="S235" s="15">
        <v>1</v>
      </c>
    </row>
    <row r="236" spans="1:19" s="71" customFormat="1" ht="15.75" customHeight="1" x14ac:dyDescent="0.25">
      <c r="A236" s="242">
        <f>A235+1</f>
        <v>2</v>
      </c>
      <c r="B236" s="238">
        <v>7261</v>
      </c>
      <c r="C236" s="232" t="s">
        <v>451</v>
      </c>
      <c r="D236" s="34">
        <v>1969</v>
      </c>
      <c r="E236" s="34" t="s">
        <v>68</v>
      </c>
      <c r="F236" s="34" t="s">
        <v>81</v>
      </c>
      <c r="G236" s="35">
        <v>376.32</v>
      </c>
      <c r="H236" s="171">
        <v>344.04</v>
      </c>
      <c r="I236" s="137">
        <v>12</v>
      </c>
      <c r="J236" s="35">
        <f>'Форма 2'!I939</f>
        <v>63331.74</v>
      </c>
      <c r="K236" s="35">
        <v>0</v>
      </c>
      <c r="L236" s="35">
        <v>0</v>
      </c>
      <c r="M236" s="35">
        <v>0</v>
      </c>
      <c r="N236" s="35">
        <f>J236-K236-L236-M236-O236</f>
        <v>59586.76</v>
      </c>
      <c r="O236" s="35">
        <v>3744.98</v>
      </c>
      <c r="P236" s="9">
        <f>J236/H236</f>
        <v>184.08</v>
      </c>
      <c r="Q236" s="9">
        <f>'Форма 2'!K939</f>
        <v>259</v>
      </c>
      <c r="R236" s="37" t="s">
        <v>289</v>
      </c>
      <c r="S236" s="15">
        <v>1</v>
      </c>
    </row>
    <row r="237" spans="1:19" s="71" customFormat="1" ht="15.75" customHeight="1" x14ac:dyDescent="0.25">
      <c r="A237" s="242">
        <v>3</v>
      </c>
      <c r="B237" s="238">
        <v>7275</v>
      </c>
      <c r="C237" s="232" t="s">
        <v>487</v>
      </c>
      <c r="D237" s="34">
        <v>1971</v>
      </c>
      <c r="E237" s="34" t="s">
        <v>112</v>
      </c>
      <c r="F237" s="34" t="s">
        <v>81</v>
      </c>
      <c r="G237" s="35">
        <v>408.72</v>
      </c>
      <c r="H237" s="171">
        <v>365.5</v>
      </c>
      <c r="I237" s="137">
        <v>14</v>
      </c>
      <c r="J237" s="35">
        <f>'Форма 2'!I941</f>
        <v>154685.34</v>
      </c>
      <c r="K237" s="35">
        <v>0</v>
      </c>
      <c r="L237" s="35">
        <v>0</v>
      </c>
      <c r="M237" s="35">
        <v>0</v>
      </c>
      <c r="N237" s="35">
        <f t="shared" ref="N237:N238" si="78">J237-K237-L237-M237-O237</f>
        <v>147563.51</v>
      </c>
      <c r="O237" s="35">
        <v>7121.83</v>
      </c>
      <c r="P237" s="9">
        <f t="shared" ref="P237:P238" si="79">J237/H237</f>
        <v>423.22</v>
      </c>
      <c r="Q237" s="9">
        <f>'Форма 2'!K941</f>
        <v>464</v>
      </c>
      <c r="R237" s="37" t="s">
        <v>289</v>
      </c>
      <c r="S237" s="15">
        <v>1</v>
      </c>
    </row>
    <row r="238" spans="1:19" s="71" customFormat="1" ht="15.75" customHeight="1" x14ac:dyDescent="0.25">
      <c r="A238" s="242">
        <v>4</v>
      </c>
      <c r="B238" s="238">
        <v>7317</v>
      </c>
      <c r="C238" s="232" t="s">
        <v>489</v>
      </c>
      <c r="D238" s="34">
        <v>1969</v>
      </c>
      <c r="E238" s="34" t="s">
        <v>68</v>
      </c>
      <c r="F238" s="34" t="s">
        <v>81</v>
      </c>
      <c r="G238" s="35">
        <v>585.54</v>
      </c>
      <c r="H238" s="239">
        <v>520.9</v>
      </c>
      <c r="I238" s="137">
        <v>19</v>
      </c>
      <c r="J238" s="35">
        <f>'Форма 2'!I944</f>
        <v>93693.64</v>
      </c>
      <c r="K238" s="35">
        <v>0</v>
      </c>
      <c r="L238" s="35">
        <v>0</v>
      </c>
      <c r="M238" s="35">
        <v>0</v>
      </c>
      <c r="N238" s="35">
        <f t="shared" si="78"/>
        <v>88043.22</v>
      </c>
      <c r="O238" s="35">
        <v>5650.42</v>
      </c>
      <c r="P238" s="9">
        <f t="shared" si="79"/>
        <v>179.87</v>
      </c>
      <c r="Q238" s="9">
        <f>'Форма 2'!K944</f>
        <v>259</v>
      </c>
      <c r="R238" s="37" t="s">
        <v>289</v>
      </c>
      <c r="S238" s="15">
        <v>1</v>
      </c>
    </row>
    <row r="239" spans="1:19" s="71" customFormat="1" ht="15.75" customHeight="1" x14ac:dyDescent="0.25">
      <c r="A239" s="242">
        <f t="shared" ref="A239" si="80">A238+1</f>
        <v>5</v>
      </c>
      <c r="B239" s="251">
        <v>7343</v>
      </c>
      <c r="C239" s="232" t="s">
        <v>543</v>
      </c>
      <c r="D239" s="33">
        <v>1965</v>
      </c>
      <c r="E239" s="34" t="s">
        <v>112</v>
      </c>
      <c r="F239" s="34" t="s">
        <v>82</v>
      </c>
      <c r="G239" s="35">
        <v>406.72</v>
      </c>
      <c r="H239" s="239">
        <v>363.2</v>
      </c>
      <c r="I239" s="137">
        <v>22</v>
      </c>
      <c r="J239" s="35">
        <f>'Форма 2'!I946</f>
        <v>2009044.51</v>
      </c>
      <c r="K239" s="35">
        <v>0</v>
      </c>
      <c r="L239" s="35">
        <v>0</v>
      </c>
      <c r="M239" s="35">
        <v>0</v>
      </c>
      <c r="N239" s="35">
        <f>J239-K239-L239-M239-O239</f>
        <v>1924681.53</v>
      </c>
      <c r="O239" s="35">
        <v>84362.98</v>
      </c>
      <c r="P239" s="9">
        <f>J239/H239</f>
        <v>5531.51</v>
      </c>
      <c r="Q239" s="9">
        <f>'Форма 2'!K946</f>
        <v>7493</v>
      </c>
      <c r="R239" s="37" t="s">
        <v>289</v>
      </c>
      <c r="S239" s="15">
        <v>1</v>
      </c>
    </row>
    <row r="240" spans="1:19" s="71" customFormat="1" ht="15.75" customHeight="1" x14ac:dyDescent="0.25">
      <c r="A240" s="242">
        <v>6</v>
      </c>
      <c r="B240" s="238">
        <v>7357</v>
      </c>
      <c r="C240" s="232" t="s">
        <v>490</v>
      </c>
      <c r="D240" s="34">
        <v>1968</v>
      </c>
      <c r="E240" s="34" t="s">
        <v>112</v>
      </c>
      <c r="F240" s="34" t="s">
        <v>81</v>
      </c>
      <c r="G240" s="35">
        <v>432.59</v>
      </c>
      <c r="H240" s="171">
        <v>385.2</v>
      </c>
      <c r="I240" s="137">
        <v>14</v>
      </c>
      <c r="J240" s="35">
        <f>'Форма 2'!I951</f>
        <v>121198.42</v>
      </c>
      <c r="K240" s="35">
        <v>0</v>
      </c>
      <c r="L240" s="35">
        <v>0</v>
      </c>
      <c r="M240" s="35">
        <v>0</v>
      </c>
      <c r="N240" s="35">
        <f t="shared" ref="N240" si="81">J240-K240-L240-M240-O240</f>
        <v>115529.4</v>
      </c>
      <c r="O240" s="35">
        <v>5669.02</v>
      </c>
      <c r="P240" s="9">
        <f t="shared" ref="P240" si="82">J240/H240</f>
        <v>314.64</v>
      </c>
      <c r="Q240" s="9">
        <f>'Форма 2'!K951</f>
        <v>349</v>
      </c>
      <c r="R240" s="37" t="s">
        <v>289</v>
      </c>
      <c r="S240" s="15">
        <v>1</v>
      </c>
    </row>
    <row r="241" spans="1:19" s="71" customFormat="1" ht="15.75" customHeight="1" x14ac:dyDescent="0.25">
      <c r="A241" s="279" t="s">
        <v>34</v>
      </c>
      <c r="B241" s="279"/>
      <c r="C241" s="279"/>
      <c r="D241" s="10" t="s">
        <v>13</v>
      </c>
      <c r="E241" s="9" t="s">
        <v>13</v>
      </c>
      <c r="F241" s="9" t="s">
        <v>13</v>
      </c>
      <c r="G241" s="9">
        <f>SUM(G242:G247)</f>
        <v>6652.6</v>
      </c>
      <c r="H241" s="9">
        <f t="shared" ref="H241:O241" si="83">SUM(H242:H247)</f>
        <v>5288.8</v>
      </c>
      <c r="I241" s="11">
        <f t="shared" si="83"/>
        <v>184</v>
      </c>
      <c r="J241" s="9">
        <f t="shared" si="83"/>
        <v>932223.77</v>
      </c>
      <c r="K241" s="9">
        <f t="shared" si="83"/>
        <v>0</v>
      </c>
      <c r="L241" s="9">
        <f t="shared" si="83"/>
        <v>0</v>
      </c>
      <c r="M241" s="9">
        <f t="shared" si="83"/>
        <v>0</v>
      </c>
      <c r="N241" s="9">
        <f t="shared" si="83"/>
        <v>792923.75</v>
      </c>
      <c r="O241" s="9">
        <f t="shared" si="83"/>
        <v>139300.01999999999</v>
      </c>
      <c r="P241" s="9" t="s">
        <v>13</v>
      </c>
      <c r="Q241" s="9" t="s">
        <v>13</v>
      </c>
      <c r="R241" s="9" t="s">
        <v>13</v>
      </c>
      <c r="S241" s="15" t="s">
        <v>13</v>
      </c>
    </row>
    <row r="242" spans="1:19" s="71" customFormat="1" ht="15.75" customHeight="1" x14ac:dyDescent="0.25">
      <c r="A242" s="34">
        <v>1</v>
      </c>
      <c r="B242" s="40">
        <v>6737</v>
      </c>
      <c r="C242" s="29" t="s">
        <v>290</v>
      </c>
      <c r="D242" s="13">
        <v>1966</v>
      </c>
      <c r="E242" s="17" t="s">
        <v>230</v>
      </c>
      <c r="F242" s="17" t="s">
        <v>81</v>
      </c>
      <c r="G242" s="44">
        <v>914.5</v>
      </c>
      <c r="H242" s="28">
        <v>699.5</v>
      </c>
      <c r="I242" s="21">
        <v>26</v>
      </c>
      <c r="J242" s="9">
        <f>'Форма 2'!I955</f>
        <v>111911.5</v>
      </c>
      <c r="K242" s="9">
        <v>0</v>
      </c>
      <c r="L242" s="9">
        <v>0</v>
      </c>
      <c r="M242" s="9">
        <v>0</v>
      </c>
      <c r="N242" s="9">
        <f>J242-O242</f>
        <v>39665.82</v>
      </c>
      <c r="O242" s="9">
        <v>72245.679999999993</v>
      </c>
      <c r="P242" s="9">
        <f>J242/H242</f>
        <v>159.99</v>
      </c>
      <c r="Q242" s="9">
        <f>'Форма 2'!K955</f>
        <v>179</v>
      </c>
      <c r="R242" s="37">
        <v>2020</v>
      </c>
      <c r="S242" s="15">
        <v>1</v>
      </c>
    </row>
    <row r="243" spans="1:19" s="71" customFormat="1" ht="15.75" customHeight="1" x14ac:dyDescent="0.25">
      <c r="A243" s="40">
        <f>A242+1</f>
        <v>2</v>
      </c>
      <c r="B243" s="40">
        <v>6719</v>
      </c>
      <c r="C243" s="260" t="s">
        <v>491</v>
      </c>
      <c r="D243" s="255">
        <v>1972</v>
      </c>
      <c r="E243" s="255" t="s">
        <v>95</v>
      </c>
      <c r="F243" s="255" t="s">
        <v>82</v>
      </c>
      <c r="G243" s="28">
        <v>4410</v>
      </c>
      <c r="H243" s="28">
        <v>3419.4</v>
      </c>
      <c r="I243" s="258">
        <v>114</v>
      </c>
      <c r="J243" s="9">
        <f>'Форма 2'!I958</f>
        <v>541273.77</v>
      </c>
      <c r="K243" s="9">
        <v>0</v>
      </c>
      <c r="L243" s="9">
        <v>0</v>
      </c>
      <c r="M243" s="9">
        <v>0</v>
      </c>
      <c r="N243" s="9">
        <f t="shared" ref="N243" si="84">J243-O243</f>
        <v>541273.77</v>
      </c>
      <c r="O243" s="9">
        <v>0</v>
      </c>
      <c r="P243" s="9">
        <f>J243/H243</f>
        <v>158.29</v>
      </c>
      <c r="Q243" s="22">
        <f>'Форма 2'!K958</f>
        <v>407</v>
      </c>
      <c r="R243" s="16">
        <v>2020</v>
      </c>
      <c r="S243" s="168">
        <v>1</v>
      </c>
    </row>
    <row r="244" spans="1:19" s="71" customFormat="1" ht="15.75" customHeight="1" x14ac:dyDescent="0.25">
      <c r="A244" s="34">
        <f>A243+1</f>
        <v>3</v>
      </c>
      <c r="B244" s="40">
        <v>6749</v>
      </c>
      <c r="C244" s="29" t="s">
        <v>291</v>
      </c>
      <c r="D244" s="13">
        <v>1966</v>
      </c>
      <c r="E244" s="255" t="s">
        <v>516</v>
      </c>
      <c r="F244" s="17" t="s">
        <v>81</v>
      </c>
      <c r="G244" s="44">
        <v>348.7</v>
      </c>
      <c r="H244" s="28">
        <v>288.7</v>
      </c>
      <c r="I244" s="21">
        <v>11</v>
      </c>
      <c r="J244" s="9">
        <f>'Форма 2'!I961</f>
        <v>34355.300000000003</v>
      </c>
      <c r="K244" s="9">
        <v>0</v>
      </c>
      <c r="L244" s="9">
        <v>0</v>
      </c>
      <c r="M244" s="9">
        <v>0</v>
      </c>
      <c r="N244" s="9">
        <f>J244-O244</f>
        <v>0</v>
      </c>
      <c r="O244" s="9">
        <v>34355.300000000003</v>
      </c>
      <c r="P244" s="9">
        <f>J244/H244</f>
        <v>119</v>
      </c>
      <c r="Q244" s="9">
        <f>'Форма 2'!K961</f>
        <v>119</v>
      </c>
      <c r="R244" s="37">
        <v>2020</v>
      </c>
      <c r="S244" s="15">
        <v>1</v>
      </c>
    </row>
    <row r="245" spans="1:19" s="71" customFormat="1" ht="15.75" customHeight="1" x14ac:dyDescent="0.25">
      <c r="A245" s="34">
        <f>A244+1</f>
        <v>4</v>
      </c>
      <c r="B245" s="40">
        <v>6727</v>
      </c>
      <c r="C245" s="29" t="s">
        <v>292</v>
      </c>
      <c r="D245" s="13">
        <v>1966</v>
      </c>
      <c r="E245" s="13" t="s">
        <v>230</v>
      </c>
      <c r="F245" s="13" t="s">
        <v>81</v>
      </c>
      <c r="G245" s="44">
        <v>346.6</v>
      </c>
      <c r="H245" s="28">
        <v>316.60000000000002</v>
      </c>
      <c r="I245" s="21">
        <v>12</v>
      </c>
      <c r="J245" s="9">
        <f>'Форма 2'!I963</f>
        <v>56671.4</v>
      </c>
      <c r="K245" s="9">
        <v>0</v>
      </c>
      <c r="L245" s="9">
        <v>0</v>
      </c>
      <c r="M245" s="9">
        <v>0</v>
      </c>
      <c r="N245" s="9">
        <f>J245-O245</f>
        <v>23972.36</v>
      </c>
      <c r="O245" s="9">
        <v>32699.040000000001</v>
      </c>
      <c r="P245" s="9">
        <f>J245/H245</f>
        <v>179</v>
      </c>
      <c r="Q245" s="9">
        <f>'Форма 2'!K963</f>
        <v>179</v>
      </c>
      <c r="R245" s="37">
        <v>2020</v>
      </c>
      <c r="S245" s="15">
        <v>1</v>
      </c>
    </row>
    <row r="246" spans="1:19" s="71" customFormat="1" ht="15.75" customHeight="1" x14ac:dyDescent="0.25">
      <c r="A246" s="40">
        <f>A245+1</f>
        <v>5</v>
      </c>
      <c r="B246" s="40">
        <v>6732</v>
      </c>
      <c r="C246" s="260" t="s">
        <v>293</v>
      </c>
      <c r="D246" s="255">
        <v>1967</v>
      </c>
      <c r="E246" s="255" t="s">
        <v>230</v>
      </c>
      <c r="F246" s="255" t="s">
        <v>81</v>
      </c>
      <c r="G246" s="45">
        <v>319.5</v>
      </c>
      <c r="H246" s="28">
        <v>291.3</v>
      </c>
      <c r="I246" s="258">
        <v>11</v>
      </c>
      <c r="J246" s="9">
        <f>'Форма 2'!I966</f>
        <v>97002.9</v>
      </c>
      <c r="K246" s="9">
        <v>0</v>
      </c>
      <c r="L246" s="9">
        <v>0</v>
      </c>
      <c r="M246" s="9">
        <v>0</v>
      </c>
      <c r="N246" s="9">
        <f t="shared" ref="N246:N247" si="85">J246-O246</f>
        <v>97002.9</v>
      </c>
      <c r="O246" s="9">
        <v>0</v>
      </c>
      <c r="P246" s="9">
        <f>J246/H246</f>
        <v>333</v>
      </c>
      <c r="Q246" s="22">
        <f>'Форма 2'!K966</f>
        <v>333</v>
      </c>
      <c r="R246" s="16">
        <v>2020</v>
      </c>
      <c r="S246" s="168">
        <v>1</v>
      </c>
    </row>
    <row r="247" spans="1:19" s="71" customFormat="1" ht="15.75" customHeight="1" x14ac:dyDescent="0.25">
      <c r="A247" s="40">
        <f>A246+1</f>
        <v>6</v>
      </c>
      <c r="B247" s="40">
        <v>6733</v>
      </c>
      <c r="C247" s="260" t="s">
        <v>294</v>
      </c>
      <c r="D247" s="255">
        <v>1969</v>
      </c>
      <c r="E247" s="255" t="s">
        <v>230</v>
      </c>
      <c r="F247" s="255" t="s">
        <v>81</v>
      </c>
      <c r="G247" s="45">
        <v>313.3</v>
      </c>
      <c r="H247" s="28">
        <v>273.3</v>
      </c>
      <c r="I247" s="258">
        <v>10</v>
      </c>
      <c r="J247" s="9">
        <f>'Форма 2'!I969</f>
        <v>91008.9</v>
      </c>
      <c r="K247" s="9">
        <v>0</v>
      </c>
      <c r="L247" s="9">
        <v>0</v>
      </c>
      <c r="M247" s="9">
        <v>0</v>
      </c>
      <c r="N247" s="9">
        <f t="shared" si="85"/>
        <v>91008.9</v>
      </c>
      <c r="O247" s="9">
        <v>0</v>
      </c>
      <c r="P247" s="9">
        <v>333</v>
      </c>
      <c r="Q247" s="22">
        <f>'Форма 2'!K969</f>
        <v>333</v>
      </c>
      <c r="R247" s="16">
        <v>2020</v>
      </c>
      <c r="S247" s="168">
        <v>1</v>
      </c>
    </row>
    <row r="248" spans="1:19" s="71" customFormat="1" ht="15.75" customHeight="1" x14ac:dyDescent="0.25">
      <c r="A248" s="279" t="s">
        <v>35</v>
      </c>
      <c r="B248" s="279"/>
      <c r="C248" s="279"/>
      <c r="D248" s="10" t="s">
        <v>13</v>
      </c>
      <c r="E248" s="9" t="s">
        <v>13</v>
      </c>
      <c r="F248" s="9" t="s">
        <v>13</v>
      </c>
      <c r="G248" s="9">
        <f t="shared" ref="G248:O248" si="86">SUM(G249:G266)</f>
        <v>10674.7</v>
      </c>
      <c r="H248" s="9">
        <f t="shared" si="86"/>
        <v>9857</v>
      </c>
      <c r="I248" s="11">
        <f t="shared" si="86"/>
        <v>384</v>
      </c>
      <c r="J248" s="9">
        <f t="shared" si="86"/>
        <v>9671163.1799999997</v>
      </c>
      <c r="K248" s="9">
        <f t="shared" si="86"/>
        <v>0</v>
      </c>
      <c r="L248" s="9">
        <f t="shared" si="86"/>
        <v>0</v>
      </c>
      <c r="M248" s="9">
        <f t="shared" si="86"/>
        <v>0</v>
      </c>
      <c r="N248" s="9">
        <f t="shared" si="86"/>
        <v>8645577.8300000001</v>
      </c>
      <c r="O248" s="9">
        <f t="shared" si="86"/>
        <v>1025585.35</v>
      </c>
      <c r="P248" s="9" t="s">
        <v>13</v>
      </c>
      <c r="Q248" s="9" t="s">
        <v>13</v>
      </c>
      <c r="R248" s="9" t="s">
        <v>13</v>
      </c>
      <c r="S248" s="15" t="s">
        <v>13</v>
      </c>
    </row>
    <row r="249" spans="1:19" s="71" customFormat="1" ht="15.75" customHeight="1" x14ac:dyDescent="0.25">
      <c r="A249" s="242">
        <v>1</v>
      </c>
      <c r="B249" s="242">
        <v>5672</v>
      </c>
      <c r="C249" s="231" t="s">
        <v>492</v>
      </c>
      <c r="D249" s="34">
        <v>1963</v>
      </c>
      <c r="E249" s="34" t="s">
        <v>478</v>
      </c>
      <c r="F249" s="34" t="s">
        <v>81</v>
      </c>
      <c r="G249" s="35">
        <v>340</v>
      </c>
      <c r="H249" s="35">
        <v>327.60000000000002</v>
      </c>
      <c r="I249" s="39">
        <v>18</v>
      </c>
      <c r="J249" s="35">
        <f>'Форма 2'!I973</f>
        <v>235281</v>
      </c>
      <c r="K249" s="35">
        <f>SUM(K252:K276)</f>
        <v>0</v>
      </c>
      <c r="L249" s="35">
        <f>SUM(L252:L276)</f>
        <v>0</v>
      </c>
      <c r="M249" s="35">
        <f>SUM(M252:M276)</f>
        <v>0</v>
      </c>
      <c r="N249" s="22">
        <f t="shared" ref="N249:N250" si="87">J249-K249-L249-M249-O249</f>
        <v>213286.51</v>
      </c>
      <c r="O249" s="35">
        <v>21994.49</v>
      </c>
      <c r="P249" s="9">
        <f>J249/H249</f>
        <v>718.2</v>
      </c>
      <c r="Q249" s="9">
        <f>'Форма 2'!K973</f>
        <v>838</v>
      </c>
      <c r="R249" s="31">
        <v>2020</v>
      </c>
      <c r="S249" s="168">
        <v>1</v>
      </c>
    </row>
    <row r="250" spans="1:19" s="71" customFormat="1" ht="15.75" customHeight="1" x14ac:dyDescent="0.25">
      <c r="A250" s="242">
        <f>A249+1</f>
        <v>2</v>
      </c>
      <c r="B250" s="242">
        <v>5674</v>
      </c>
      <c r="C250" s="231" t="s">
        <v>493</v>
      </c>
      <c r="D250" s="34">
        <v>1963</v>
      </c>
      <c r="E250" s="34" t="s">
        <v>158</v>
      </c>
      <c r="F250" s="34" t="s">
        <v>81</v>
      </c>
      <c r="G250" s="35">
        <v>542.70000000000005</v>
      </c>
      <c r="H250" s="35">
        <v>519.4</v>
      </c>
      <c r="I250" s="39">
        <v>17</v>
      </c>
      <c r="J250" s="35">
        <f>'Форма 2'!I975</f>
        <v>88153.600000000006</v>
      </c>
      <c r="K250" s="35">
        <f>SUM(K254:K286)</f>
        <v>0</v>
      </c>
      <c r="L250" s="35">
        <f>SUM(L254:L286)</f>
        <v>0</v>
      </c>
      <c r="M250" s="35">
        <f>SUM(M254:M286)</f>
        <v>0</v>
      </c>
      <c r="N250" s="22">
        <f t="shared" si="87"/>
        <v>80413.600000000006</v>
      </c>
      <c r="O250" s="35">
        <v>7740</v>
      </c>
      <c r="P250" s="9">
        <f t="shared" ref="P250" si="88">J250/H250</f>
        <v>169.72</v>
      </c>
      <c r="Q250" s="9">
        <f>'Форма 2'!K975</f>
        <v>186</v>
      </c>
      <c r="R250" s="31">
        <v>2020</v>
      </c>
      <c r="S250" s="168">
        <v>1</v>
      </c>
    </row>
    <row r="251" spans="1:19" s="71" customFormat="1" ht="15.75" customHeight="1" x14ac:dyDescent="0.25">
      <c r="A251" s="242">
        <f>A250+1</f>
        <v>3</v>
      </c>
      <c r="B251" s="242">
        <v>5611</v>
      </c>
      <c r="C251" s="232" t="s">
        <v>434</v>
      </c>
      <c r="D251" s="34">
        <v>1936</v>
      </c>
      <c r="E251" s="34" t="s">
        <v>112</v>
      </c>
      <c r="F251" s="34" t="s">
        <v>87</v>
      </c>
      <c r="G251" s="35">
        <v>497.2</v>
      </c>
      <c r="H251" s="35">
        <v>458.4</v>
      </c>
      <c r="I251" s="47">
        <v>27</v>
      </c>
      <c r="J251" s="35">
        <f>'Форма 2'!I978</f>
        <v>2994926.82</v>
      </c>
      <c r="K251" s="22">
        <v>0</v>
      </c>
      <c r="L251" s="22">
        <v>0</v>
      </c>
      <c r="M251" s="22">
        <v>0</v>
      </c>
      <c r="N251" s="22">
        <f t="shared" ref="N251" si="89">J251-K251-L251-M251-O251</f>
        <v>2594212.17</v>
      </c>
      <c r="O251" s="22">
        <v>400714.65</v>
      </c>
      <c r="P251" s="9">
        <f>J251/H251</f>
        <v>6533.44</v>
      </c>
      <c r="Q251" s="9">
        <f>'Форма 2'!K978</f>
        <v>10911</v>
      </c>
      <c r="R251" s="31">
        <v>2020</v>
      </c>
      <c r="S251" s="168">
        <v>1</v>
      </c>
    </row>
    <row r="252" spans="1:19" s="172" customFormat="1" ht="15.75" customHeight="1" x14ac:dyDescent="0.25">
      <c r="A252" s="40">
        <f t="shared" ref="A252:A266" si="90">A251+1</f>
        <v>4</v>
      </c>
      <c r="B252" s="40">
        <v>5397</v>
      </c>
      <c r="C252" s="232" t="s">
        <v>570</v>
      </c>
      <c r="D252" s="242">
        <v>1960</v>
      </c>
      <c r="E252" s="242" t="s">
        <v>68</v>
      </c>
      <c r="F252" s="242" t="s">
        <v>81</v>
      </c>
      <c r="G252" s="48">
        <v>592.5</v>
      </c>
      <c r="H252" s="22">
        <v>524.29999999999995</v>
      </c>
      <c r="I252" s="49">
        <v>18</v>
      </c>
      <c r="J252" s="22">
        <f>'Форма 2'!I985</f>
        <v>87802.95</v>
      </c>
      <c r="K252" s="22">
        <v>0</v>
      </c>
      <c r="L252" s="22">
        <v>0</v>
      </c>
      <c r="M252" s="22">
        <v>0</v>
      </c>
      <c r="N252" s="22">
        <f t="shared" ref="N252:N266" si="91">J252-K252-L252-M252-O252</f>
        <v>76923.53</v>
      </c>
      <c r="O252" s="22">
        <v>10879.42</v>
      </c>
      <c r="P252" s="22">
        <f t="shared" ref="P252:P266" si="92">J252/H252</f>
        <v>167.47</v>
      </c>
      <c r="Q252" s="22">
        <f>'Форма 2'!K985</f>
        <v>259</v>
      </c>
      <c r="R252" s="31">
        <v>2020</v>
      </c>
      <c r="S252" s="15">
        <v>1</v>
      </c>
    </row>
    <row r="253" spans="1:19" s="172" customFormat="1" ht="15.75" customHeight="1" x14ac:dyDescent="0.25">
      <c r="A253" s="242">
        <f t="shared" si="90"/>
        <v>5</v>
      </c>
      <c r="B253" s="242">
        <v>5623</v>
      </c>
      <c r="C253" s="231" t="s">
        <v>496</v>
      </c>
      <c r="D253" s="34">
        <v>1961</v>
      </c>
      <c r="E253" s="34" t="s">
        <v>478</v>
      </c>
      <c r="F253" s="34" t="s">
        <v>81</v>
      </c>
      <c r="G253" s="35">
        <v>775.7</v>
      </c>
      <c r="H253" s="35">
        <v>705.5</v>
      </c>
      <c r="I253" s="39">
        <v>23</v>
      </c>
      <c r="J253" s="35">
        <f>'Форма 2'!I987</f>
        <v>290592</v>
      </c>
      <c r="K253" s="35">
        <v>0</v>
      </c>
      <c r="L253" s="35">
        <v>0</v>
      </c>
      <c r="M253" s="35">
        <v>0</v>
      </c>
      <c r="N253" s="22">
        <f t="shared" si="91"/>
        <v>243225.96</v>
      </c>
      <c r="O253" s="35">
        <v>47366.04</v>
      </c>
      <c r="P253" s="9">
        <f>J253/H253</f>
        <v>411.9</v>
      </c>
      <c r="Q253" s="9">
        <f>'Форма 2'!K987</f>
        <v>838</v>
      </c>
      <c r="R253" s="31">
        <v>2020</v>
      </c>
      <c r="S253" s="168">
        <v>1</v>
      </c>
    </row>
    <row r="254" spans="1:19" s="172" customFormat="1" ht="15.75" customHeight="1" x14ac:dyDescent="0.25">
      <c r="A254" s="40">
        <f t="shared" si="90"/>
        <v>6</v>
      </c>
      <c r="B254" s="50">
        <v>5464</v>
      </c>
      <c r="C254" s="232" t="s">
        <v>159</v>
      </c>
      <c r="D254" s="242">
        <v>1958</v>
      </c>
      <c r="E254" s="242" t="s">
        <v>68</v>
      </c>
      <c r="F254" s="242" t="s">
        <v>419</v>
      </c>
      <c r="G254" s="48">
        <v>441.6</v>
      </c>
      <c r="H254" s="22">
        <v>381.8</v>
      </c>
      <c r="I254" s="51">
        <v>25</v>
      </c>
      <c r="J254" s="22">
        <f>'Форма 2'!I989</f>
        <v>1984973.45</v>
      </c>
      <c r="K254" s="22">
        <v>0</v>
      </c>
      <c r="L254" s="22">
        <v>0</v>
      </c>
      <c r="M254" s="22">
        <v>0</v>
      </c>
      <c r="N254" s="22">
        <f t="shared" si="91"/>
        <v>1822464.99</v>
      </c>
      <c r="O254" s="22">
        <v>162508.46</v>
      </c>
      <c r="P254" s="22">
        <f t="shared" si="92"/>
        <v>5198.99</v>
      </c>
      <c r="Q254" s="22">
        <f>'Форма 2'!K989</f>
        <v>8203</v>
      </c>
      <c r="R254" s="31">
        <v>2020</v>
      </c>
      <c r="S254" s="15">
        <v>1</v>
      </c>
    </row>
    <row r="255" spans="1:19" s="172" customFormat="1" ht="15.75" customHeight="1" x14ac:dyDescent="0.25">
      <c r="A255" s="40">
        <f t="shared" si="90"/>
        <v>7</v>
      </c>
      <c r="B255" s="40">
        <v>5468</v>
      </c>
      <c r="C255" s="232" t="s">
        <v>420</v>
      </c>
      <c r="D255" s="242">
        <v>1960</v>
      </c>
      <c r="E255" s="242" t="s">
        <v>112</v>
      </c>
      <c r="F255" s="242" t="s">
        <v>81</v>
      </c>
      <c r="G255" s="48">
        <v>440.9</v>
      </c>
      <c r="H255" s="22">
        <v>404</v>
      </c>
      <c r="I255" s="49">
        <v>13</v>
      </c>
      <c r="J255" s="22">
        <f>'Форма 2'!I992</f>
        <v>170319.27</v>
      </c>
      <c r="K255" s="22">
        <v>0</v>
      </c>
      <c r="L255" s="22">
        <v>0</v>
      </c>
      <c r="M255" s="22">
        <v>0</v>
      </c>
      <c r="N255" s="22">
        <f t="shared" si="91"/>
        <v>155300.81</v>
      </c>
      <c r="O255" s="22">
        <v>15018.46</v>
      </c>
      <c r="P255" s="22">
        <f t="shared" si="92"/>
        <v>421.58</v>
      </c>
      <c r="Q255" s="22">
        <f>'Форма 2'!K992</f>
        <v>464</v>
      </c>
      <c r="R255" s="31">
        <v>2020</v>
      </c>
      <c r="S255" s="15">
        <v>1</v>
      </c>
    </row>
    <row r="256" spans="1:19" s="172" customFormat="1" ht="15.75" customHeight="1" x14ac:dyDescent="0.25">
      <c r="A256" s="40">
        <f t="shared" si="90"/>
        <v>8</v>
      </c>
      <c r="B256" s="40">
        <v>5469</v>
      </c>
      <c r="C256" s="232" t="s">
        <v>421</v>
      </c>
      <c r="D256" s="242">
        <v>1961</v>
      </c>
      <c r="E256" s="242" t="s">
        <v>478</v>
      </c>
      <c r="F256" s="242" t="s">
        <v>81</v>
      </c>
      <c r="G256" s="48">
        <v>354.7</v>
      </c>
      <c r="H256" s="22">
        <v>327.9</v>
      </c>
      <c r="I256" s="49">
        <v>11</v>
      </c>
      <c r="J256" s="22">
        <f>'Форма 2'!I995</f>
        <v>245104</v>
      </c>
      <c r="K256" s="22">
        <v>0</v>
      </c>
      <c r="L256" s="22">
        <v>0</v>
      </c>
      <c r="M256" s="22">
        <v>0</v>
      </c>
      <c r="N256" s="22">
        <f t="shared" si="91"/>
        <v>223089.37</v>
      </c>
      <c r="O256" s="22">
        <v>22014.63</v>
      </c>
      <c r="P256" s="22">
        <f t="shared" si="92"/>
        <v>747.5</v>
      </c>
      <c r="Q256" s="22">
        <f>'Форма 2'!K995</f>
        <v>838</v>
      </c>
      <c r="R256" s="31">
        <v>2020</v>
      </c>
      <c r="S256" s="15">
        <v>1</v>
      </c>
    </row>
    <row r="257" spans="1:19" s="172" customFormat="1" ht="15.75" customHeight="1" x14ac:dyDescent="0.25">
      <c r="A257" s="40">
        <f t="shared" si="90"/>
        <v>9</v>
      </c>
      <c r="B257" s="40">
        <v>5470</v>
      </c>
      <c r="C257" s="232" t="s">
        <v>422</v>
      </c>
      <c r="D257" s="242">
        <v>1961</v>
      </c>
      <c r="E257" s="242" t="s">
        <v>68</v>
      </c>
      <c r="F257" s="242" t="s">
        <v>81</v>
      </c>
      <c r="G257" s="48">
        <v>348.8</v>
      </c>
      <c r="H257" s="22">
        <v>321.39999999999998</v>
      </c>
      <c r="I257" s="49">
        <v>10</v>
      </c>
      <c r="J257" s="22">
        <f>'Форма 2'!I997</f>
        <v>64926.26</v>
      </c>
      <c r="K257" s="22">
        <v>0</v>
      </c>
      <c r="L257" s="22">
        <v>0</v>
      </c>
      <c r="M257" s="22">
        <v>0</v>
      </c>
      <c r="N257" s="22">
        <f t="shared" si="91"/>
        <v>58257.09</v>
      </c>
      <c r="O257" s="22">
        <v>6669.17</v>
      </c>
      <c r="P257" s="22">
        <f t="shared" si="92"/>
        <v>202.01</v>
      </c>
      <c r="Q257" s="22">
        <f>'Форма 2'!K997</f>
        <v>259</v>
      </c>
      <c r="R257" s="31">
        <v>2020</v>
      </c>
      <c r="S257" s="15">
        <v>1</v>
      </c>
    </row>
    <row r="258" spans="1:19" s="172" customFormat="1" ht="15.75" customHeight="1" x14ac:dyDescent="0.25">
      <c r="A258" s="40">
        <f t="shared" si="90"/>
        <v>10</v>
      </c>
      <c r="B258" s="40">
        <v>5473</v>
      </c>
      <c r="C258" s="232" t="s">
        <v>423</v>
      </c>
      <c r="D258" s="242">
        <v>1960</v>
      </c>
      <c r="E258" s="242" t="s">
        <v>68</v>
      </c>
      <c r="F258" s="242" t="s">
        <v>81</v>
      </c>
      <c r="G258" s="48">
        <v>438.1</v>
      </c>
      <c r="H258" s="22">
        <v>403.1</v>
      </c>
      <c r="I258" s="49">
        <v>13</v>
      </c>
      <c r="J258" s="22">
        <f>'Форма 2'!I999</f>
        <v>77216.77</v>
      </c>
      <c r="K258" s="22">
        <v>0</v>
      </c>
      <c r="L258" s="22">
        <v>0</v>
      </c>
      <c r="M258" s="22">
        <v>0</v>
      </c>
      <c r="N258" s="22">
        <f t="shared" si="91"/>
        <v>68852.3</v>
      </c>
      <c r="O258" s="22">
        <v>8364.4699999999993</v>
      </c>
      <c r="P258" s="22">
        <f t="shared" si="92"/>
        <v>191.56</v>
      </c>
      <c r="Q258" s="22">
        <f>'Форма 2'!K999</f>
        <v>259</v>
      </c>
      <c r="R258" s="31">
        <v>2020</v>
      </c>
      <c r="S258" s="15">
        <v>1</v>
      </c>
    </row>
    <row r="259" spans="1:19" s="172" customFormat="1" ht="15.75" customHeight="1" x14ac:dyDescent="0.25">
      <c r="A259" s="40">
        <f t="shared" si="90"/>
        <v>11</v>
      </c>
      <c r="B259" s="242">
        <v>5491</v>
      </c>
      <c r="C259" s="231" t="s">
        <v>504</v>
      </c>
      <c r="D259" s="34">
        <v>1962</v>
      </c>
      <c r="E259" s="34" t="s">
        <v>68</v>
      </c>
      <c r="F259" s="34" t="s">
        <v>81</v>
      </c>
      <c r="G259" s="35">
        <v>687</v>
      </c>
      <c r="H259" s="35">
        <v>639.5</v>
      </c>
      <c r="I259" s="39">
        <v>22</v>
      </c>
      <c r="J259" s="35">
        <f>'Форма 2'!I1001</f>
        <v>105167.7</v>
      </c>
      <c r="K259" s="35">
        <v>0</v>
      </c>
      <c r="L259" s="35">
        <v>0</v>
      </c>
      <c r="M259" s="35">
        <v>0</v>
      </c>
      <c r="N259" s="22">
        <f t="shared" si="91"/>
        <v>92358.95</v>
      </c>
      <c r="O259" s="35">
        <v>12808.75</v>
      </c>
      <c r="P259" s="9">
        <f t="shared" si="92"/>
        <v>164.45</v>
      </c>
      <c r="Q259" s="9">
        <f>'Форма 2'!K1001</f>
        <v>250</v>
      </c>
      <c r="R259" s="31">
        <v>2020</v>
      </c>
      <c r="S259" s="168">
        <v>1</v>
      </c>
    </row>
    <row r="260" spans="1:19" s="172" customFormat="1" ht="15.75" customHeight="1" x14ac:dyDescent="0.25">
      <c r="A260" s="40">
        <f t="shared" si="90"/>
        <v>12</v>
      </c>
      <c r="B260" s="40">
        <v>5493</v>
      </c>
      <c r="C260" s="232" t="s">
        <v>424</v>
      </c>
      <c r="D260" s="242">
        <v>1964</v>
      </c>
      <c r="E260" s="242" t="s">
        <v>68</v>
      </c>
      <c r="F260" s="242" t="s">
        <v>81</v>
      </c>
      <c r="G260" s="48">
        <v>1610.4</v>
      </c>
      <c r="H260" s="22">
        <v>1503.6</v>
      </c>
      <c r="I260" s="49">
        <v>48</v>
      </c>
      <c r="J260" s="22">
        <f>'Форма 2'!I1003</f>
        <v>150488.22</v>
      </c>
      <c r="K260" s="22">
        <v>0</v>
      </c>
      <c r="L260" s="22">
        <v>0</v>
      </c>
      <c r="M260" s="22">
        <v>0</v>
      </c>
      <c r="N260" s="22">
        <f t="shared" si="91"/>
        <v>121335.86</v>
      </c>
      <c r="O260" s="22">
        <v>29152.36</v>
      </c>
      <c r="P260" s="22">
        <f t="shared" si="92"/>
        <v>100.09</v>
      </c>
      <c r="Q260" s="22">
        <f>'Форма 2'!K1003</f>
        <v>242</v>
      </c>
      <c r="R260" s="31">
        <v>2020</v>
      </c>
      <c r="S260" s="15">
        <v>1</v>
      </c>
    </row>
    <row r="261" spans="1:19" s="172" customFormat="1" ht="15.75" customHeight="1" x14ac:dyDescent="0.25">
      <c r="A261" s="40">
        <f t="shared" si="90"/>
        <v>13</v>
      </c>
      <c r="B261" s="242">
        <v>5494</v>
      </c>
      <c r="C261" s="231" t="s">
        <v>500</v>
      </c>
      <c r="D261" s="34">
        <v>1966</v>
      </c>
      <c r="E261" s="34" t="s">
        <v>68</v>
      </c>
      <c r="F261" s="34" t="s">
        <v>81</v>
      </c>
      <c r="G261" s="35">
        <v>1580.9</v>
      </c>
      <c r="H261" s="35">
        <v>1504.3</v>
      </c>
      <c r="I261" s="39">
        <v>56</v>
      </c>
      <c r="J261" s="35">
        <f>'Форма 2'!I1005</f>
        <v>148948.17000000001</v>
      </c>
      <c r="K261" s="35">
        <v>0</v>
      </c>
      <c r="L261" s="35">
        <v>0</v>
      </c>
      <c r="M261" s="35">
        <v>0</v>
      </c>
      <c r="N261" s="22">
        <f t="shared" si="91"/>
        <v>119782.24</v>
      </c>
      <c r="O261" s="35">
        <v>29165.93</v>
      </c>
      <c r="P261" s="9">
        <f t="shared" si="92"/>
        <v>99.01</v>
      </c>
      <c r="Q261" s="9">
        <f>'Форма 2'!K1005</f>
        <v>242</v>
      </c>
      <c r="R261" s="31">
        <v>2020</v>
      </c>
      <c r="S261" s="168">
        <v>1</v>
      </c>
    </row>
    <row r="262" spans="1:19" s="172" customFormat="1" ht="15.75" customHeight="1" x14ac:dyDescent="0.25">
      <c r="A262" s="40">
        <f t="shared" si="90"/>
        <v>14</v>
      </c>
      <c r="B262" s="40">
        <v>5482</v>
      </c>
      <c r="C262" s="232" t="s">
        <v>425</v>
      </c>
      <c r="D262" s="242">
        <v>1960</v>
      </c>
      <c r="E262" s="242" t="s">
        <v>68</v>
      </c>
      <c r="F262" s="242" t="s">
        <v>81</v>
      </c>
      <c r="G262" s="48">
        <v>354.3</v>
      </c>
      <c r="H262" s="22">
        <v>323.60000000000002</v>
      </c>
      <c r="I262" s="52">
        <v>10</v>
      </c>
      <c r="J262" s="22">
        <f>'Форма 2'!I1007</f>
        <v>63116.7</v>
      </c>
      <c r="K262" s="22">
        <v>0</v>
      </c>
      <c r="L262" s="22">
        <v>0</v>
      </c>
      <c r="M262" s="22">
        <v>0</v>
      </c>
      <c r="N262" s="22">
        <f t="shared" si="91"/>
        <v>56401.88</v>
      </c>
      <c r="O262" s="22">
        <v>6714.82</v>
      </c>
      <c r="P262" s="22">
        <f t="shared" si="92"/>
        <v>195.05</v>
      </c>
      <c r="Q262" s="22">
        <f>'Форма 2'!K1007</f>
        <v>259</v>
      </c>
      <c r="R262" s="31">
        <v>2020</v>
      </c>
      <c r="S262" s="15">
        <v>1</v>
      </c>
    </row>
    <row r="263" spans="1:19" s="172" customFormat="1" ht="15.75" customHeight="1" x14ac:dyDescent="0.25">
      <c r="A263" s="40">
        <f t="shared" si="90"/>
        <v>15</v>
      </c>
      <c r="B263" s="50">
        <v>5485</v>
      </c>
      <c r="C263" s="232" t="s">
        <v>506</v>
      </c>
      <c r="D263" s="40">
        <v>1961</v>
      </c>
      <c r="E263" s="242" t="s">
        <v>232</v>
      </c>
      <c r="F263" s="242" t="s">
        <v>81</v>
      </c>
      <c r="G263" s="48">
        <v>429.1</v>
      </c>
      <c r="H263" s="22">
        <v>394.2</v>
      </c>
      <c r="I263" s="53">
        <v>16</v>
      </c>
      <c r="J263" s="22">
        <f>'Форма 2'!I1009</f>
        <v>18133.2</v>
      </c>
      <c r="K263" s="22">
        <v>0</v>
      </c>
      <c r="L263" s="22">
        <v>0</v>
      </c>
      <c r="M263" s="22">
        <v>0</v>
      </c>
      <c r="N263" s="22">
        <f t="shared" si="91"/>
        <v>16680.419999999998</v>
      </c>
      <c r="O263" s="22">
        <v>1452.78</v>
      </c>
      <c r="P263" s="22">
        <f t="shared" si="92"/>
        <v>46</v>
      </c>
      <c r="Q263" s="22">
        <f>'Форма 2'!K1009</f>
        <v>46</v>
      </c>
      <c r="R263" s="31">
        <v>2020</v>
      </c>
      <c r="S263" s="168">
        <v>1</v>
      </c>
    </row>
    <row r="264" spans="1:19" s="172" customFormat="1" ht="15.75" customHeight="1" x14ac:dyDescent="0.25">
      <c r="A264" s="40">
        <f t="shared" si="90"/>
        <v>16</v>
      </c>
      <c r="B264" s="50">
        <v>5545</v>
      </c>
      <c r="C264" s="232" t="s">
        <v>497</v>
      </c>
      <c r="D264" s="40">
        <v>1965</v>
      </c>
      <c r="E264" s="242" t="s">
        <v>68</v>
      </c>
      <c r="F264" s="242" t="s">
        <v>81</v>
      </c>
      <c r="G264" s="48">
        <v>401.2</v>
      </c>
      <c r="H264" s="22">
        <v>356.8</v>
      </c>
      <c r="I264" s="53">
        <v>24</v>
      </c>
      <c r="J264" s="22">
        <f>'Форма 2'!I1011</f>
        <v>69872.460000000006</v>
      </c>
      <c r="K264" s="22">
        <v>0</v>
      </c>
      <c r="L264" s="22">
        <v>0</v>
      </c>
      <c r="M264" s="22">
        <v>0</v>
      </c>
      <c r="N264" s="22">
        <f t="shared" si="91"/>
        <v>62726</v>
      </c>
      <c r="O264" s="22">
        <v>7146.46</v>
      </c>
      <c r="P264" s="22">
        <f t="shared" si="92"/>
        <v>195.83</v>
      </c>
      <c r="Q264" s="22">
        <f>'Форма 2'!K1011</f>
        <v>250</v>
      </c>
      <c r="R264" s="31">
        <v>2020</v>
      </c>
      <c r="S264" s="168">
        <v>1</v>
      </c>
    </row>
    <row r="265" spans="1:19" s="172" customFormat="1" ht="15.75" customHeight="1" x14ac:dyDescent="0.25">
      <c r="A265" s="40">
        <f t="shared" si="90"/>
        <v>17</v>
      </c>
      <c r="B265" s="50">
        <v>5820</v>
      </c>
      <c r="C265" s="232" t="s">
        <v>160</v>
      </c>
      <c r="D265" s="242">
        <v>1958</v>
      </c>
      <c r="E265" s="242" t="s">
        <v>68</v>
      </c>
      <c r="F265" s="242" t="s">
        <v>82</v>
      </c>
      <c r="G265" s="48">
        <v>440.5</v>
      </c>
      <c r="H265" s="22">
        <v>409.2</v>
      </c>
      <c r="I265" s="54">
        <v>19</v>
      </c>
      <c r="J265" s="22">
        <f>'Форма 2'!I1013</f>
        <v>2808351.01</v>
      </c>
      <c r="K265" s="22">
        <v>0</v>
      </c>
      <c r="L265" s="22">
        <v>0</v>
      </c>
      <c r="M265" s="22">
        <v>0</v>
      </c>
      <c r="N265" s="22">
        <f t="shared" si="91"/>
        <v>2579534.88</v>
      </c>
      <c r="O265" s="22">
        <v>228816.13</v>
      </c>
      <c r="P265" s="22">
        <f t="shared" si="92"/>
        <v>6863.03</v>
      </c>
      <c r="Q265" s="22">
        <f>'Форма 2'!K1013</f>
        <v>8203</v>
      </c>
      <c r="R265" s="31">
        <v>2020</v>
      </c>
      <c r="S265" s="15">
        <v>1</v>
      </c>
    </row>
    <row r="266" spans="1:19" s="172" customFormat="1" ht="15.75" customHeight="1" x14ac:dyDescent="0.25">
      <c r="A266" s="40">
        <f t="shared" si="90"/>
        <v>18</v>
      </c>
      <c r="B266" s="40">
        <v>5799</v>
      </c>
      <c r="C266" s="232" t="s">
        <v>499</v>
      </c>
      <c r="D266" s="40">
        <v>1965</v>
      </c>
      <c r="E266" s="242" t="s">
        <v>68</v>
      </c>
      <c r="F266" s="242" t="s">
        <v>81</v>
      </c>
      <c r="G266" s="48">
        <v>399.1</v>
      </c>
      <c r="H266" s="22">
        <v>352.4</v>
      </c>
      <c r="I266" s="51">
        <v>14</v>
      </c>
      <c r="J266" s="22">
        <f>'Форма 2'!I1016</f>
        <v>67789.600000000006</v>
      </c>
      <c r="K266" s="22">
        <v>0</v>
      </c>
      <c r="L266" s="22">
        <v>0</v>
      </c>
      <c r="M266" s="22">
        <v>0</v>
      </c>
      <c r="N266" s="22">
        <f t="shared" si="91"/>
        <v>60731.27</v>
      </c>
      <c r="O266" s="22">
        <v>7058.33</v>
      </c>
      <c r="P266" s="22">
        <f t="shared" si="92"/>
        <v>192.37</v>
      </c>
      <c r="Q266" s="22">
        <f>'Форма 2'!K1016</f>
        <v>250</v>
      </c>
      <c r="R266" s="31">
        <v>2020</v>
      </c>
      <c r="S266" s="168">
        <v>1</v>
      </c>
    </row>
    <row r="267" spans="1:19" s="71" customFormat="1" ht="15.75" customHeight="1" x14ac:dyDescent="0.25">
      <c r="A267" s="279" t="s">
        <v>36</v>
      </c>
      <c r="B267" s="279"/>
      <c r="C267" s="279"/>
      <c r="D267" s="10" t="s">
        <v>13</v>
      </c>
      <c r="E267" s="9" t="s">
        <v>13</v>
      </c>
      <c r="F267" s="9" t="s">
        <v>13</v>
      </c>
      <c r="G267" s="9">
        <f t="shared" ref="G267:O267" si="93">SUM(G268:G272)</f>
        <v>3949.7</v>
      </c>
      <c r="H267" s="9">
        <f t="shared" si="93"/>
        <v>3139.9</v>
      </c>
      <c r="I267" s="11">
        <f t="shared" si="93"/>
        <v>125</v>
      </c>
      <c r="J267" s="9">
        <f t="shared" si="93"/>
        <v>3171446.73</v>
      </c>
      <c r="K267" s="9">
        <f t="shared" si="93"/>
        <v>0</v>
      </c>
      <c r="L267" s="9">
        <f t="shared" si="93"/>
        <v>0</v>
      </c>
      <c r="M267" s="9">
        <f t="shared" si="93"/>
        <v>0</v>
      </c>
      <c r="N267" s="9">
        <f t="shared" si="93"/>
        <v>3114108.35</v>
      </c>
      <c r="O267" s="9">
        <f t="shared" si="93"/>
        <v>57338.38</v>
      </c>
      <c r="P267" s="9" t="s">
        <v>13</v>
      </c>
      <c r="Q267" s="9" t="s">
        <v>13</v>
      </c>
      <c r="R267" s="9" t="s">
        <v>13</v>
      </c>
      <c r="S267" s="15" t="s">
        <v>13</v>
      </c>
    </row>
    <row r="268" spans="1:19" ht="15.75" customHeight="1" x14ac:dyDescent="0.25">
      <c r="A268" s="40">
        <v>1</v>
      </c>
      <c r="B268" s="40">
        <v>4905</v>
      </c>
      <c r="C268" s="260" t="s">
        <v>296</v>
      </c>
      <c r="D268" s="255">
        <v>1974</v>
      </c>
      <c r="E268" s="255" t="s">
        <v>230</v>
      </c>
      <c r="F268" s="255" t="s">
        <v>81</v>
      </c>
      <c r="G268" s="22">
        <v>1572</v>
      </c>
      <c r="H268" s="22">
        <v>1060.7</v>
      </c>
      <c r="I268" s="55">
        <v>36</v>
      </c>
      <c r="J268" s="22">
        <f>'Форма 2'!I1019</f>
        <v>140593.84</v>
      </c>
      <c r="K268" s="9">
        <v>0</v>
      </c>
      <c r="L268" s="9">
        <v>0</v>
      </c>
      <c r="M268" s="9">
        <v>0</v>
      </c>
      <c r="N268" s="9">
        <f t="shared" ref="N268:N272" si="94">J268-O268</f>
        <v>140593.84</v>
      </c>
      <c r="O268" s="9">
        <v>0</v>
      </c>
      <c r="P268" s="9">
        <f t="shared" ref="P268:P272" si="95">J268/H268</f>
        <v>132.55000000000001</v>
      </c>
      <c r="Q268" s="22">
        <f>'Форма 2'!K1019</f>
        <v>180</v>
      </c>
      <c r="R268" s="43" t="s">
        <v>289</v>
      </c>
      <c r="S268" s="15">
        <v>1</v>
      </c>
    </row>
    <row r="269" spans="1:19" s="71" customFormat="1" ht="15.75" customHeight="1" x14ac:dyDescent="0.25">
      <c r="A269" s="40">
        <f>A268+1</f>
        <v>2</v>
      </c>
      <c r="B269" s="255">
        <v>4915</v>
      </c>
      <c r="C269" s="260" t="s">
        <v>267</v>
      </c>
      <c r="D269" s="255">
        <v>1973</v>
      </c>
      <c r="E269" s="255" t="s">
        <v>458</v>
      </c>
      <c r="F269" s="255" t="s">
        <v>82</v>
      </c>
      <c r="G269" s="22">
        <v>771.3</v>
      </c>
      <c r="H269" s="22">
        <v>713.5</v>
      </c>
      <c r="I269" s="39">
        <v>27</v>
      </c>
      <c r="J269" s="35">
        <f>'Форма 2'!I1022</f>
        <v>448421.37</v>
      </c>
      <c r="K269" s="35">
        <f>K278</f>
        <v>0</v>
      </c>
      <c r="L269" s="35">
        <f>L278</f>
        <v>0</v>
      </c>
      <c r="M269" s="35">
        <f>M278</f>
        <v>0</v>
      </c>
      <c r="N269" s="9">
        <f t="shared" si="94"/>
        <v>439548.69</v>
      </c>
      <c r="O269" s="35">
        <v>8872.68</v>
      </c>
      <c r="P269" s="35">
        <f t="shared" si="95"/>
        <v>628.48</v>
      </c>
      <c r="Q269" s="35">
        <f>'Форма 2'!K1022</f>
        <v>1169</v>
      </c>
      <c r="R269" s="56" t="s">
        <v>289</v>
      </c>
      <c r="S269" s="15">
        <v>1</v>
      </c>
    </row>
    <row r="270" spans="1:19" s="71" customFormat="1" ht="15.75" customHeight="1" x14ac:dyDescent="0.25">
      <c r="A270" s="13">
        <f t="shared" ref="A270:A271" si="96">A269+1</f>
        <v>3</v>
      </c>
      <c r="B270" s="251">
        <v>4916</v>
      </c>
      <c r="C270" s="29" t="s">
        <v>268</v>
      </c>
      <c r="D270" s="13">
        <v>1966</v>
      </c>
      <c r="E270" s="17" t="s">
        <v>230</v>
      </c>
      <c r="F270" s="17" t="s">
        <v>82</v>
      </c>
      <c r="G270" s="35">
        <v>440.9</v>
      </c>
      <c r="H270" s="35">
        <v>338.2</v>
      </c>
      <c r="I270" s="39">
        <v>25</v>
      </c>
      <c r="J270" s="35">
        <f>'Форма 2'!I1027</f>
        <v>840464.25</v>
      </c>
      <c r="K270" s="35">
        <v>0</v>
      </c>
      <c r="L270" s="35">
        <v>0</v>
      </c>
      <c r="M270" s="35">
        <v>0</v>
      </c>
      <c r="N270" s="9">
        <f t="shared" si="94"/>
        <v>827293.22</v>
      </c>
      <c r="O270" s="35">
        <v>13171.03</v>
      </c>
      <c r="P270" s="35">
        <f t="shared" si="95"/>
        <v>2485.11</v>
      </c>
      <c r="Q270" s="35">
        <f>'Форма 2'!K1027</f>
        <v>3661</v>
      </c>
      <c r="R270" s="37" t="s">
        <v>289</v>
      </c>
      <c r="S270" s="15">
        <v>1</v>
      </c>
    </row>
    <row r="271" spans="1:19" s="71" customFormat="1" ht="15.75" customHeight="1" x14ac:dyDescent="0.25">
      <c r="A271" s="13">
        <f t="shared" si="96"/>
        <v>4</v>
      </c>
      <c r="B271" s="251">
        <v>4918</v>
      </c>
      <c r="C271" s="29" t="s">
        <v>269</v>
      </c>
      <c r="D271" s="13">
        <v>1970</v>
      </c>
      <c r="E271" s="255" t="s">
        <v>89</v>
      </c>
      <c r="F271" s="17" t="s">
        <v>82</v>
      </c>
      <c r="G271" s="35">
        <v>403.4</v>
      </c>
      <c r="H271" s="35">
        <v>324.2</v>
      </c>
      <c r="I271" s="39">
        <v>11</v>
      </c>
      <c r="J271" s="35">
        <f>'Форма 2'!I1032</f>
        <v>692482.13</v>
      </c>
      <c r="K271" s="35">
        <v>0</v>
      </c>
      <c r="L271" s="35">
        <v>0</v>
      </c>
      <c r="M271" s="35">
        <v>0</v>
      </c>
      <c r="N271" s="9">
        <f t="shared" si="94"/>
        <v>679856.32</v>
      </c>
      <c r="O271" s="35">
        <v>12625.81</v>
      </c>
      <c r="P271" s="35">
        <f t="shared" si="95"/>
        <v>2135.9699999999998</v>
      </c>
      <c r="Q271" s="35">
        <f>'Форма 2'!K1032</f>
        <v>3030</v>
      </c>
      <c r="R271" s="37" t="s">
        <v>289</v>
      </c>
      <c r="S271" s="15">
        <v>1</v>
      </c>
    </row>
    <row r="272" spans="1:19" ht="15.75" customHeight="1" x14ac:dyDescent="0.25">
      <c r="A272" s="40">
        <f>A271+1</f>
        <v>5</v>
      </c>
      <c r="B272" s="40">
        <v>4927</v>
      </c>
      <c r="C272" s="252" t="s">
        <v>270</v>
      </c>
      <c r="D272" s="251">
        <v>1973</v>
      </c>
      <c r="E272" s="255" t="s">
        <v>89</v>
      </c>
      <c r="F272" s="251" t="s">
        <v>82</v>
      </c>
      <c r="G272" s="22">
        <v>762.1</v>
      </c>
      <c r="H272" s="22">
        <v>703.3</v>
      </c>
      <c r="I272" s="257">
        <v>26</v>
      </c>
      <c r="J272" s="35">
        <f>'Форма 2'!I1035</f>
        <v>1049485.1399999999</v>
      </c>
      <c r="K272" s="9">
        <v>0</v>
      </c>
      <c r="L272" s="9">
        <v>0</v>
      </c>
      <c r="M272" s="9">
        <v>0</v>
      </c>
      <c r="N272" s="35">
        <f t="shared" si="94"/>
        <v>1026816.28</v>
      </c>
      <c r="O272" s="35">
        <v>22668.86</v>
      </c>
      <c r="P272" s="35">
        <f t="shared" si="95"/>
        <v>1492.23</v>
      </c>
      <c r="Q272" s="35">
        <f>'Форма 2'!K1035</f>
        <v>3030</v>
      </c>
      <c r="R272" s="43" t="s">
        <v>289</v>
      </c>
      <c r="S272" s="15">
        <v>1</v>
      </c>
    </row>
    <row r="273" spans="1:19" s="71" customFormat="1" ht="15.75" customHeight="1" x14ac:dyDescent="0.25">
      <c r="A273" s="279" t="s">
        <v>48</v>
      </c>
      <c r="B273" s="279"/>
      <c r="C273" s="279"/>
      <c r="D273" s="10" t="s">
        <v>13</v>
      </c>
      <c r="E273" s="9" t="s">
        <v>13</v>
      </c>
      <c r="F273" s="9" t="s">
        <v>13</v>
      </c>
      <c r="G273" s="9">
        <f>SUM(G274:G276)</f>
        <v>1116.29</v>
      </c>
      <c r="H273" s="9">
        <f t="shared" ref="H273:O273" si="97">SUM(H274:H276)</f>
        <v>992.9</v>
      </c>
      <c r="I273" s="11">
        <f t="shared" si="97"/>
        <v>43</v>
      </c>
      <c r="J273" s="9">
        <f t="shared" si="97"/>
        <v>2859115.75</v>
      </c>
      <c r="K273" s="9">
        <f t="shared" si="97"/>
        <v>0</v>
      </c>
      <c r="L273" s="9">
        <f t="shared" si="97"/>
        <v>0</v>
      </c>
      <c r="M273" s="9">
        <f t="shared" si="97"/>
        <v>0</v>
      </c>
      <c r="N273" s="9">
        <f t="shared" si="97"/>
        <v>2797452.03</v>
      </c>
      <c r="O273" s="9">
        <f t="shared" si="97"/>
        <v>61663.72</v>
      </c>
      <c r="P273" s="9" t="s">
        <v>13</v>
      </c>
      <c r="Q273" s="9" t="s">
        <v>13</v>
      </c>
      <c r="R273" s="9" t="s">
        <v>13</v>
      </c>
      <c r="S273" s="15" t="s">
        <v>13</v>
      </c>
    </row>
    <row r="274" spans="1:19" s="71" customFormat="1" ht="15.75" customHeight="1" x14ac:dyDescent="0.25">
      <c r="A274" s="255">
        <v>1</v>
      </c>
      <c r="B274" s="58">
        <v>6786</v>
      </c>
      <c r="C274" s="59" t="s">
        <v>299</v>
      </c>
      <c r="D274" s="255">
        <v>1966</v>
      </c>
      <c r="E274" s="255" t="s">
        <v>230</v>
      </c>
      <c r="F274" s="255" t="s">
        <v>81</v>
      </c>
      <c r="G274" s="45">
        <v>240.45</v>
      </c>
      <c r="H274" s="173">
        <v>229.4</v>
      </c>
      <c r="I274" s="55">
        <v>14</v>
      </c>
      <c r="J274" s="22">
        <f>'Форма 2'!I1039</f>
        <v>42502.8</v>
      </c>
      <c r="K274" s="22">
        <v>0</v>
      </c>
      <c r="L274" s="22">
        <v>0</v>
      </c>
      <c r="M274" s="22">
        <v>0</v>
      </c>
      <c r="N274" s="22">
        <f>J274-L274-M274-O274</f>
        <v>40915.879999999997</v>
      </c>
      <c r="O274" s="22">
        <v>1586.92</v>
      </c>
      <c r="P274" s="22">
        <f>J274/H274</f>
        <v>185.28</v>
      </c>
      <c r="Q274" s="22">
        <f>'Форма 2'!K1039</f>
        <v>340</v>
      </c>
      <c r="R274" s="16">
        <v>2020</v>
      </c>
      <c r="S274" s="168">
        <v>1</v>
      </c>
    </row>
    <row r="275" spans="1:19" s="71" customFormat="1" ht="15.75" customHeight="1" x14ac:dyDescent="0.25">
      <c r="A275" s="33">
        <f t="shared" ref="A275:A276" si="98">A274+1</f>
        <v>2</v>
      </c>
      <c r="B275" s="251">
        <v>6789</v>
      </c>
      <c r="C275" s="29" t="s">
        <v>261</v>
      </c>
      <c r="D275" s="13">
        <v>1958</v>
      </c>
      <c r="E275" s="13" t="s">
        <v>68</v>
      </c>
      <c r="F275" s="255" t="s">
        <v>82</v>
      </c>
      <c r="G275" s="44">
        <v>512.54</v>
      </c>
      <c r="H275" s="9">
        <v>417.5</v>
      </c>
      <c r="I275" s="21">
        <v>17</v>
      </c>
      <c r="J275" s="9">
        <f>'Форма 2'!I1042</f>
        <v>2754808.95</v>
      </c>
      <c r="K275" s="9">
        <f>K276</f>
        <v>0</v>
      </c>
      <c r="L275" s="9">
        <f>L276</f>
        <v>0</v>
      </c>
      <c r="M275" s="9">
        <f>M276</f>
        <v>0</v>
      </c>
      <c r="N275" s="9">
        <f>J275-L275-M275-O275</f>
        <v>2696043.84</v>
      </c>
      <c r="O275" s="9">
        <v>58765.11</v>
      </c>
      <c r="P275" s="9">
        <f>J275/H275</f>
        <v>6598.34</v>
      </c>
      <c r="Q275" s="9">
        <f>'Форма 2'!K1042</f>
        <v>8203</v>
      </c>
      <c r="R275" s="43">
        <v>2020</v>
      </c>
      <c r="S275" s="15">
        <v>1</v>
      </c>
    </row>
    <row r="276" spans="1:19" s="71" customFormat="1" ht="15.75" customHeight="1" x14ac:dyDescent="0.25">
      <c r="A276" s="33">
        <f t="shared" si="98"/>
        <v>3</v>
      </c>
      <c r="B276" s="251">
        <v>6770</v>
      </c>
      <c r="C276" s="29" t="s">
        <v>298</v>
      </c>
      <c r="D276" s="13">
        <v>1965</v>
      </c>
      <c r="E276" s="13" t="s">
        <v>230</v>
      </c>
      <c r="F276" s="13" t="s">
        <v>81</v>
      </c>
      <c r="G276" s="44">
        <v>363.3</v>
      </c>
      <c r="H276" s="9">
        <v>346</v>
      </c>
      <c r="I276" s="21">
        <v>12</v>
      </c>
      <c r="J276" s="9">
        <f>'Форма 2'!I1045</f>
        <v>61804</v>
      </c>
      <c r="K276" s="9">
        <v>0</v>
      </c>
      <c r="L276" s="9">
        <v>0</v>
      </c>
      <c r="M276" s="9">
        <v>0</v>
      </c>
      <c r="N276" s="35">
        <f>J276-O276</f>
        <v>60492.31</v>
      </c>
      <c r="O276" s="9">
        <v>1311.69</v>
      </c>
      <c r="P276" s="9">
        <f>J276/H276</f>
        <v>178.62</v>
      </c>
      <c r="Q276" s="9">
        <f>'Форма 2'!K1045</f>
        <v>186</v>
      </c>
      <c r="R276" s="43">
        <v>2020</v>
      </c>
      <c r="S276" s="15">
        <v>1</v>
      </c>
    </row>
    <row r="277" spans="1:19" s="71" customFormat="1" ht="15.75" customHeight="1" x14ac:dyDescent="0.25">
      <c r="A277" s="279" t="s">
        <v>38</v>
      </c>
      <c r="B277" s="279"/>
      <c r="C277" s="279"/>
      <c r="D277" s="10" t="s">
        <v>13</v>
      </c>
      <c r="E277" s="9" t="s">
        <v>13</v>
      </c>
      <c r="F277" s="9" t="s">
        <v>13</v>
      </c>
      <c r="G277" s="9">
        <f>SUM(G278:G281)</f>
        <v>2585.81</v>
      </c>
      <c r="H277" s="9">
        <f t="shared" ref="H277:O277" si="99">SUM(H278:H281)</f>
        <v>2363.1999999999998</v>
      </c>
      <c r="I277" s="11">
        <f t="shared" si="99"/>
        <v>71</v>
      </c>
      <c r="J277" s="9">
        <f t="shared" si="99"/>
        <v>3383634.06</v>
      </c>
      <c r="K277" s="9">
        <f t="shared" si="99"/>
        <v>0</v>
      </c>
      <c r="L277" s="9">
        <f t="shared" si="99"/>
        <v>0</v>
      </c>
      <c r="M277" s="9">
        <f t="shared" si="99"/>
        <v>0</v>
      </c>
      <c r="N277" s="9">
        <f t="shared" si="99"/>
        <v>3312328.28</v>
      </c>
      <c r="O277" s="9">
        <f t="shared" si="99"/>
        <v>71305.78</v>
      </c>
      <c r="P277" s="9" t="s">
        <v>13</v>
      </c>
      <c r="Q277" s="9" t="s">
        <v>13</v>
      </c>
      <c r="R277" s="9" t="s">
        <v>13</v>
      </c>
      <c r="S277" s="15" t="s">
        <v>13</v>
      </c>
    </row>
    <row r="278" spans="1:19" s="71" customFormat="1" ht="15.75" customHeight="1" x14ac:dyDescent="0.25">
      <c r="A278" s="33">
        <v>1</v>
      </c>
      <c r="B278" s="242">
        <v>4965</v>
      </c>
      <c r="C278" s="234" t="s">
        <v>276</v>
      </c>
      <c r="D278" s="33">
        <v>1966</v>
      </c>
      <c r="E278" s="34" t="s">
        <v>112</v>
      </c>
      <c r="F278" s="34" t="s">
        <v>82</v>
      </c>
      <c r="G278" s="35">
        <v>548.21</v>
      </c>
      <c r="H278" s="140">
        <v>485.7</v>
      </c>
      <c r="I278" s="141">
        <v>20</v>
      </c>
      <c r="J278" s="35">
        <f>'Форма 2'!I1049</f>
        <v>1232294.99</v>
      </c>
      <c r="K278" s="35">
        <v>0</v>
      </c>
      <c r="L278" s="35">
        <v>0</v>
      </c>
      <c r="M278" s="35">
        <v>0</v>
      </c>
      <c r="N278" s="35">
        <f>J278-K278-L278-M278-O278</f>
        <v>1207640.0900000001</v>
      </c>
      <c r="O278" s="35">
        <v>24654.9</v>
      </c>
      <c r="P278" s="9">
        <f>J278/H278</f>
        <v>2537.15</v>
      </c>
      <c r="Q278" s="35">
        <f>'Форма 2'!K1049</f>
        <v>2977</v>
      </c>
      <c r="R278" s="37">
        <v>2020</v>
      </c>
      <c r="S278" s="15">
        <v>1</v>
      </c>
    </row>
    <row r="279" spans="1:19" s="71" customFormat="1" ht="15.75" customHeight="1" x14ac:dyDescent="0.25">
      <c r="A279" s="242">
        <v>2</v>
      </c>
      <c r="B279" s="60">
        <v>4971</v>
      </c>
      <c r="C279" s="231" t="s">
        <v>507</v>
      </c>
      <c r="D279" s="34">
        <v>1967</v>
      </c>
      <c r="E279" s="34" t="s">
        <v>112</v>
      </c>
      <c r="F279" s="34" t="s">
        <v>114</v>
      </c>
      <c r="G279" s="35">
        <v>685.5</v>
      </c>
      <c r="H279" s="140">
        <v>643.9</v>
      </c>
      <c r="I279" s="141">
        <v>21</v>
      </c>
      <c r="J279" s="9">
        <f>'Форма 2'!I1052</f>
        <v>1790774.62</v>
      </c>
      <c r="K279" s="9">
        <v>0</v>
      </c>
      <c r="L279" s="9">
        <v>0</v>
      </c>
      <c r="M279" s="9">
        <v>0</v>
      </c>
      <c r="N279" s="35">
        <f>J279-K279-L279-M279-O279</f>
        <v>1753334.49</v>
      </c>
      <c r="O279" s="9">
        <v>37440.129999999997</v>
      </c>
      <c r="P279" s="9">
        <f>J279/H279</f>
        <v>2781.14</v>
      </c>
      <c r="Q279" s="9">
        <f>'Форма 2'!K1052</f>
        <v>7493</v>
      </c>
      <c r="R279" s="16">
        <v>2020</v>
      </c>
      <c r="S279" s="168">
        <v>1</v>
      </c>
    </row>
    <row r="280" spans="1:19" s="71" customFormat="1" ht="15.75" customHeight="1" x14ac:dyDescent="0.25">
      <c r="A280" s="242">
        <v>3</v>
      </c>
      <c r="B280" s="242">
        <v>4976</v>
      </c>
      <c r="C280" s="231" t="s">
        <v>508</v>
      </c>
      <c r="D280" s="34">
        <v>1971</v>
      </c>
      <c r="E280" s="34" t="s">
        <v>112</v>
      </c>
      <c r="F280" s="34" t="s">
        <v>81</v>
      </c>
      <c r="G280" s="35">
        <v>780.9</v>
      </c>
      <c r="H280" s="140">
        <v>719.4</v>
      </c>
      <c r="I280" s="141">
        <v>17</v>
      </c>
      <c r="J280" s="35">
        <f>'Форма 2'!I1057</f>
        <v>186171.85</v>
      </c>
      <c r="K280" s="35">
        <v>0</v>
      </c>
      <c r="L280" s="35">
        <v>0</v>
      </c>
      <c r="M280" s="35">
        <v>0</v>
      </c>
      <c r="N280" s="35">
        <f t="shared" ref="N280:N281" si="100">J280-K280-L280-M280-O280</f>
        <v>181418.38</v>
      </c>
      <c r="O280" s="35">
        <v>4753.47</v>
      </c>
      <c r="P280" s="9">
        <f t="shared" ref="P280:P281" si="101">J280/H280</f>
        <v>258.79000000000002</v>
      </c>
      <c r="Q280" s="9">
        <f>'Форма 2'!K1057</f>
        <v>349</v>
      </c>
      <c r="R280" s="16">
        <v>2020</v>
      </c>
      <c r="S280" s="168">
        <v>1</v>
      </c>
    </row>
    <row r="281" spans="1:19" s="71" customFormat="1" ht="15.75" customHeight="1" x14ac:dyDescent="0.25">
      <c r="A281" s="242">
        <v>4</v>
      </c>
      <c r="B281" s="242">
        <v>4978</v>
      </c>
      <c r="C281" s="231" t="s">
        <v>511</v>
      </c>
      <c r="D281" s="34">
        <v>1974</v>
      </c>
      <c r="E281" s="34" t="s">
        <v>112</v>
      </c>
      <c r="F281" s="34" t="s">
        <v>81</v>
      </c>
      <c r="G281" s="35">
        <v>571.20000000000005</v>
      </c>
      <c r="H281" s="140">
        <v>514.20000000000005</v>
      </c>
      <c r="I281" s="141">
        <v>13</v>
      </c>
      <c r="J281" s="35">
        <f>'Форма 2'!I1060</f>
        <v>174392.6</v>
      </c>
      <c r="K281" s="35">
        <v>0</v>
      </c>
      <c r="L281" s="35">
        <v>0</v>
      </c>
      <c r="M281" s="35">
        <v>0</v>
      </c>
      <c r="N281" s="35">
        <f t="shared" si="100"/>
        <v>169935.32</v>
      </c>
      <c r="O281" s="35">
        <v>4457.28</v>
      </c>
      <c r="P281" s="9">
        <f t="shared" si="101"/>
        <v>339.15</v>
      </c>
      <c r="Q281" s="9">
        <f>'Форма 2'!K1060</f>
        <v>464</v>
      </c>
      <c r="R281" s="16">
        <v>2020</v>
      </c>
      <c r="S281" s="168">
        <v>1</v>
      </c>
    </row>
    <row r="282" spans="1:19" s="71" customFormat="1" ht="15.75" customHeight="1" x14ac:dyDescent="0.25">
      <c r="A282" s="304" t="s">
        <v>51</v>
      </c>
      <c r="B282" s="305"/>
      <c r="C282" s="306"/>
      <c r="D282" s="10" t="s">
        <v>13</v>
      </c>
      <c r="E282" s="9" t="s">
        <v>13</v>
      </c>
      <c r="F282" s="9" t="s">
        <v>13</v>
      </c>
      <c r="G282" s="9">
        <f>SUM(G283:G287)</f>
        <v>2217.6999999999998</v>
      </c>
      <c r="H282" s="9">
        <f t="shared" ref="H282:O282" si="102">SUM(H283:H287)</f>
        <v>1810.3</v>
      </c>
      <c r="I282" s="11">
        <f t="shared" si="102"/>
        <v>56</v>
      </c>
      <c r="J282" s="9">
        <f t="shared" si="102"/>
        <v>7561272.21</v>
      </c>
      <c r="K282" s="9">
        <f t="shared" si="102"/>
        <v>0</v>
      </c>
      <c r="L282" s="9">
        <f t="shared" si="102"/>
        <v>0</v>
      </c>
      <c r="M282" s="9">
        <f t="shared" si="102"/>
        <v>0</v>
      </c>
      <c r="N282" s="9">
        <f t="shared" si="102"/>
        <v>7475793.4699999997</v>
      </c>
      <c r="O282" s="9">
        <f t="shared" si="102"/>
        <v>85478.74</v>
      </c>
      <c r="P282" s="9" t="s">
        <v>13</v>
      </c>
      <c r="Q282" s="9" t="s">
        <v>13</v>
      </c>
      <c r="R282" s="9" t="s">
        <v>13</v>
      </c>
      <c r="S282" s="15" t="s">
        <v>13</v>
      </c>
    </row>
    <row r="283" spans="1:19" s="71" customFormat="1" ht="15.75" customHeight="1" x14ac:dyDescent="0.25">
      <c r="A283" s="40">
        <v>1</v>
      </c>
      <c r="B283" s="40">
        <v>7422</v>
      </c>
      <c r="C283" s="234" t="s">
        <v>332</v>
      </c>
      <c r="D283" s="34">
        <v>1976</v>
      </c>
      <c r="E283" s="33" t="s">
        <v>68</v>
      </c>
      <c r="F283" s="33" t="s">
        <v>81</v>
      </c>
      <c r="G283" s="35">
        <v>363.7</v>
      </c>
      <c r="H283" s="9">
        <v>358.5</v>
      </c>
      <c r="I283" s="39">
        <v>16</v>
      </c>
      <c r="J283" s="9">
        <f>'Форма 2'!I1064</f>
        <v>47287.8</v>
      </c>
      <c r="K283" s="9">
        <v>0</v>
      </c>
      <c r="L283" s="9">
        <v>0</v>
      </c>
      <c r="M283" s="9">
        <v>0</v>
      </c>
      <c r="N283" s="9">
        <f>J283-K283-L283-M283-O283</f>
        <v>46348.29</v>
      </c>
      <c r="O283" s="9">
        <v>939.51</v>
      </c>
      <c r="P283" s="9">
        <f>J283/H283</f>
        <v>131.9</v>
      </c>
      <c r="Q283" s="9">
        <f>'Форма 2'!K1064</f>
        <v>247</v>
      </c>
      <c r="R283" s="16">
        <v>2020</v>
      </c>
      <c r="S283" s="15">
        <v>1</v>
      </c>
    </row>
    <row r="284" spans="1:19" s="71" customFormat="1" ht="15.75" customHeight="1" x14ac:dyDescent="0.25">
      <c r="A284" s="33">
        <f>A283+1</f>
        <v>2</v>
      </c>
      <c r="B284" s="242">
        <v>7433</v>
      </c>
      <c r="C284" s="234" t="s">
        <v>331</v>
      </c>
      <c r="D284" s="33">
        <v>1969</v>
      </c>
      <c r="E284" s="34" t="s">
        <v>275</v>
      </c>
      <c r="F284" s="34" t="s">
        <v>381</v>
      </c>
      <c r="G284" s="35">
        <v>460</v>
      </c>
      <c r="H284" s="35">
        <v>358.9</v>
      </c>
      <c r="I284" s="39">
        <v>10</v>
      </c>
      <c r="J284" s="9">
        <f>'Форма 2'!I1066</f>
        <v>214395.99</v>
      </c>
      <c r="K284" s="9">
        <v>0</v>
      </c>
      <c r="L284" s="9">
        <v>0</v>
      </c>
      <c r="M284" s="9">
        <v>0</v>
      </c>
      <c r="N284" s="9">
        <f>J284-K284-L284-M284-O284</f>
        <v>210515.73</v>
      </c>
      <c r="O284" s="9">
        <v>3880.26</v>
      </c>
      <c r="P284" s="9">
        <f>J284/H284</f>
        <v>597.37</v>
      </c>
      <c r="Q284" s="9">
        <f>'Форма 2'!K1066</f>
        <v>1019</v>
      </c>
      <c r="R284" s="37">
        <v>2020</v>
      </c>
      <c r="S284" s="15">
        <v>1</v>
      </c>
    </row>
    <row r="285" spans="1:19" s="71" customFormat="1" ht="15.75" customHeight="1" x14ac:dyDescent="0.25">
      <c r="A285" s="33">
        <f t="shared" ref="A285:A287" si="103">A284+1</f>
        <v>3</v>
      </c>
      <c r="B285" s="242">
        <v>7436</v>
      </c>
      <c r="C285" s="234" t="s">
        <v>272</v>
      </c>
      <c r="D285" s="33">
        <v>1969</v>
      </c>
      <c r="E285" s="34" t="s">
        <v>68</v>
      </c>
      <c r="F285" s="34" t="s">
        <v>381</v>
      </c>
      <c r="G285" s="35">
        <v>467</v>
      </c>
      <c r="H285" s="35">
        <v>360</v>
      </c>
      <c r="I285" s="39">
        <v>10</v>
      </c>
      <c r="J285" s="9">
        <f>'Форма 2'!I1071</f>
        <v>2445227.92</v>
      </c>
      <c r="K285" s="9">
        <v>0</v>
      </c>
      <c r="L285" s="9">
        <v>0</v>
      </c>
      <c r="M285" s="9">
        <v>0</v>
      </c>
      <c r="N285" s="9">
        <f>J285-K285-L285-M285-O285</f>
        <v>2417997.7999999998</v>
      </c>
      <c r="O285" s="9">
        <v>27230.12</v>
      </c>
      <c r="P285" s="9">
        <f>J285/H285</f>
        <v>6792.3</v>
      </c>
      <c r="Q285" s="9">
        <f>'Форма 2'!K1071</f>
        <v>7688</v>
      </c>
      <c r="R285" s="37">
        <v>2020</v>
      </c>
      <c r="S285" s="15">
        <v>1</v>
      </c>
    </row>
    <row r="286" spans="1:19" s="71" customFormat="1" ht="15.75" customHeight="1" x14ac:dyDescent="0.25">
      <c r="A286" s="33">
        <f t="shared" si="103"/>
        <v>4</v>
      </c>
      <c r="B286" s="242">
        <v>7437</v>
      </c>
      <c r="C286" s="234" t="s">
        <v>273</v>
      </c>
      <c r="D286" s="33">
        <v>1969</v>
      </c>
      <c r="E286" s="34" t="s">
        <v>68</v>
      </c>
      <c r="F286" s="34" t="s">
        <v>381</v>
      </c>
      <c r="G286" s="35">
        <v>465</v>
      </c>
      <c r="H286" s="35">
        <v>367.7</v>
      </c>
      <c r="I286" s="39">
        <v>10</v>
      </c>
      <c r="J286" s="9">
        <f>'Форма 2'!I1074</f>
        <v>2455303.73</v>
      </c>
      <c r="K286" s="9">
        <v>0</v>
      </c>
      <c r="L286" s="9">
        <v>0</v>
      </c>
      <c r="M286" s="9">
        <v>0</v>
      </c>
      <c r="N286" s="9">
        <f>J286-K286-L286-M286-O286</f>
        <v>2428401.44</v>
      </c>
      <c r="O286" s="9">
        <v>26902.29</v>
      </c>
      <c r="P286" s="9">
        <f>J286/H286</f>
        <v>6677.46</v>
      </c>
      <c r="Q286" s="9">
        <f>'Форма 2'!K1074</f>
        <v>7688</v>
      </c>
      <c r="R286" s="37">
        <v>2020</v>
      </c>
      <c r="S286" s="15">
        <v>1</v>
      </c>
    </row>
    <row r="287" spans="1:19" s="71" customFormat="1" ht="15.75" customHeight="1" x14ac:dyDescent="0.25">
      <c r="A287" s="33">
        <f t="shared" si="103"/>
        <v>5</v>
      </c>
      <c r="B287" s="242">
        <v>7438</v>
      </c>
      <c r="C287" s="234" t="s">
        <v>274</v>
      </c>
      <c r="D287" s="33">
        <v>1969</v>
      </c>
      <c r="E287" s="34" t="s">
        <v>68</v>
      </c>
      <c r="F287" s="34" t="s">
        <v>381</v>
      </c>
      <c r="G287" s="35">
        <v>462</v>
      </c>
      <c r="H287" s="35">
        <v>365.2</v>
      </c>
      <c r="I287" s="39">
        <v>10</v>
      </c>
      <c r="J287" s="9">
        <f>'Форма 2'!I1077</f>
        <v>2399056.77</v>
      </c>
      <c r="K287" s="9">
        <v>0</v>
      </c>
      <c r="L287" s="9">
        <v>0</v>
      </c>
      <c r="M287" s="9">
        <v>0</v>
      </c>
      <c r="N287" s="9">
        <f>J287-K287-L287-M287-O287</f>
        <v>2372530.21</v>
      </c>
      <c r="O287" s="9">
        <v>26526.560000000001</v>
      </c>
      <c r="P287" s="9">
        <f>J287/H287</f>
        <v>6569.16</v>
      </c>
      <c r="Q287" s="9">
        <f>'Форма 2'!K1077</f>
        <v>7688</v>
      </c>
      <c r="R287" s="37">
        <v>2020</v>
      </c>
      <c r="S287" s="15">
        <v>1</v>
      </c>
    </row>
    <row r="288" spans="1:19" s="71" customFormat="1" ht="15.75" customHeight="1" x14ac:dyDescent="0.25">
      <c r="A288" s="279" t="s">
        <v>49</v>
      </c>
      <c r="B288" s="279"/>
      <c r="C288" s="279"/>
      <c r="D288" s="10" t="s">
        <v>13</v>
      </c>
      <c r="E288" s="9" t="s">
        <v>13</v>
      </c>
      <c r="F288" s="9" t="s">
        <v>13</v>
      </c>
      <c r="G288" s="9">
        <f t="shared" ref="G288:O288" si="104">SUM(G289:G300)</f>
        <v>19581.88</v>
      </c>
      <c r="H288" s="9">
        <f t="shared" si="104"/>
        <v>17332.03</v>
      </c>
      <c r="I288" s="11">
        <f t="shared" si="104"/>
        <v>754</v>
      </c>
      <c r="J288" s="9">
        <f t="shared" si="104"/>
        <v>24731084.98</v>
      </c>
      <c r="K288" s="9">
        <f t="shared" si="104"/>
        <v>0</v>
      </c>
      <c r="L288" s="9">
        <f t="shared" si="104"/>
        <v>0</v>
      </c>
      <c r="M288" s="9">
        <f t="shared" si="104"/>
        <v>0</v>
      </c>
      <c r="N288" s="9">
        <f t="shared" si="104"/>
        <v>23801943.699999999</v>
      </c>
      <c r="O288" s="9">
        <f t="shared" si="104"/>
        <v>929141.28</v>
      </c>
      <c r="P288" s="9" t="s">
        <v>13</v>
      </c>
      <c r="Q288" s="9" t="s">
        <v>13</v>
      </c>
      <c r="R288" s="9" t="s">
        <v>13</v>
      </c>
      <c r="S288" s="15" t="s">
        <v>13</v>
      </c>
    </row>
    <row r="289" spans="1:19" s="71" customFormat="1" ht="15.75" customHeight="1" x14ac:dyDescent="0.25">
      <c r="A289" s="34">
        <v>1</v>
      </c>
      <c r="B289" s="251">
        <v>6886</v>
      </c>
      <c r="C289" s="234" t="s">
        <v>303</v>
      </c>
      <c r="D289" s="33">
        <v>1990</v>
      </c>
      <c r="E289" s="34" t="s">
        <v>68</v>
      </c>
      <c r="F289" s="34" t="s">
        <v>82</v>
      </c>
      <c r="G289" s="35">
        <v>4598.5</v>
      </c>
      <c r="H289" s="9">
        <v>4223.5</v>
      </c>
      <c r="I289" s="39">
        <v>181</v>
      </c>
      <c r="J289" s="9">
        <f>'Форма 2'!I1081</f>
        <v>9721378.1600000001</v>
      </c>
      <c r="K289" s="36">
        <v>0</v>
      </c>
      <c r="L289" s="9">
        <v>0</v>
      </c>
      <c r="M289" s="9">
        <v>0</v>
      </c>
      <c r="N289" s="9">
        <f>J289-O289</f>
        <v>9365885.3200000003</v>
      </c>
      <c r="O289" s="9">
        <v>355492.84</v>
      </c>
      <c r="P289" s="9">
        <f>J289/H289</f>
        <v>2301.7399999999998</v>
      </c>
      <c r="Q289" s="9">
        <f>'Форма 2'!K1081</f>
        <v>3878</v>
      </c>
      <c r="R289" s="20">
        <v>2020</v>
      </c>
      <c r="S289" s="15">
        <v>1</v>
      </c>
    </row>
    <row r="290" spans="1:19" s="71" customFormat="1" ht="21.75" customHeight="1" x14ac:dyDescent="0.25">
      <c r="A290" s="40">
        <f>A289+1</f>
        <v>2</v>
      </c>
      <c r="B290" s="261">
        <v>6887</v>
      </c>
      <c r="C290" s="234" t="s">
        <v>307</v>
      </c>
      <c r="D290" s="34">
        <v>1995</v>
      </c>
      <c r="E290" s="40" t="s">
        <v>68</v>
      </c>
      <c r="F290" s="40" t="s">
        <v>82</v>
      </c>
      <c r="G290" s="48">
        <v>1641</v>
      </c>
      <c r="H290" s="22">
        <v>1423</v>
      </c>
      <c r="I290" s="57">
        <v>49</v>
      </c>
      <c r="J290" s="22">
        <f>'Форма 2'!I1084</f>
        <v>4322587.2300000004</v>
      </c>
      <c r="K290" s="265">
        <v>0</v>
      </c>
      <c r="L290" s="22">
        <v>0</v>
      </c>
      <c r="M290" s="22">
        <v>0</v>
      </c>
      <c r="N290" s="22">
        <f>J290-O290</f>
        <v>4165809.98</v>
      </c>
      <c r="O290" s="22">
        <v>156777.25</v>
      </c>
      <c r="P290" s="22">
        <f t="shared" ref="P290" si="105">J290/H290</f>
        <v>3037.66</v>
      </c>
      <c r="Q290" s="22">
        <f>'Форма 2'!K1084</f>
        <v>3878</v>
      </c>
      <c r="R290" s="7">
        <v>2020</v>
      </c>
      <c r="S290" s="168">
        <v>1</v>
      </c>
    </row>
    <row r="291" spans="1:19" s="71" customFormat="1" ht="15.75" customHeight="1" x14ac:dyDescent="0.25">
      <c r="A291" s="40">
        <f>A290+1</f>
        <v>3</v>
      </c>
      <c r="B291" s="40">
        <v>6966</v>
      </c>
      <c r="C291" s="234" t="s">
        <v>308</v>
      </c>
      <c r="D291" s="34">
        <v>1953</v>
      </c>
      <c r="E291" s="34" t="s">
        <v>93</v>
      </c>
      <c r="F291" s="34" t="s">
        <v>81</v>
      </c>
      <c r="G291" s="35">
        <v>414.9</v>
      </c>
      <c r="H291" s="9">
        <v>376.1</v>
      </c>
      <c r="I291" s="39">
        <v>15</v>
      </c>
      <c r="J291" s="9">
        <f>'Форма 2'!I1087</f>
        <v>78599.899999999994</v>
      </c>
      <c r="K291" s="9">
        <v>0</v>
      </c>
      <c r="L291" s="9">
        <v>0</v>
      </c>
      <c r="M291" s="9">
        <v>0</v>
      </c>
      <c r="N291" s="9">
        <f t="shared" ref="N291:N295" si="106">J291-K291-L291-M291-O291</f>
        <v>75641.48</v>
      </c>
      <c r="O291" s="9">
        <v>2958.42</v>
      </c>
      <c r="P291" s="9">
        <f t="shared" ref="P291:P295" si="107">J291/H291</f>
        <v>208.99</v>
      </c>
      <c r="Q291" s="9">
        <f>'Форма 2'!K1087</f>
        <v>220</v>
      </c>
      <c r="R291" s="20">
        <v>2020</v>
      </c>
      <c r="S291" s="15">
        <v>1</v>
      </c>
    </row>
    <row r="292" spans="1:19" s="71" customFormat="1" ht="15.75" customHeight="1" x14ac:dyDescent="0.25">
      <c r="A292" s="40">
        <f t="shared" ref="A292" si="108">A291+1</f>
        <v>4</v>
      </c>
      <c r="B292" s="261">
        <v>6968</v>
      </c>
      <c r="C292" s="234" t="s">
        <v>309</v>
      </c>
      <c r="D292" s="34">
        <v>1955</v>
      </c>
      <c r="E292" s="34" t="s">
        <v>93</v>
      </c>
      <c r="F292" s="34" t="s">
        <v>81</v>
      </c>
      <c r="G292" s="35">
        <v>432.5</v>
      </c>
      <c r="H292" s="9">
        <v>393.8</v>
      </c>
      <c r="I292" s="39">
        <v>16</v>
      </c>
      <c r="J292" s="9">
        <f>'Форма 2'!I1091</f>
        <v>81334.2</v>
      </c>
      <c r="K292" s="9">
        <v>0</v>
      </c>
      <c r="L292" s="9">
        <v>0</v>
      </c>
      <c r="M292" s="9">
        <v>0</v>
      </c>
      <c r="N292" s="9">
        <f t="shared" si="106"/>
        <v>78236.55</v>
      </c>
      <c r="O292" s="9">
        <v>3097.65</v>
      </c>
      <c r="P292" s="9">
        <f t="shared" si="107"/>
        <v>206.54</v>
      </c>
      <c r="Q292" s="9">
        <f>'Форма 2'!K1091</f>
        <v>220</v>
      </c>
      <c r="R292" s="20">
        <v>2020</v>
      </c>
      <c r="S292" s="15">
        <v>1</v>
      </c>
    </row>
    <row r="293" spans="1:19" s="71" customFormat="1" ht="15.75" customHeight="1" x14ac:dyDescent="0.25">
      <c r="A293" s="40">
        <f>A292+1</f>
        <v>5</v>
      </c>
      <c r="B293" s="261">
        <v>6979</v>
      </c>
      <c r="C293" s="61" t="s">
        <v>312</v>
      </c>
      <c r="D293" s="34">
        <v>1960</v>
      </c>
      <c r="E293" s="34" t="s">
        <v>93</v>
      </c>
      <c r="F293" s="34" t="s">
        <v>81</v>
      </c>
      <c r="G293" s="35">
        <v>370.3</v>
      </c>
      <c r="H293" s="9">
        <v>340.5</v>
      </c>
      <c r="I293" s="39">
        <v>13</v>
      </c>
      <c r="J293" s="9">
        <f>'Форма 2'!I1095</f>
        <v>72939.5</v>
      </c>
      <c r="K293" s="36">
        <v>0</v>
      </c>
      <c r="L293" s="9">
        <v>0</v>
      </c>
      <c r="M293" s="9">
        <v>0</v>
      </c>
      <c r="N293" s="9">
        <f t="shared" si="106"/>
        <v>70261.11</v>
      </c>
      <c r="O293" s="62">
        <v>2678.39</v>
      </c>
      <c r="P293" s="9">
        <f t="shared" si="107"/>
        <v>214.21</v>
      </c>
      <c r="Q293" s="9">
        <f>'Форма 2'!K1095</f>
        <v>220</v>
      </c>
      <c r="R293" s="20">
        <v>2020</v>
      </c>
      <c r="S293" s="168">
        <v>1</v>
      </c>
    </row>
    <row r="294" spans="1:19" s="71" customFormat="1" ht="15.75" customHeight="1" x14ac:dyDescent="0.25">
      <c r="A294" s="40">
        <f>A293+1</f>
        <v>6</v>
      </c>
      <c r="B294" s="261">
        <v>6986</v>
      </c>
      <c r="C294" s="61" t="s">
        <v>317</v>
      </c>
      <c r="D294" s="34">
        <v>1955</v>
      </c>
      <c r="E294" s="34" t="s">
        <v>93</v>
      </c>
      <c r="F294" s="34" t="s">
        <v>81</v>
      </c>
      <c r="G294" s="35">
        <v>438.08</v>
      </c>
      <c r="H294" s="9">
        <v>399.28</v>
      </c>
      <c r="I294" s="39">
        <v>16</v>
      </c>
      <c r="J294" s="9">
        <f>'Форма 2'!I1099</f>
        <v>82045.52</v>
      </c>
      <c r="K294" s="36">
        <v>0</v>
      </c>
      <c r="L294" s="9">
        <v>0</v>
      </c>
      <c r="M294" s="9">
        <v>0</v>
      </c>
      <c r="N294" s="9">
        <f t="shared" si="106"/>
        <v>78904.77</v>
      </c>
      <c r="O294" s="9">
        <v>3140.75</v>
      </c>
      <c r="P294" s="9">
        <f t="shared" si="107"/>
        <v>205.48</v>
      </c>
      <c r="Q294" s="9">
        <f>'Форма 2'!K1099</f>
        <v>220</v>
      </c>
      <c r="R294" s="20">
        <v>2020</v>
      </c>
      <c r="S294" s="15">
        <v>1</v>
      </c>
    </row>
    <row r="295" spans="1:19" s="71" customFormat="1" ht="15.75" customHeight="1" x14ac:dyDescent="0.25">
      <c r="A295" s="40">
        <f>A294+1</f>
        <v>7</v>
      </c>
      <c r="B295" s="40">
        <v>6988</v>
      </c>
      <c r="C295" s="61" t="s">
        <v>318</v>
      </c>
      <c r="D295" s="34">
        <v>1962</v>
      </c>
      <c r="E295" s="34" t="s">
        <v>93</v>
      </c>
      <c r="F295" s="242" t="s">
        <v>81</v>
      </c>
      <c r="G295" s="35">
        <v>695.93</v>
      </c>
      <c r="H295" s="9">
        <v>637.92999999999995</v>
      </c>
      <c r="I295" s="39">
        <v>25</v>
      </c>
      <c r="J295" s="9">
        <f>'Форма 2'!I1103</f>
        <v>125270.86</v>
      </c>
      <c r="K295" s="36">
        <v>0</v>
      </c>
      <c r="L295" s="36">
        <v>0</v>
      </c>
      <c r="M295" s="36">
        <v>0</v>
      </c>
      <c r="N295" s="36">
        <f t="shared" si="106"/>
        <v>120252.88</v>
      </c>
      <c r="O295" s="9">
        <v>5017.9799999999996</v>
      </c>
      <c r="P295" s="9">
        <f t="shared" si="107"/>
        <v>196.37</v>
      </c>
      <c r="Q295" s="9">
        <f>'Форма 2'!K1103</f>
        <v>220</v>
      </c>
      <c r="R295" s="20">
        <v>2020</v>
      </c>
      <c r="S295" s="168">
        <v>1</v>
      </c>
    </row>
    <row r="296" spans="1:19" s="71" customFormat="1" ht="15.75" customHeight="1" x14ac:dyDescent="0.25">
      <c r="A296" s="40">
        <f t="shared" ref="A296:A300" si="109">A295+1</f>
        <v>8</v>
      </c>
      <c r="B296" s="251">
        <v>6932</v>
      </c>
      <c r="C296" s="234" t="s">
        <v>161</v>
      </c>
      <c r="D296" s="33">
        <v>1970</v>
      </c>
      <c r="E296" s="34" t="s">
        <v>68</v>
      </c>
      <c r="F296" s="34" t="s">
        <v>82</v>
      </c>
      <c r="G296" s="35">
        <v>4579.8999999999996</v>
      </c>
      <c r="H296" s="9">
        <v>3583.3</v>
      </c>
      <c r="I296" s="39">
        <v>203</v>
      </c>
      <c r="J296" s="9">
        <f>'Форма 2'!I1107</f>
        <v>9542092.5</v>
      </c>
      <c r="K296" s="36">
        <v>0</v>
      </c>
      <c r="L296" s="9">
        <v>0</v>
      </c>
      <c r="M296" s="9">
        <v>0</v>
      </c>
      <c r="N296" s="9">
        <f>J296-O296</f>
        <v>9183173.6799999997</v>
      </c>
      <c r="O296" s="9">
        <v>358918.82</v>
      </c>
      <c r="P296" s="9">
        <f>J296/H296</f>
        <v>2662.93</v>
      </c>
      <c r="Q296" s="9">
        <f>'Форма 2'!K1107</f>
        <v>3878</v>
      </c>
      <c r="R296" s="20">
        <v>2020</v>
      </c>
      <c r="S296" s="15">
        <v>1</v>
      </c>
    </row>
    <row r="297" spans="1:19" s="71" customFormat="1" ht="15.75" customHeight="1" x14ac:dyDescent="0.25">
      <c r="A297" s="40">
        <f t="shared" si="109"/>
        <v>9</v>
      </c>
      <c r="B297" s="248">
        <v>7076</v>
      </c>
      <c r="C297" s="61" t="s">
        <v>325</v>
      </c>
      <c r="D297" s="242">
        <v>1957</v>
      </c>
      <c r="E297" s="33" t="s">
        <v>158</v>
      </c>
      <c r="F297" s="34" t="s">
        <v>81</v>
      </c>
      <c r="G297" s="35">
        <v>390.72</v>
      </c>
      <c r="H297" s="9">
        <v>339.62</v>
      </c>
      <c r="I297" s="39">
        <v>14</v>
      </c>
      <c r="J297" s="9">
        <f>'Форма 2'!I1110</f>
        <v>56527.94</v>
      </c>
      <c r="K297" s="9">
        <v>0</v>
      </c>
      <c r="L297" s="9">
        <v>0</v>
      </c>
      <c r="M297" s="9">
        <v>0</v>
      </c>
      <c r="N297" s="36">
        <f t="shared" ref="N297:N300" si="110">J297-K297-L297-M297-O297</f>
        <v>54354.34</v>
      </c>
      <c r="O297" s="9">
        <v>2173.6</v>
      </c>
      <c r="P297" s="9">
        <f t="shared" ref="P297:P299" si="111">J297/H297</f>
        <v>166.44</v>
      </c>
      <c r="Q297" s="9">
        <f>'Форма 2'!K1110</f>
        <v>179</v>
      </c>
      <c r="R297" s="20">
        <v>2020</v>
      </c>
      <c r="S297" s="15">
        <v>1</v>
      </c>
    </row>
    <row r="298" spans="1:19" s="71" customFormat="1" ht="15.75" customHeight="1" x14ac:dyDescent="0.25">
      <c r="A298" s="40">
        <f t="shared" si="109"/>
        <v>10</v>
      </c>
      <c r="B298" s="261">
        <v>7084</v>
      </c>
      <c r="C298" s="61" t="s">
        <v>326</v>
      </c>
      <c r="D298" s="34">
        <v>1958</v>
      </c>
      <c r="E298" s="33" t="s">
        <v>158</v>
      </c>
      <c r="F298" s="242" t="s">
        <v>81</v>
      </c>
      <c r="G298" s="35">
        <v>471.95</v>
      </c>
      <c r="H298" s="9">
        <v>460</v>
      </c>
      <c r="I298" s="39">
        <v>18</v>
      </c>
      <c r="J298" s="9">
        <f>'Форма 2'!I1113</f>
        <v>73020</v>
      </c>
      <c r="K298" s="36">
        <v>0</v>
      </c>
      <c r="L298" s="9">
        <v>0</v>
      </c>
      <c r="M298" s="9">
        <v>0</v>
      </c>
      <c r="N298" s="9">
        <f t="shared" si="110"/>
        <v>70075.960000000006</v>
      </c>
      <c r="O298" s="9">
        <v>2944.04</v>
      </c>
      <c r="P298" s="9">
        <f t="shared" si="111"/>
        <v>158.74</v>
      </c>
      <c r="Q298" s="9">
        <f>'Форма 2'!K1113</f>
        <v>179</v>
      </c>
      <c r="R298" s="20">
        <v>2020</v>
      </c>
      <c r="S298" s="168">
        <v>1</v>
      </c>
    </row>
    <row r="299" spans="1:19" s="71" customFormat="1" ht="15.75" customHeight="1" x14ac:dyDescent="0.25">
      <c r="A299" s="40">
        <f t="shared" si="109"/>
        <v>11</v>
      </c>
      <c r="B299" s="261">
        <v>6926</v>
      </c>
      <c r="C299" s="61" t="s">
        <v>327</v>
      </c>
      <c r="D299" s="34">
        <v>1965</v>
      </c>
      <c r="E299" s="34" t="s">
        <v>93</v>
      </c>
      <c r="F299" s="34" t="s">
        <v>81</v>
      </c>
      <c r="G299" s="35">
        <v>2690.4</v>
      </c>
      <c r="H299" s="9">
        <v>2499.1999999999998</v>
      </c>
      <c r="I299" s="39">
        <v>99</v>
      </c>
      <c r="J299" s="9">
        <f>'Форма 2'!I1116</f>
        <v>257393.82</v>
      </c>
      <c r="K299" s="36">
        <v>0</v>
      </c>
      <c r="L299" s="9">
        <v>0</v>
      </c>
      <c r="M299" s="9">
        <v>0</v>
      </c>
      <c r="N299" s="9">
        <f t="shared" si="110"/>
        <v>239968.97</v>
      </c>
      <c r="O299" s="62">
        <v>17424.849999999999</v>
      </c>
      <c r="P299" s="9">
        <f t="shared" si="111"/>
        <v>102.99</v>
      </c>
      <c r="Q299" s="9">
        <f>'Форма 2'!K1116</f>
        <v>195</v>
      </c>
      <c r="R299" s="20">
        <v>2020</v>
      </c>
      <c r="S299" s="168">
        <v>1</v>
      </c>
    </row>
    <row r="300" spans="1:19" s="71" customFormat="1" ht="15.75" customHeight="1" x14ac:dyDescent="0.25">
      <c r="A300" s="40">
        <f t="shared" si="109"/>
        <v>12</v>
      </c>
      <c r="B300" s="40">
        <v>6927</v>
      </c>
      <c r="C300" s="61" t="s">
        <v>328</v>
      </c>
      <c r="D300" s="34">
        <v>1967</v>
      </c>
      <c r="E300" s="34" t="s">
        <v>93</v>
      </c>
      <c r="F300" s="242" t="s">
        <v>81</v>
      </c>
      <c r="G300" s="35">
        <v>2857.7</v>
      </c>
      <c r="H300" s="9">
        <v>2655.8</v>
      </c>
      <c r="I300" s="39">
        <v>105</v>
      </c>
      <c r="J300" s="9">
        <f>'Форма 2'!I1120</f>
        <v>317895.34999999998</v>
      </c>
      <c r="K300" s="9">
        <v>0</v>
      </c>
      <c r="L300" s="9">
        <v>0</v>
      </c>
      <c r="M300" s="9">
        <v>0</v>
      </c>
      <c r="N300" s="36">
        <f t="shared" si="110"/>
        <v>299378.65999999997</v>
      </c>
      <c r="O300" s="9">
        <v>18516.689999999999</v>
      </c>
      <c r="P300" s="9">
        <f>J300/H300</f>
        <v>119.7</v>
      </c>
      <c r="Q300" s="9">
        <f>'Форма 2'!K1120</f>
        <v>195</v>
      </c>
      <c r="R300" s="20">
        <v>2020</v>
      </c>
      <c r="S300" s="168">
        <v>1</v>
      </c>
    </row>
    <row r="301" spans="1:19" s="71" customFormat="1" ht="15.75" customHeight="1" x14ac:dyDescent="0.25">
      <c r="A301" s="279" t="s">
        <v>50</v>
      </c>
      <c r="B301" s="279"/>
      <c r="C301" s="279"/>
      <c r="D301" s="10" t="s">
        <v>13</v>
      </c>
      <c r="E301" s="9" t="s">
        <v>13</v>
      </c>
      <c r="F301" s="9" t="s">
        <v>13</v>
      </c>
      <c r="G301" s="9">
        <f>SUM(G302:G305)</f>
        <v>3261.7</v>
      </c>
      <c r="H301" s="9">
        <f t="shared" ref="H301:O301" si="112">SUM(H302:H305)</f>
        <v>2966.5</v>
      </c>
      <c r="I301" s="11">
        <f t="shared" si="112"/>
        <v>117</v>
      </c>
      <c r="J301" s="9">
        <f t="shared" si="112"/>
        <v>10698159.960000001</v>
      </c>
      <c r="K301" s="9">
        <f t="shared" si="112"/>
        <v>0</v>
      </c>
      <c r="L301" s="9">
        <f t="shared" si="112"/>
        <v>0</v>
      </c>
      <c r="M301" s="9">
        <f t="shared" si="112"/>
        <v>0</v>
      </c>
      <c r="N301" s="9">
        <f t="shared" si="112"/>
        <v>10430929.140000001</v>
      </c>
      <c r="O301" s="9">
        <f t="shared" si="112"/>
        <v>267230.82</v>
      </c>
      <c r="P301" s="9" t="s">
        <v>13</v>
      </c>
      <c r="Q301" s="9" t="s">
        <v>13</v>
      </c>
      <c r="R301" s="9" t="s">
        <v>13</v>
      </c>
      <c r="S301" s="15" t="s">
        <v>13</v>
      </c>
    </row>
    <row r="302" spans="1:19" s="71" customFormat="1" ht="47.25" customHeight="1" x14ac:dyDescent="0.25">
      <c r="A302" s="34">
        <f>1</f>
        <v>1</v>
      </c>
      <c r="B302" s="40">
        <v>7247</v>
      </c>
      <c r="C302" s="234" t="s">
        <v>245</v>
      </c>
      <c r="D302" s="33">
        <v>1971</v>
      </c>
      <c r="E302" s="242" t="s">
        <v>68</v>
      </c>
      <c r="F302" s="242" t="s">
        <v>381</v>
      </c>
      <c r="G302" s="48">
        <v>1370.7</v>
      </c>
      <c r="H302" s="22">
        <v>1275.3</v>
      </c>
      <c r="I302" s="57">
        <v>52</v>
      </c>
      <c r="J302" s="22">
        <f>'Форма 2'!I1125</f>
        <v>4358223.92</v>
      </c>
      <c r="K302" s="22">
        <v>0</v>
      </c>
      <c r="L302" s="22">
        <v>0</v>
      </c>
      <c r="M302" s="22">
        <v>0</v>
      </c>
      <c r="N302" s="48">
        <f>J302-O302</f>
        <v>4251128.62</v>
      </c>
      <c r="O302" s="48">
        <v>107095.3</v>
      </c>
      <c r="P302" s="22">
        <f>J302/H302</f>
        <v>3417.41</v>
      </c>
      <c r="Q302" s="22">
        <f>'Форма 2'!K1125</f>
        <v>5144</v>
      </c>
      <c r="R302" s="264">
        <v>2020</v>
      </c>
      <c r="S302" s="15">
        <v>1</v>
      </c>
    </row>
    <row r="303" spans="1:19" ht="15.75" customHeight="1" x14ac:dyDescent="0.25">
      <c r="A303" s="40">
        <f>A302+1</f>
        <v>2</v>
      </c>
      <c r="B303" s="40">
        <v>7240</v>
      </c>
      <c r="C303" s="234" t="s">
        <v>259</v>
      </c>
      <c r="D303" s="33">
        <v>1969</v>
      </c>
      <c r="E303" s="33" t="s">
        <v>68</v>
      </c>
      <c r="F303" s="33" t="s">
        <v>381</v>
      </c>
      <c r="G303" s="35">
        <v>469.9</v>
      </c>
      <c r="H303" s="9">
        <v>412.9</v>
      </c>
      <c r="I303" s="39">
        <v>16</v>
      </c>
      <c r="J303" s="9">
        <f>'Форма 2'!I1128</f>
        <v>3135383.76</v>
      </c>
      <c r="K303" s="9">
        <v>0</v>
      </c>
      <c r="L303" s="9">
        <v>0</v>
      </c>
      <c r="M303" s="9">
        <v>0</v>
      </c>
      <c r="N303" s="9">
        <f>J303-K303-L303-M303-O303</f>
        <v>3058046.73</v>
      </c>
      <c r="O303" s="9">
        <v>77337.03</v>
      </c>
      <c r="P303" s="9">
        <f>J303/H303</f>
        <v>7593.57</v>
      </c>
      <c r="Q303" s="9">
        <f>'Форма 2'!K1128</f>
        <v>7688</v>
      </c>
      <c r="R303" s="43">
        <v>2020</v>
      </c>
      <c r="S303" s="15">
        <v>1</v>
      </c>
    </row>
    <row r="304" spans="1:19" ht="15.75" customHeight="1" x14ac:dyDescent="0.25">
      <c r="A304" s="40">
        <f>A303+1</f>
        <v>3</v>
      </c>
      <c r="B304" s="40">
        <v>7241</v>
      </c>
      <c r="C304" s="234" t="s">
        <v>260</v>
      </c>
      <c r="D304" s="33">
        <v>1969</v>
      </c>
      <c r="E304" s="33" t="s">
        <v>68</v>
      </c>
      <c r="F304" s="33" t="s">
        <v>381</v>
      </c>
      <c r="G304" s="35">
        <v>471.3</v>
      </c>
      <c r="H304" s="9">
        <v>414.3</v>
      </c>
      <c r="I304" s="39">
        <v>16</v>
      </c>
      <c r="J304" s="9">
        <f>'Форма 2'!I1131</f>
        <v>3090991.08</v>
      </c>
      <c r="K304" s="9">
        <v>0</v>
      </c>
      <c r="L304" s="9">
        <v>0</v>
      </c>
      <c r="M304" s="9">
        <v>0</v>
      </c>
      <c r="N304" s="9">
        <f>J304-K304-L304-M304-O304</f>
        <v>3013391.83</v>
      </c>
      <c r="O304" s="9">
        <v>77599.25</v>
      </c>
      <c r="P304" s="9">
        <f>J304/H304</f>
        <v>7460.76</v>
      </c>
      <c r="Q304" s="9">
        <f>'Форма 2'!K1131</f>
        <v>7688</v>
      </c>
      <c r="R304" s="43">
        <v>2020</v>
      </c>
      <c r="S304" s="15">
        <v>1</v>
      </c>
    </row>
    <row r="305" spans="1:19" ht="15.75" customHeight="1" x14ac:dyDescent="0.25">
      <c r="A305" s="40">
        <f>A304+1</f>
        <v>4</v>
      </c>
      <c r="B305" s="40">
        <v>7170</v>
      </c>
      <c r="C305" s="234" t="s">
        <v>301</v>
      </c>
      <c r="D305" s="33">
        <v>1970</v>
      </c>
      <c r="E305" s="33" t="s">
        <v>68</v>
      </c>
      <c r="F305" s="33" t="s">
        <v>81</v>
      </c>
      <c r="G305" s="35">
        <v>949.8</v>
      </c>
      <c r="H305" s="9">
        <v>864</v>
      </c>
      <c r="I305" s="39">
        <v>33</v>
      </c>
      <c r="J305" s="9">
        <f>'Форма 2'!I1134</f>
        <v>113561.2</v>
      </c>
      <c r="K305" s="9">
        <v>0</v>
      </c>
      <c r="L305" s="9">
        <v>0</v>
      </c>
      <c r="M305" s="9">
        <v>0</v>
      </c>
      <c r="N305" s="9">
        <f>J305-K305-L305-M305-O305</f>
        <v>108361.96</v>
      </c>
      <c r="O305" s="9">
        <v>5199.24</v>
      </c>
      <c r="P305" s="9">
        <f>J305/H305</f>
        <v>131.44</v>
      </c>
      <c r="Q305" s="9">
        <f>'Форма 2'!K1134</f>
        <v>247</v>
      </c>
      <c r="R305" s="43">
        <v>2020</v>
      </c>
      <c r="S305" s="15">
        <v>1</v>
      </c>
    </row>
    <row r="306" spans="1:19" s="71" customFormat="1" ht="15.75" customHeight="1" x14ac:dyDescent="0.25">
      <c r="A306" s="8" t="s">
        <v>282</v>
      </c>
      <c r="B306" s="7"/>
      <c r="C306" s="9"/>
      <c r="D306" s="10"/>
      <c r="E306" s="9"/>
      <c r="F306" s="9"/>
      <c r="G306" s="9"/>
      <c r="H306" s="9"/>
      <c r="I306" s="11"/>
      <c r="J306" s="9"/>
      <c r="K306" s="9"/>
      <c r="L306" s="9"/>
      <c r="M306" s="9"/>
      <c r="N306" s="9"/>
      <c r="O306" s="9"/>
      <c r="P306" s="9"/>
      <c r="Q306" s="9"/>
      <c r="R306" s="9"/>
      <c r="S306" s="15"/>
    </row>
    <row r="307" spans="1:19" s="71" customFormat="1" ht="15.75" customHeight="1" x14ac:dyDescent="0.25">
      <c r="A307" s="300" t="s">
        <v>46</v>
      </c>
      <c r="B307" s="300"/>
      <c r="C307" s="300"/>
      <c r="D307" s="10" t="s">
        <v>13</v>
      </c>
      <c r="E307" s="9" t="s">
        <v>13</v>
      </c>
      <c r="F307" s="9" t="s">
        <v>13</v>
      </c>
      <c r="G307" s="9">
        <f t="shared" ref="G307:O307" si="113">G308+G311+G328+G331+G334+G385+G407+G562+G566+G573+G578+G610+G614+G618+G622+G628+G656+G658</f>
        <v>1439656.25</v>
      </c>
      <c r="H307" s="9">
        <f t="shared" si="113"/>
        <v>1202982.73</v>
      </c>
      <c r="I307" s="11">
        <f t="shared" si="113"/>
        <v>44734</v>
      </c>
      <c r="J307" s="9">
        <f t="shared" si="113"/>
        <v>1219069024.71</v>
      </c>
      <c r="K307" s="9">
        <f t="shared" si="113"/>
        <v>0</v>
      </c>
      <c r="L307" s="9">
        <f t="shared" si="113"/>
        <v>0</v>
      </c>
      <c r="M307" s="9">
        <f t="shared" si="113"/>
        <v>0</v>
      </c>
      <c r="N307" s="9">
        <f t="shared" si="113"/>
        <v>1198022876.1199999</v>
      </c>
      <c r="O307" s="9">
        <f t="shared" si="113"/>
        <v>21046148.59</v>
      </c>
      <c r="P307" s="9" t="s">
        <v>13</v>
      </c>
      <c r="Q307" s="9" t="s">
        <v>13</v>
      </c>
      <c r="R307" s="9" t="s">
        <v>13</v>
      </c>
      <c r="S307" s="15" t="s">
        <v>13</v>
      </c>
    </row>
    <row r="308" spans="1:19" s="71" customFormat="1" ht="15.75" customHeight="1" x14ac:dyDescent="0.25">
      <c r="A308" s="235" t="s">
        <v>16</v>
      </c>
      <c r="B308" s="7"/>
      <c r="C308" s="235"/>
      <c r="D308" s="10" t="s">
        <v>13</v>
      </c>
      <c r="E308" s="9" t="s">
        <v>13</v>
      </c>
      <c r="F308" s="9" t="s">
        <v>13</v>
      </c>
      <c r="G308" s="9">
        <f t="shared" ref="G308:O308" si="114">SUM(G309:G310)</f>
        <v>691</v>
      </c>
      <c r="H308" s="9">
        <f t="shared" si="114"/>
        <v>561.79999999999995</v>
      </c>
      <c r="I308" s="11">
        <f t="shared" si="114"/>
        <v>26</v>
      </c>
      <c r="J308" s="9">
        <f t="shared" si="114"/>
        <v>145506.20000000001</v>
      </c>
      <c r="K308" s="9">
        <f t="shared" si="114"/>
        <v>0</v>
      </c>
      <c r="L308" s="9">
        <f t="shared" si="114"/>
        <v>0</v>
      </c>
      <c r="M308" s="9">
        <f t="shared" si="114"/>
        <v>0</v>
      </c>
      <c r="N308" s="9">
        <f t="shared" si="114"/>
        <v>82596.5</v>
      </c>
      <c r="O308" s="9">
        <f t="shared" si="114"/>
        <v>62909.7</v>
      </c>
      <c r="P308" s="9" t="s">
        <v>13</v>
      </c>
      <c r="Q308" s="9" t="s">
        <v>13</v>
      </c>
      <c r="R308" s="9" t="s">
        <v>13</v>
      </c>
      <c r="S308" s="15" t="s">
        <v>13</v>
      </c>
    </row>
    <row r="309" spans="1:19" s="71" customFormat="1" ht="15.75" customHeight="1" x14ac:dyDescent="0.25">
      <c r="A309" s="236">
        <v>1</v>
      </c>
      <c r="B309" s="174">
        <v>4709</v>
      </c>
      <c r="C309" s="12" t="s">
        <v>728</v>
      </c>
      <c r="D309" s="236">
        <v>1971</v>
      </c>
      <c r="E309" s="236" t="s">
        <v>68</v>
      </c>
      <c r="F309" s="236" t="s">
        <v>81</v>
      </c>
      <c r="G309" s="22">
        <v>361.4</v>
      </c>
      <c r="H309" s="22">
        <v>334.8</v>
      </c>
      <c r="I309" s="15">
        <v>12</v>
      </c>
      <c r="J309" s="22">
        <f>'Форма 2'!I1138</f>
        <v>86713.2</v>
      </c>
      <c r="K309" s="9">
        <v>0</v>
      </c>
      <c r="L309" s="9">
        <v>0</v>
      </c>
      <c r="M309" s="9">
        <v>0</v>
      </c>
      <c r="N309" s="9">
        <f>J309-K309-L309-M309-O309</f>
        <v>49222.69</v>
      </c>
      <c r="O309" s="9">
        <v>37490.51</v>
      </c>
      <c r="P309" s="9">
        <f>J309/H309</f>
        <v>259</v>
      </c>
      <c r="Q309" s="9">
        <f>'Форма 2'!K1138</f>
        <v>259</v>
      </c>
      <c r="R309" s="16">
        <v>2021</v>
      </c>
      <c r="S309" s="168">
        <v>1</v>
      </c>
    </row>
    <row r="310" spans="1:19" s="71" customFormat="1" ht="15.75" customHeight="1" x14ac:dyDescent="0.25">
      <c r="A310" s="236">
        <f>A309+1</f>
        <v>2</v>
      </c>
      <c r="B310" s="174">
        <v>4664</v>
      </c>
      <c r="C310" s="12" t="s">
        <v>729</v>
      </c>
      <c r="D310" s="236">
        <v>1974</v>
      </c>
      <c r="E310" s="236" t="s">
        <v>68</v>
      </c>
      <c r="F310" s="236" t="s">
        <v>81</v>
      </c>
      <c r="G310" s="22">
        <v>329.6</v>
      </c>
      <c r="H310" s="22">
        <v>227</v>
      </c>
      <c r="I310" s="15">
        <v>14</v>
      </c>
      <c r="J310" s="22">
        <f>'Форма 2'!I1140</f>
        <v>58793</v>
      </c>
      <c r="K310" s="9">
        <v>0</v>
      </c>
      <c r="L310" s="9">
        <v>0</v>
      </c>
      <c r="M310" s="9">
        <v>0</v>
      </c>
      <c r="N310" s="9">
        <f>J310-K310-L310-M310-O310</f>
        <v>33373.81</v>
      </c>
      <c r="O310" s="9">
        <v>25419.19</v>
      </c>
      <c r="P310" s="9">
        <f>J310/H310</f>
        <v>259</v>
      </c>
      <c r="Q310" s="9">
        <f>'Форма 2'!K1140</f>
        <v>259</v>
      </c>
      <c r="R310" s="16">
        <v>2021</v>
      </c>
      <c r="S310" s="168">
        <v>1</v>
      </c>
    </row>
    <row r="311" spans="1:19" s="71" customFormat="1" ht="15.75" customHeight="1" x14ac:dyDescent="0.25">
      <c r="A311" s="277" t="s">
        <v>29</v>
      </c>
      <c r="B311" s="277"/>
      <c r="C311" s="277"/>
      <c r="D311" s="10" t="s">
        <v>13</v>
      </c>
      <c r="E311" s="9" t="s">
        <v>13</v>
      </c>
      <c r="F311" s="9" t="s">
        <v>13</v>
      </c>
      <c r="G311" s="9">
        <f>SUM(G312:G327)</f>
        <v>15280.82</v>
      </c>
      <c r="H311" s="9">
        <f t="shared" ref="H311:O311" si="115">SUM(H312:H327)</f>
        <v>12182.09</v>
      </c>
      <c r="I311" s="11">
        <f t="shared" si="115"/>
        <v>430</v>
      </c>
      <c r="J311" s="9">
        <f t="shared" si="115"/>
        <v>27225520.649999999</v>
      </c>
      <c r="K311" s="9">
        <f t="shared" si="115"/>
        <v>0</v>
      </c>
      <c r="L311" s="9">
        <f t="shared" si="115"/>
        <v>0</v>
      </c>
      <c r="M311" s="9">
        <f t="shared" si="115"/>
        <v>0</v>
      </c>
      <c r="N311" s="9">
        <f t="shared" si="115"/>
        <v>26667531.91</v>
      </c>
      <c r="O311" s="9">
        <f t="shared" si="115"/>
        <v>557988.74</v>
      </c>
      <c r="P311" s="9" t="s">
        <v>13</v>
      </c>
      <c r="Q311" s="9" t="s">
        <v>13</v>
      </c>
      <c r="R311" s="9" t="s">
        <v>13</v>
      </c>
      <c r="S311" s="15" t="s">
        <v>13</v>
      </c>
    </row>
    <row r="312" spans="1:19" s="71" customFormat="1" ht="15.75" customHeight="1" x14ac:dyDescent="0.25">
      <c r="A312" s="237">
        <v>1</v>
      </c>
      <c r="B312" s="242">
        <v>4391</v>
      </c>
      <c r="C312" s="232" t="s">
        <v>342</v>
      </c>
      <c r="D312" s="236">
        <v>1966</v>
      </c>
      <c r="E312" s="236" t="s">
        <v>230</v>
      </c>
      <c r="F312" s="236" t="s">
        <v>81</v>
      </c>
      <c r="G312" s="9">
        <v>1076.2</v>
      </c>
      <c r="H312" s="9">
        <v>998.1</v>
      </c>
      <c r="I312" s="21">
        <v>33</v>
      </c>
      <c r="J312" s="9">
        <f>'Форма 2'!I1143</f>
        <v>168404.42</v>
      </c>
      <c r="K312" s="9">
        <v>0</v>
      </c>
      <c r="L312" s="9">
        <v>0</v>
      </c>
      <c r="M312" s="9">
        <v>0</v>
      </c>
      <c r="N312" s="9">
        <f t="shared" ref="N312:N326" si="116">J312-K312-L312-M312-O312</f>
        <v>164952.95999999999</v>
      </c>
      <c r="O312" s="9">
        <v>3451.46</v>
      </c>
      <c r="P312" s="9">
        <f t="shared" ref="P312:P327" si="117">J312/H312</f>
        <v>168.72</v>
      </c>
      <c r="Q312" s="9">
        <f>'Форма 2'!K1143</f>
        <v>179</v>
      </c>
      <c r="R312" s="16">
        <v>2021</v>
      </c>
      <c r="S312" s="168">
        <v>1</v>
      </c>
    </row>
    <row r="313" spans="1:19" s="71" customFormat="1" ht="31.5" customHeight="1" x14ac:dyDescent="0.25">
      <c r="A313" s="237">
        <f t="shared" ref="A313:A327" si="118">A312+1</f>
        <v>2</v>
      </c>
      <c r="B313" s="242">
        <v>4552</v>
      </c>
      <c r="C313" s="232" t="s">
        <v>343</v>
      </c>
      <c r="D313" s="236">
        <v>1963</v>
      </c>
      <c r="E313" s="236" t="s">
        <v>68</v>
      </c>
      <c r="F313" s="236" t="s">
        <v>81</v>
      </c>
      <c r="G313" s="9">
        <v>325.86</v>
      </c>
      <c r="H313" s="9">
        <v>301.45999999999998</v>
      </c>
      <c r="I313" s="21">
        <v>15</v>
      </c>
      <c r="J313" s="9">
        <f>'Форма 2'!I1146</f>
        <v>71046.59</v>
      </c>
      <c r="K313" s="9">
        <v>0</v>
      </c>
      <c r="L313" s="9">
        <v>0</v>
      </c>
      <c r="M313" s="9">
        <v>0</v>
      </c>
      <c r="N313" s="9">
        <f t="shared" si="116"/>
        <v>69590.490000000005</v>
      </c>
      <c r="O313" s="9">
        <v>1456.1</v>
      </c>
      <c r="P313" s="9">
        <f t="shared" si="117"/>
        <v>235.68</v>
      </c>
      <c r="Q313" s="9">
        <f>'Форма 2'!K1146</f>
        <v>247</v>
      </c>
      <c r="R313" s="16">
        <v>2021</v>
      </c>
      <c r="S313" s="168">
        <v>1</v>
      </c>
    </row>
    <row r="314" spans="1:19" s="71" customFormat="1" ht="31.5" customHeight="1" x14ac:dyDescent="0.25">
      <c r="A314" s="237">
        <f t="shared" si="118"/>
        <v>3</v>
      </c>
      <c r="B314" s="242">
        <v>4554</v>
      </c>
      <c r="C314" s="232" t="s">
        <v>344</v>
      </c>
      <c r="D314" s="236">
        <v>1961</v>
      </c>
      <c r="E314" s="236" t="s">
        <v>230</v>
      </c>
      <c r="F314" s="236" t="s">
        <v>87</v>
      </c>
      <c r="G314" s="9">
        <v>327.91</v>
      </c>
      <c r="H314" s="9">
        <v>304.41000000000003</v>
      </c>
      <c r="I314" s="21">
        <v>21</v>
      </c>
      <c r="J314" s="9">
        <f>'Форма 2'!I1148</f>
        <v>1115883.3400000001</v>
      </c>
      <c r="K314" s="9">
        <v>0</v>
      </c>
      <c r="L314" s="9">
        <v>0</v>
      </c>
      <c r="M314" s="9">
        <v>0</v>
      </c>
      <c r="N314" s="9">
        <f t="shared" si="116"/>
        <v>1093013.24</v>
      </c>
      <c r="O314" s="9">
        <v>22870.1</v>
      </c>
      <c r="P314" s="9">
        <f t="shared" si="117"/>
        <v>3665.72</v>
      </c>
      <c r="Q314" s="9">
        <f>'Форма 2'!K1148</f>
        <v>3676</v>
      </c>
      <c r="R314" s="16">
        <v>2021</v>
      </c>
      <c r="S314" s="168">
        <v>1</v>
      </c>
    </row>
    <row r="315" spans="1:19" s="71" customFormat="1" ht="31.5" customHeight="1" x14ac:dyDescent="0.25">
      <c r="A315" s="237">
        <f t="shared" si="118"/>
        <v>4</v>
      </c>
      <c r="B315" s="242">
        <v>4486</v>
      </c>
      <c r="C315" s="232" t="s">
        <v>345</v>
      </c>
      <c r="D315" s="236">
        <v>1963</v>
      </c>
      <c r="E315" s="236" t="s">
        <v>230</v>
      </c>
      <c r="F315" s="236" t="s">
        <v>81</v>
      </c>
      <c r="G315" s="9">
        <v>308.44</v>
      </c>
      <c r="H315" s="9">
        <v>285.2</v>
      </c>
      <c r="I315" s="21">
        <v>13</v>
      </c>
      <c r="J315" s="9">
        <f>'Форма 2'!I1155</f>
        <v>92041.17</v>
      </c>
      <c r="K315" s="9">
        <v>0</v>
      </c>
      <c r="L315" s="9">
        <v>0</v>
      </c>
      <c r="M315" s="9">
        <v>0</v>
      </c>
      <c r="N315" s="9">
        <f t="shared" si="116"/>
        <v>90154.78</v>
      </c>
      <c r="O315" s="9">
        <v>1886.39</v>
      </c>
      <c r="P315" s="9">
        <f t="shared" si="117"/>
        <v>322.73</v>
      </c>
      <c r="Q315" s="9">
        <f>'Форма 2'!K1155</f>
        <v>333</v>
      </c>
      <c r="R315" s="16">
        <v>2021</v>
      </c>
      <c r="S315" s="168">
        <v>1</v>
      </c>
    </row>
    <row r="316" spans="1:19" s="71" customFormat="1" ht="31.5" customHeight="1" x14ac:dyDescent="0.25">
      <c r="A316" s="237">
        <f t="shared" si="118"/>
        <v>5</v>
      </c>
      <c r="B316" s="242">
        <v>4616</v>
      </c>
      <c r="C316" s="232" t="s">
        <v>346</v>
      </c>
      <c r="D316" s="236">
        <v>1963</v>
      </c>
      <c r="E316" s="236" t="s">
        <v>68</v>
      </c>
      <c r="F316" s="236" t="s">
        <v>81</v>
      </c>
      <c r="G316" s="9">
        <v>443.28</v>
      </c>
      <c r="H316" s="9">
        <v>404.18</v>
      </c>
      <c r="I316" s="21">
        <v>13</v>
      </c>
      <c r="J316" s="9">
        <f>'Форма 2'!I1158</f>
        <v>95255.12</v>
      </c>
      <c r="K316" s="9">
        <v>0</v>
      </c>
      <c r="L316" s="9">
        <v>0</v>
      </c>
      <c r="M316" s="9">
        <v>0</v>
      </c>
      <c r="N316" s="9">
        <f t="shared" si="116"/>
        <v>93302.86</v>
      </c>
      <c r="O316" s="9">
        <v>1952.26</v>
      </c>
      <c r="P316" s="9">
        <f t="shared" si="117"/>
        <v>235.67</v>
      </c>
      <c r="Q316" s="9">
        <f>'Форма 2'!K1158</f>
        <v>247</v>
      </c>
      <c r="R316" s="16">
        <v>2021</v>
      </c>
      <c r="S316" s="168">
        <v>1</v>
      </c>
    </row>
    <row r="317" spans="1:19" s="71" customFormat="1" ht="15.75" customHeight="1" x14ac:dyDescent="0.25">
      <c r="A317" s="237">
        <f t="shared" si="118"/>
        <v>6</v>
      </c>
      <c r="B317" s="242">
        <v>4399</v>
      </c>
      <c r="C317" s="232" t="s">
        <v>431</v>
      </c>
      <c r="D317" s="236">
        <v>1967</v>
      </c>
      <c r="E317" s="236" t="s">
        <v>68</v>
      </c>
      <c r="F317" s="236" t="s">
        <v>81</v>
      </c>
      <c r="G317" s="9">
        <v>374.4</v>
      </c>
      <c r="H317" s="9">
        <v>351</v>
      </c>
      <c r="I317" s="21">
        <v>12</v>
      </c>
      <c r="J317" s="9">
        <f>'Форма 2'!I1160</f>
        <v>82721.929999999993</v>
      </c>
      <c r="K317" s="9">
        <v>0</v>
      </c>
      <c r="L317" s="9">
        <v>0</v>
      </c>
      <c r="M317" s="9">
        <v>0</v>
      </c>
      <c r="N317" s="9">
        <f t="shared" si="116"/>
        <v>81026.539999999994</v>
      </c>
      <c r="O317" s="9">
        <v>1695.39</v>
      </c>
      <c r="P317" s="9">
        <f t="shared" si="117"/>
        <v>235.68</v>
      </c>
      <c r="Q317" s="9">
        <f>'Форма 2'!K1160</f>
        <v>247</v>
      </c>
      <c r="R317" s="16">
        <v>2021</v>
      </c>
      <c r="S317" s="168">
        <v>1</v>
      </c>
    </row>
    <row r="318" spans="1:19" s="71" customFormat="1" ht="15.75" customHeight="1" x14ac:dyDescent="0.25">
      <c r="A318" s="237">
        <f t="shared" si="118"/>
        <v>7</v>
      </c>
      <c r="B318" s="237">
        <v>4429</v>
      </c>
      <c r="C318" s="240" t="s">
        <v>432</v>
      </c>
      <c r="D318" s="24">
        <v>1983</v>
      </c>
      <c r="E318" s="236" t="s">
        <v>68</v>
      </c>
      <c r="F318" s="236" t="s">
        <v>82</v>
      </c>
      <c r="G318" s="25">
        <v>3629.08</v>
      </c>
      <c r="H318" s="25">
        <v>2632.73</v>
      </c>
      <c r="I318" s="21">
        <v>75</v>
      </c>
      <c r="J318" s="26">
        <f>'Форма 2'!I1162</f>
        <v>7100735.6299999999</v>
      </c>
      <c r="K318" s="9">
        <v>0</v>
      </c>
      <c r="L318" s="9">
        <v>0</v>
      </c>
      <c r="M318" s="9">
        <v>0</v>
      </c>
      <c r="N318" s="9">
        <f t="shared" si="116"/>
        <v>6955205.6100000003</v>
      </c>
      <c r="O318" s="9">
        <v>145530.01999999999</v>
      </c>
      <c r="P318" s="26">
        <f t="shared" si="117"/>
        <v>2697.1</v>
      </c>
      <c r="Q318" s="9">
        <f>'Форма 2'!K1162</f>
        <v>3878</v>
      </c>
      <c r="R318" s="16">
        <v>2021</v>
      </c>
      <c r="S318" s="168">
        <v>1</v>
      </c>
    </row>
    <row r="319" spans="1:19" s="71" customFormat="1" ht="15.75" customHeight="1" x14ac:dyDescent="0.25">
      <c r="A319" s="237">
        <f t="shared" si="118"/>
        <v>8</v>
      </c>
      <c r="B319" s="247">
        <v>4437</v>
      </c>
      <c r="C319" s="250" t="s">
        <v>347</v>
      </c>
      <c r="D319" s="24">
        <v>1965</v>
      </c>
      <c r="E319" s="236" t="s">
        <v>68</v>
      </c>
      <c r="F319" s="236" t="s">
        <v>81</v>
      </c>
      <c r="G319" s="25">
        <v>1037</v>
      </c>
      <c r="H319" s="25">
        <v>965.1</v>
      </c>
      <c r="I319" s="21">
        <v>33</v>
      </c>
      <c r="J319" s="26">
        <f>'Форма 2'!I1165</f>
        <v>227449.94</v>
      </c>
      <c r="K319" s="9">
        <v>0</v>
      </c>
      <c r="L319" s="9">
        <v>0</v>
      </c>
      <c r="M319" s="9">
        <v>0</v>
      </c>
      <c r="N319" s="9">
        <f t="shared" si="116"/>
        <v>222788.34</v>
      </c>
      <c r="O319" s="9">
        <v>4661.6000000000004</v>
      </c>
      <c r="P319" s="26">
        <f t="shared" si="117"/>
        <v>235.67</v>
      </c>
      <c r="Q319" s="9">
        <f>'Форма 2'!K1165</f>
        <v>247</v>
      </c>
      <c r="R319" s="16">
        <v>2021</v>
      </c>
      <c r="S319" s="168">
        <v>1</v>
      </c>
    </row>
    <row r="320" spans="1:19" s="71" customFormat="1" ht="15.75" customHeight="1" x14ac:dyDescent="0.25">
      <c r="A320" s="238">
        <f t="shared" si="118"/>
        <v>9</v>
      </c>
      <c r="B320" s="251">
        <v>4438</v>
      </c>
      <c r="C320" s="252" t="s">
        <v>662</v>
      </c>
      <c r="D320" s="236">
        <v>1965</v>
      </c>
      <c r="E320" s="236" t="s">
        <v>68</v>
      </c>
      <c r="F320" s="236" t="s">
        <v>81</v>
      </c>
      <c r="G320" s="9">
        <v>1061.2</v>
      </c>
      <c r="H320" s="9">
        <v>986.2</v>
      </c>
      <c r="I320" s="21">
        <v>42</v>
      </c>
      <c r="J320" s="9">
        <f>'Форма 2'!I1167</f>
        <v>243591.4</v>
      </c>
      <c r="K320" s="9">
        <v>0</v>
      </c>
      <c r="L320" s="9">
        <v>0</v>
      </c>
      <c r="M320" s="9">
        <v>0</v>
      </c>
      <c r="N320" s="9">
        <f t="shared" si="116"/>
        <v>238598.98</v>
      </c>
      <c r="O320" s="9">
        <v>4992.42</v>
      </c>
      <c r="P320" s="9">
        <f t="shared" si="117"/>
        <v>247</v>
      </c>
      <c r="Q320" s="9">
        <f>'Форма 2'!K1167</f>
        <v>247</v>
      </c>
      <c r="R320" s="16">
        <v>2021</v>
      </c>
      <c r="S320" s="168">
        <v>1</v>
      </c>
    </row>
    <row r="321" spans="1:19" s="71" customFormat="1" ht="15.75" customHeight="1" x14ac:dyDescent="0.25">
      <c r="A321" s="237">
        <f>A320+1</f>
        <v>10</v>
      </c>
      <c r="B321" s="242">
        <v>8083</v>
      </c>
      <c r="C321" s="232" t="s">
        <v>348</v>
      </c>
      <c r="D321" s="236">
        <v>1953</v>
      </c>
      <c r="E321" s="236" t="s">
        <v>89</v>
      </c>
      <c r="F321" s="236" t="s">
        <v>82</v>
      </c>
      <c r="G321" s="9">
        <v>425.58</v>
      </c>
      <c r="H321" s="9">
        <v>325.16000000000003</v>
      </c>
      <c r="I321" s="21">
        <v>12</v>
      </c>
      <c r="J321" s="9">
        <f>'Форма 2'!I1169</f>
        <v>686791.35</v>
      </c>
      <c r="K321" s="9">
        <v>0</v>
      </c>
      <c r="L321" s="9">
        <v>0</v>
      </c>
      <c r="M321" s="9">
        <v>0</v>
      </c>
      <c r="N321" s="9">
        <f t="shared" si="116"/>
        <v>672715.52</v>
      </c>
      <c r="O321" s="9">
        <v>14075.83</v>
      </c>
      <c r="P321" s="9">
        <f t="shared" si="117"/>
        <v>2112.16</v>
      </c>
      <c r="Q321" s="9">
        <f>'Форма 2'!K1169</f>
        <v>2973</v>
      </c>
      <c r="R321" s="16">
        <v>2021</v>
      </c>
      <c r="S321" s="168">
        <v>1</v>
      </c>
    </row>
    <row r="322" spans="1:19" s="71" customFormat="1" ht="15.75" customHeight="1" x14ac:dyDescent="0.25">
      <c r="A322" s="237">
        <f t="shared" si="118"/>
        <v>11</v>
      </c>
      <c r="B322" s="238">
        <v>4478</v>
      </c>
      <c r="C322" s="243" t="s">
        <v>115</v>
      </c>
      <c r="D322" s="238">
        <v>1974</v>
      </c>
      <c r="E322" s="251" t="s">
        <v>112</v>
      </c>
      <c r="F322" s="236" t="s">
        <v>82</v>
      </c>
      <c r="G322" s="239">
        <v>3780</v>
      </c>
      <c r="H322" s="239">
        <v>2933.1</v>
      </c>
      <c r="I322" s="21">
        <v>96</v>
      </c>
      <c r="J322" s="9">
        <f>'Форма 2'!I1172</f>
        <v>10979952.140000001</v>
      </c>
      <c r="K322" s="9">
        <v>0</v>
      </c>
      <c r="L322" s="9">
        <v>0</v>
      </c>
      <c r="M322" s="9">
        <v>0</v>
      </c>
      <c r="N322" s="9">
        <f t="shared" si="116"/>
        <v>10754917.33</v>
      </c>
      <c r="O322" s="9">
        <v>225034.81</v>
      </c>
      <c r="P322" s="9">
        <f>J322/H322</f>
        <v>3743.46</v>
      </c>
      <c r="Q322" s="9">
        <f>'Форма 2'!K1172</f>
        <v>7631</v>
      </c>
      <c r="R322" s="16">
        <v>2021</v>
      </c>
      <c r="S322" s="168">
        <v>1</v>
      </c>
    </row>
    <row r="323" spans="1:19" s="71" customFormat="1" ht="15.75" customHeight="1" x14ac:dyDescent="0.25">
      <c r="A323" s="237">
        <f t="shared" si="118"/>
        <v>12</v>
      </c>
      <c r="B323" s="247">
        <v>4440</v>
      </c>
      <c r="C323" s="250" t="s">
        <v>349</v>
      </c>
      <c r="D323" s="24">
        <v>1965</v>
      </c>
      <c r="E323" s="236" t="s">
        <v>68</v>
      </c>
      <c r="F323" s="236" t="s">
        <v>87</v>
      </c>
      <c r="G323" s="25">
        <v>427.77</v>
      </c>
      <c r="H323" s="25">
        <v>386.57</v>
      </c>
      <c r="I323" s="21">
        <v>8</v>
      </c>
      <c r="J323" s="26">
        <f>'Форма 2'!I1177</f>
        <v>3063055.04</v>
      </c>
      <c r="K323" s="9">
        <v>0</v>
      </c>
      <c r="L323" s="9">
        <v>0</v>
      </c>
      <c r="M323" s="9">
        <v>0</v>
      </c>
      <c r="N323" s="9">
        <f t="shared" si="116"/>
        <v>3000277.54</v>
      </c>
      <c r="O323" s="9">
        <v>62777.5</v>
      </c>
      <c r="P323" s="26">
        <f>J323/H323</f>
        <v>7923.67</v>
      </c>
      <c r="Q323" s="9">
        <f>'Форма 2'!K1177</f>
        <v>7935</v>
      </c>
      <c r="R323" s="16">
        <v>2021</v>
      </c>
      <c r="S323" s="168">
        <v>1</v>
      </c>
    </row>
    <row r="324" spans="1:19" s="71" customFormat="1" ht="15.75" customHeight="1" x14ac:dyDescent="0.25">
      <c r="A324" s="237">
        <f t="shared" si="118"/>
        <v>13</v>
      </c>
      <c r="B324" s="247">
        <v>4480</v>
      </c>
      <c r="C324" s="250" t="s">
        <v>350</v>
      </c>
      <c r="D324" s="24">
        <v>1956</v>
      </c>
      <c r="E324" s="236" t="s">
        <v>68</v>
      </c>
      <c r="F324" s="236" t="s">
        <v>82</v>
      </c>
      <c r="G324" s="25">
        <v>426.1</v>
      </c>
      <c r="H324" s="25">
        <v>385</v>
      </c>
      <c r="I324" s="21">
        <v>16</v>
      </c>
      <c r="J324" s="26">
        <f>'Форма 2'!I1181</f>
        <v>2544589.5499999998</v>
      </c>
      <c r="K324" s="9">
        <v>0</v>
      </c>
      <c r="L324" s="9">
        <v>0</v>
      </c>
      <c r="M324" s="9">
        <v>0</v>
      </c>
      <c r="N324" s="9">
        <f t="shared" si="116"/>
        <v>2492438.0299999998</v>
      </c>
      <c r="O324" s="9">
        <v>52151.519999999997</v>
      </c>
      <c r="P324" s="26">
        <f t="shared" si="117"/>
        <v>6609.32</v>
      </c>
      <c r="Q324" s="9">
        <f>'Форма 2'!K1181</f>
        <v>7688</v>
      </c>
      <c r="R324" s="16">
        <v>2021</v>
      </c>
      <c r="S324" s="168">
        <v>1</v>
      </c>
    </row>
    <row r="325" spans="1:19" s="71" customFormat="1" ht="15.75" customHeight="1" x14ac:dyDescent="0.25">
      <c r="A325" s="237">
        <f t="shared" si="118"/>
        <v>14</v>
      </c>
      <c r="B325" s="242">
        <v>4481</v>
      </c>
      <c r="C325" s="232" t="s">
        <v>351</v>
      </c>
      <c r="D325" s="236">
        <v>1965</v>
      </c>
      <c r="E325" s="236" t="s">
        <v>68</v>
      </c>
      <c r="F325" s="236" t="s">
        <v>81</v>
      </c>
      <c r="G325" s="9">
        <v>451.5</v>
      </c>
      <c r="H325" s="9">
        <v>388.18</v>
      </c>
      <c r="I325" s="21">
        <v>12</v>
      </c>
      <c r="J325" s="9">
        <f>'Форма 2'!I1184</f>
        <v>91484.32</v>
      </c>
      <c r="K325" s="9">
        <v>0</v>
      </c>
      <c r="L325" s="9">
        <v>0</v>
      </c>
      <c r="M325" s="9">
        <v>0</v>
      </c>
      <c r="N325" s="9">
        <f t="shared" si="116"/>
        <v>89609.34</v>
      </c>
      <c r="O325" s="9">
        <v>1874.98</v>
      </c>
      <c r="P325" s="9">
        <f t="shared" si="117"/>
        <v>235.67</v>
      </c>
      <c r="Q325" s="9">
        <f>'Форма 2'!K1184</f>
        <v>247</v>
      </c>
      <c r="R325" s="16">
        <v>2021</v>
      </c>
      <c r="S325" s="168">
        <v>1</v>
      </c>
    </row>
    <row r="326" spans="1:19" s="71" customFormat="1" ht="15.75" customHeight="1" x14ac:dyDescent="0.25">
      <c r="A326" s="237">
        <f t="shared" si="118"/>
        <v>15</v>
      </c>
      <c r="B326" s="242">
        <v>4532</v>
      </c>
      <c r="C326" s="232" t="s">
        <v>352</v>
      </c>
      <c r="D326" s="236">
        <v>1938</v>
      </c>
      <c r="E326" s="236" t="s">
        <v>230</v>
      </c>
      <c r="F326" s="236" t="s">
        <v>82</v>
      </c>
      <c r="G326" s="9">
        <v>347</v>
      </c>
      <c r="H326" s="9">
        <v>317.3</v>
      </c>
      <c r="I326" s="21">
        <v>19</v>
      </c>
      <c r="J326" s="9">
        <f>'Форма 2'!I1186</f>
        <v>608573.91</v>
      </c>
      <c r="K326" s="9">
        <v>0</v>
      </c>
      <c r="L326" s="9">
        <v>0</v>
      </c>
      <c r="M326" s="9">
        <v>0</v>
      </c>
      <c r="N326" s="9">
        <f t="shared" si="116"/>
        <v>596101.15</v>
      </c>
      <c r="O326" s="9">
        <v>12472.76</v>
      </c>
      <c r="P326" s="9">
        <f>J326/H326</f>
        <v>1917.98</v>
      </c>
      <c r="Q326" s="9">
        <f>'Форма 2'!K1186</f>
        <v>3497</v>
      </c>
      <c r="R326" s="16">
        <v>2021</v>
      </c>
      <c r="S326" s="168">
        <v>1</v>
      </c>
    </row>
    <row r="327" spans="1:19" s="71" customFormat="1" ht="15.75" customHeight="1" x14ac:dyDescent="0.25">
      <c r="A327" s="238">
        <f t="shared" si="118"/>
        <v>16</v>
      </c>
      <c r="B327" s="242">
        <v>4624</v>
      </c>
      <c r="C327" s="232" t="s">
        <v>663</v>
      </c>
      <c r="D327" s="236">
        <v>1984</v>
      </c>
      <c r="E327" s="236" t="s">
        <v>68</v>
      </c>
      <c r="F327" s="236" t="s">
        <v>81</v>
      </c>
      <c r="G327" s="9">
        <v>839.5</v>
      </c>
      <c r="H327" s="9">
        <v>218.4</v>
      </c>
      <c r="I327" s="21">
        <v>10</v>
      </c>
      <c r="J327" s="9">
        <f>'Форма 2'!I1191</f>
        <v>53944.800000000003</v>
      </c>
      <c r="K327" s="9">
        <v>0</v>
      </c>
      <c r="L327" s="9">
        <v>0</v>
      </c>
      <c r="M327" s="9">
        <v>0</v>
      </c>
      <c r="N327" s="9">
        <f>J327-K327-L327-M327-O327</f>
        <v>52839.199999999997</v>
      </c>
      <c r="O327" s="9">
        <v>1105.5999999999999</v>
      </c>
      <c r="P327" s="9">
        <f t="shared" si="117"/>
        <v>247</v>
      </c>
      <c r="Q327" s="9">
        <f>'Форма 2'!K1191</f>
        <v>247</v>
      </c>
      <c r="R327" s="16">
        <v>2021</v>
      </c>
      <c r="S327" s="168">
        <v>1</v>
      </c>
    </row>
    <row r="328" spans="1:19" s="71" customFormat="1" ht="15.75" customHeight="1" x14ac:dyDescent="0.25">
      <c r="A328" s="271" t="s">
        <v>515</v>
      </c>
      <c r="B328" s="272"/>
      <c r="C328" s="273"/>
      <c r="D328" s="17" t="s">
        <v>13</v>
      </c>
      <c r="E328" s="236" t="s">
        <v>13</v>
      </c>
      <c r="F328" s="236" t="s">
        <v>13</v>
      </c>
      <c r="G328" s="22">
        <f t="shared" ref="G328:O328" si="119">G329+G330</f>
        <v>839.3</v>
      </c>
      <c r="H328" s="22">
        <f t="shared" si="119"/>
        <v>757.6</v>
      </c>
      <c r="I328" s="15">
        <f t="shared" si="119"/>
        <v>28</v>
      </c>
      <c r="J328" s="22">
        <f t="shared" si="119"/>
        <v>3002380.03</v>
      </c>
      <c r="K328" s="22">
        <f t="shared" si="119"/>
        <v>0</v>
      </c>
      <c r="L328" s="22">
        <f t="shared" si="119"/>
        <v>0</v>
      </c>
      <c r="M328" s="22">
        <f t="shared" si="119"/>
        <v>0</v>
      </c>
      <c r="N328" s="22">
        <f t="shared" si="119"/>
        <v>2968753.33</v>
      </c>
      <c r="O328" s="22">
        <f t="shared" si="119"/>
        <v>33626.699999999997</v>
      </c>
      <c r="P328" s="22" t="s">
        <v>13</v>
      </c>
      <c r="Q328" s="22" t="s">
        <v>13</v>
      </c>
      <c r="R328" s="7" t="s">
        <v>13</v>
      </c>
      <c r="S328" s="22" t="s">
        <v>13</v>
      </c>
    </row>
    <row r="329" spans="1:19" s="71" customFormat="1" ht="15.75" customHeight="1" x14ac:dyDescent="0.25">
      <c r="A329" s="236">
        <v>1</v>
      </c>
      <c r="B329" s="236">
        <v>4784</v>
      </c>
      <c r="C329" s="252" t="s">
        <v>514</v>
      </c>
      <c r="D329" s="236">
        <v>1962</v>
      </c>
      <c r="E329" s="236" t="s">
        <v>181</v>
      </c>
      <c r="F329" s="236" t="s">
        <v>82</v>
      </c>
      <c r="G329" s="14">
        <v>424.3</v>
      </c>
      <c r="H329" s="14">
        <v>381.3</v>
      </c>
      <c r="I329" s="15">
        <v>12</v>
      </c>
      <c r="J329" s="22">
        <f>'Форма 2'!I1194</f>
        <v>2912651.29</v>
      </c>
      <c r="K329" s="22">
        <v>0</v>
      </c>
      <c r="L329" s="22">
        <v>0</v>
      </c>
      <c r="M329" s="22">
        <v>0</v>
      </c>
      <c r="N329" s="22">
        <f>J329-K329-L329-M329-O329</f>
        <v>2880029.55</v>
      </c>
      <c r="O329" s="22">
        <v>32621.74</v>
      </c>
      <c r="P329" s="22">
        <f>J329/H329</f>
        <v>7638.74</v>
      </c>
      <c r="Q329" s="22">
        <f>'Форма 2'!K1194</f>
        <v>8203</v>
      </c>
      <c r="R329" s="16">
        <v>2021</v>
      </c>
      <c r="S329" s="15">
        <v>1</v>
      </c>
    </row>
    <row r="330" spans="1:19" s="71" customFormat="1" ht="15.75" customHeight="1" x14ac:dyDescent="0.25">
      <c r="A330" s="236">
        <f>A329+1</f>
        <v>2</v>
      </c>
      <c r="B330" s="236">
        <v>4777</v>
      </c>
      <c r="C330" s="252" t="s">
        <v>542</v>
      </c>
      <c r="D330" s="236">
        <v>1965</v>
      </c>
      <c r="E330" s="236" t="s">
        <v>181</v>
      </c>
      <c r="F330" s="236" t="s">
        <v>81</v>
      </c>
      <c r="G330" s="14">
        <v>415</v>
      </c>
      <c r="H330" s="14">
        <v>376.3</v>
      </c>
      <c r="I330" s="15">
        <v>16</v>
      </c>
      <c r="J330" s="22">
        <f>'Форма 2'!I1197</f>
        <v>89728.74</v>
      </c>
      <c r="K330" s="22">
        <v>0</v>
      </c>
      <c r="L330" s="22">
        <v>0</v>
      </c>
      <c r="M330" s="22">
        <v>0</v>
      </c>
      <c r="N330" s="22">
        <f>J330-K330-L330-M330-O330</f>
        <v>88723.78</v>
      </c>
      <c r="O330" s="22">
        <v>1004.96</v>
      </c>
      <c r="P330" s="22">
        <f>J330/H330</f>
        <v>238.45</v>
      </c>
      <c r="Q330" s="22">
        <f>'Форма 2'!K1197</f>
        <v>250</v>
      </c>
      <c r="R330" s="16">
        <v>2021</v>
      </c>
      <c r="S330" s="15">
        <v>1</v>
      </c>
    </row>
    <row r="331" spans="1:19" s="71" customFormat="1" ht="15.75" customHeight="1" x14ac:dyDescent="0.25">
      <c r="A331" s="277" t="s">
        <v>30</v>
      </c>
      <c r="B331" s="277"/>
      <c r="C331" s="277"/>
      <c r="D331" s="10" t="s">
        <v>13</v>
      </c>
      <c r="E331" s="9" t="s">
        <v>13</v>
      </c>
      <c r="F331" s="9" t="s">
        <v>13</v>
      </c>
      <c r="G331" s="9">
        <f>SUM(G332:G333)</f>
        <v>1528.3</v>
      </c>
      <c r="H331" s="9">
        <f t="shared" ref="H331:O331" si="120">SUM(H332:H333)</f>
        <v>1400.2</v>
      </c>
      <c r="I331" s="11">
        <f t="shared" si="120"/>
        <v>71</v>
      </c>
      <c r="J331" s="9">
        <f t="shared" si="120"/>
        <v>1918152.99</v>
      </c>
      <c r="K331" s="9">
        <f t="shared" si="120"/>
        <v>0</v>
      </c>
      <c r="L331" s="9">
        <f t="shared" si="120"/>
        <v>0</v>
      </c>
      <c r="M331" s="9">
        <f t="shared" si="120"/>
        <v>0</v>
      </c>
      <c r="N331" s="9">
        <f t="shared" si="120"/>
        <v>1852941.41</v>
      </c>
      <c r="O331" s="9">
        <f t="shared" si="120"/>
        <v>65211.58</v>
      </c>
      <c r="P331" s="9" t="s">
        <v>13</v>
      </c>
      <c r="Q331" s="9" t="s">
        <v>13</v>
      </c>
      <c r="R331" s="9" t="s">
        <v>13</v>
      </c>
      <c r="S331" s="15" t="s">
        <v>13</v>
      </c>
    </row>
    <row r="332" spans="1:19" s="71" customFormat="1" ht="15.75" customHeight="1" x14ac:dyDescent="0.25">
      <c r="A332" s="242">
        <v>1</v>
      </c>
      <c r="B332" s="242">
        <v>6711</v>
      </c>
      <c r="C332" s="232" t="s">
        <v>459</v>
      </c>
      <c r="D332" s="236">
        <v>1976</v>
      </c>
      <c r="E332" s="236" t="s">
        <v>461</v>
      </c>
      <c r="F332" s="17" t="s">
        <v>82</v>
      </c>
      <c r="G332" s="9">
        <v>784.1</v>
      </c>
      <c r="H332" s="9">
        <v>721.7</v>
      </c>
      <c r="I332" s="30">
        <v>44</v>
      </c>
      <c r="J332" s="9">
        <f>'Форма 2'!I1200</f>
        <v>1748527.99</v>
      </c>
      <c r="K332" s="9">
        <v>0</v>
      </c>
      <c r="L332" s="9">
        <v>0</v>
      </c>
      <c r="M332" s="9">
        <v>0</v>
      </c>
      <c r="N332" s="9">
        <f>J332-K332-L332-M332-O332</f>
        <v>1689083.16</v>
      </c>
      <c r="O332" s="9">
        <v>59444.83</v>
      </c>
      <c r="P332" s="9">
        <f>J332/H332</f>
        <v>2422.79</v>
      </c>
      <c r="Q332" s="9">
        <f>'Форма 2'!K1200</f>
        <v>3568</v>
      </c>
      <c r="R332" s="31">
        <v>2021</v>
      </c>
      <c r="S332" s="168">
        <v>1</v>
      </c>
    </row>
    <row r="333" spans="1:19" s="71" customFormat="1" ht="15.75" customHeight="1" x14ac:dyDescent="0.25">
      <c r="A333" s="242">
        <f>A332+1</f>
        <v>2</v>
      </c>
      <c r="B333" s="242">
        <v>6712</v>
      </c>
      <c r="C333" s="232" t="s">
        <v>673</v>
      </c>
      <c r="D333" s="236">
        <v>1976</v>
      </c>
      <c r="E333" s="236" t="s">
        <v>68</v>
      </c>
      <c r="F333" s="17" t="s">
        <v>81</v>
      </c>
      <c r="G333" s="9">
        <v>744.2</v>
      </c>
      <c r="H333" s="9">
        <v>678.5</v>
      </c>
      <c r="I333" s="30">
        <v>27</v>
      </c>
      <c r="J333" s="9">
        <f>'Форма 2'!I1205</f>
        <v>169625</v>
      </c>
      <c r="K333" s="9">
        <v>0</v>
      </c>
      <c r="L333" s="9">
        <v>0</v>
      </c>
      <c r="M333" s="9">
        <v>0</v>
      </c>
      <c r="N333" s="9">
        <f>J333-K333-L333-M333-O333</f>
        <v>163858.25</v>
      </c>
      <c r="O333" s="9">
        <v>5766.75</v>
      </c>
      <c r="P333" s="9">
        <f>J333/H333</f>
        <v>250</v>
      </c>
      <c r="Q333" s="9">
        <f>'Форма 2'!K1205</f>
        <v>250</v>
      </c>
      <c r="R333" s="31">
        <v>2021</v>
      </c>
      <c r="S333" s="168">
        <v>1</v>
      </c>
    </row>
    <row r="334" spans="1:19" s="71" customFormat="1" ht="15.75" customHeight="1" x14ac:dyDescent="0.25">
      <c r="A334" s="283" t="s">
        <v>47</v>
      </c>
      <c r="B334" s="283"/>
      <c r="C334" s="283"/>
      <c r="D334" s="10" t="s">
        <v>13</v>
      </c>
      <c r="E334" s="9" t="s">
        <v>13</v>
      </c>
      <c r="F334" s="9" t="s">
        <v>13</v>
      </c>
      <c r="G334" s="9">
        <f>SUM(G335:G384)</f>
        <v>337634.84</v>
      </c>
      <c r="H334" s="9">
        <f t="shared" ref="H334:O334" si="121">SUM(H335:H384)</f>
        <v>276871.33</v>
      </c>
      <c r="I334" s="11">
        <f t="shared" si="121"/>
        <v>10236</v>
      </c>
      <c r="J334" s="9">
        <f t="shared" si="121"/>
        <v>237266285.27000001</v>
      </c>
      <c r="K334" s="9">
        <f t="shared" si="121"/>
        <v>0</v>
      </c>
      <c r="L334" s="9">
        <f t="shared" si="121"/>
        <v>0</v>
      </c>
      <c r="M334" s="9">
        <f t="shared" si="121"/>
        <v>0</v>
      </c>
      <c r="N334" s="9">
        <f t="shared" si="121"/>
        <v>233147060.27000001</v>
      </c>
      <c r="O334" s="9">
        <f t="shared" si="121"/>
        <v>4119225</v>
      </c>
      <c r="P334" s="9" t="s">
        <v>13</v>
      </c>
      <c r="Q334" s="9" t="s">
        <v>13</v>
      </c>
      <c r="R334" s="9" t="s">
        <v>13</v>
      </c>
      <c r="S334" s="15" t="s">
        <v>13</v>
      </c>
    </row>
    <row r="335" spans="1:19" s="71" customFormat="1" ht="15.75" customHeight="1" x14ac:dyDescent="0.25">
      <c r="A335" s="236">
        <v>1</v>
      </c>
      <c r="B335" s="236">
        <v>5956</v>
      </c>
      <c r="C335" s="252" t="s">
        <v>390</v>
      </c>
      <c r="D335" s="251">
        <v>1953</v>
      </c>
      <c r="E335" s="251" t="s">
        <v>93</v>
      </c>
      <c r="F335" s="251" t="s">
        <v>83</v>
      </c>
      <c r="G335" s="22">
        <v>1328.5</v>
      </c>
      <c r="H335" s="22">
        <v>1225.2</v>
      </c>
      <c r="I335" s="15">
        <v>46</v>
      </c>
      <c r="J335" s="22">
        <f>'Форма 2'!I1208</f>
        <v>1696656.96</v>
      </c>
      <c r="K335" s="22">
        <v>0</v>
      </c>
      <c r="L335" s="22">
        <v>0</v>
      </c>
      <c r="M335" s="22">
        <v>0</v>
      </c>
      <c r="N335" s="22">
        <f t="shared" ref="N335:N383" si="122">J335-K335-L335-M335-O335</f>
        <v>1667200.98</v>
      </c>
      <c r="O335" s="22">
        <v>29455.98</v>
      </c>
      <c r="P335" s="22">
        <f t="shared" ref="P335:P384" si="123">J335/H335</f>
        <v>1384.8</v>
      </c>
      <c r="Q335" s="22">
        <f>'Форма 2'!K1208</f>
        <v>4161</v>
      </c>
      <c r="R335" s="31">
        <v>2022</v>
      </c>
      <c r="S335" s="168">
        <v>1</v>
      </c>
    </row>
    <row r="336" spans="1:19" s="71" customFormat="1" ht="15.75" customHeight="1" x14ac:dyDescent="0.25">
      <c r="A336" s="236">
        <f>A335+1</f>
        <v>2</v>
      </c>
      <c r="B336" s="236">
        <v>5990</v>
      </c>
      <c r="C336" s="252" t="s">
        <v>391</v>
      </c>
      <c r="D336" s="251">
        <v>1960</v>
      </c>
      <c r="E336" s="251" t="s">
        <v>68</v>
      </c>
      <c r="F336" s="251" t="s">
        <v>83</v>
      </c>
      <c r="G336" s="22">
        <v>3890.8</v>
      </c>
      <c r="H336" s="22">
        <v>3134</v>
      </c>
      <c r="I336" s="15">
        <v>117</v>
      </c>
      <c r="J336" s="22">
        <f>'Форма 2'!I1215</f>
        <v>3997602.75</v>
      </c>
      <c r="K336" s="22">
        <v>0</v>
      </c>
      <c r="L336" s="22">
        <v>0</v>
      </c>
      <c r="M336" s="22">
        <v>0</v>
      </c>
      <c r="N336" s="22">
        <f t="shared" si="122"/>
        <v>3928199.61</v>
      </c>
      <c r="O336" s="22">
        <v>69403.14</v>
      </c>
      <c r="P336" s="22">
        <f t="shared" si="123"/>
        <v>1275.56</v>
      </c>
      <c r="Q336" s="22">
        <f>'Форма 2'!K1215</f>
        <v>3966</v>
      </c>
      <c r="R336" s="31">
        <v>2022</v>
      </c>
      <c r="S336" s="168">
        <v>1</v>
      </c>
    </row>
    <row r="337" spans="1:19" s="71" customFormat="1" ht="15.75" customHeight="1" x14ac:dyDescent="0.25">
      <c r="A337" s="236">
        <f t="shared" ref="A337" si="124">A336+1</f>
        <v>3</v>
      </c>
      <c r="B337" s="236">
        <v>5997</v>
      </c>
      <c r="C337" s="252" t="s">
        <v>674</v>
      </c>
      <c r="D337" s="251">
        <v>1962</v>
      </c>
      <c r="E337" s="251" t="s">
        <v>68</v>
      </c>
      <c r="F337" s="251" t="s">
        <v>81</v>
      </c>
      <c r="G337" s="22">
        <v>4486.8</v>
      </c>
      <c r="H337" s="22">
        <v>3458.9</v>
      </c>
      <c r="I337" s="15">
        <v>131</v>
      </c>
      <c r="J337" s="22">
        <f>'Форма 2'!I1218</f>
        <v>584554.1</v>
      </c>
      <c r="K337" s="22">
        <v>0</v>
      </c>
      <c r="L337" s="22">
        <v>0</v>
      </c>
      <c r="M337" s="22">
        <v>0</v>
      </c>
      <c r="N337" s="22">
        <f>J337-K337-L337-M337-O337</f>
        <v>574405.55000000005</v>
      </c>
      <c r="O337" s="22">
        <v>10148.549999999999</v>
      </c>
      <c r="P337" s="22">
        <f>J337/H337</f>
        <v>169</v>
      </c>
      <c r="Q337" s="22">
        <f>'Форма 2'!K1218</f>
        <v>169</v>
      </c>
      <c r="R337" s="31">
        <v>2021</v>
      </c>
      <c r="S337" s="168">
        <v>1</v>
      </c>
    </row>
    <row r="338" spans="1:19" s="1" customFormat="1" ht="15.75" customHeight="1" x14ac:dyDescent="0.25">
      <c r="A338" s="236">
        <f t="shared" ref="A338:A339" si="125">A337+1</f>
        <v>4</v>
      </c>
      <c r="B338" s="236">
        <v>6007</v>
      </c>
      <c r="C338" s="252" t="s">
        <v>392</v>
      </c>
      <c r="D338" s="251">
        <v>1961</v>
      </c>
      <c r="E338" s="251" t="s">
        <v>68</v>
      </c>
      <c r="F338" s="251" t="s">
        <v>81</v>
      </c>
      <c r="G338" s="22">
        <v>4050.5</v>
      </c>
      <c r="H338" s="22">
        <v>3159.5</v>
      </c>
      <c r="I338" s="15">
        <v>121</v>
      </c>
      <c r="J338" s="22">
        <f>'Форма 2'!I1220</f>
        <v>434435.47</v>
      </c>
      <c r="K338" s="22">
        <v>0</v>
      </c>
      <c r="L338" s="22">
        <v>0</v>
      </c>
      <c r="M338" s="22">
        <v>0</v>
      </c>
      <c r="N338" s="22">
        <f t="shared" si="122"/>
        <v>426893.15</v>
      </c>
      <c r="O338" s="22">
        <v>7542.32</v>
      </c>
      <c r="P338" s="22">
        <f t="shared" si="123"/>
        <v>137.5</v>
      </c>
      <c r="Q338" s="22">
        <f>'Форма 2'!K1220</f>
        <v>169</v>
      </c>
      <c r="R338" s="31">
        <v>2021</v>
      </c>
      <c r="S338" s="168">
        <v>1</v>
      </c>
    </row>
    <row r="339" spans="1:19" s="71" customFormat="1" ht="15.75" customHeight="1" x14ac:dyDescent="0.25">
      <c r="A339" s="236">
        <f t="shared" si="125"/>
        <v>5</v>
      </c>
      <c r="B339" s="242">
        <v>6024</v>
      </c>
      <c r="C339" s="232" t="s">
        <v>393</v>
      </c>
      <c r="D339" s="251">
        <v>1966</v>
      </c>
      <c r="E339" s="256" t="s">
        <v>68</v>
      </c>
      <c r="F339" s="251" t="s">
        <v>81</v>
      </c>
      <c r="G339" s="22">
        <v>2982.4</v>
      </c>
      <c r="H339" s="22">
        <v>2445.6</v>
      </c>
      <c r="I339" s="15">
        <v>98</v>
      </c>
      <c r="J339" s="22">
        <f>'Форма 2'!I1222</f>
        <v>401078.4</v>
      </c>
      <c r="K339" s="22">
        <v>0</v>
      </c>
      <c r="L339" s="22">
        <v>0</v>
      </c>
      <c r="M339" s="22">
        <v>0</v>
      </c>
      <c r="N339" s="22">
        <f t="shared" si="122"/>
        <v>394115.2</v>
      </c>
      <c r="O339" s="22">
        <v>6963.2</v>
      </c>
      <c r="P339" s="14">
        <f t="shared" si="123"/>
        <v>164</v>
      </c>
      <c r="Q339" s="22">
        <f>'Форма 2'!K1222</f>
        <v>164</v>
      </c>
      <c r="R339" s="31">
        <v>2021</v>
      </c>
      <c r="S339" s="168">
        <v>1</v>
      </c>
    </row>
    <row r="340" spans="1:19" s="71" customFormat="1" ht="15.75" customHeight="1" x14ac:dyDescent="0.25">
      <c r="A340" s="236">
        <f t="shared" ref="A340:A383" si="126">A339+1</f>
        <v>6</v>
      </c>
      <c r="B340" s="236">
        <v>6026</v>
      </c>
      <c r="C340" s="252" t="s">
        <v>382</v>
      </c>
      <c r="D340" s="251">
        <v>1982</v>
      </c>
      <c r="E340" s="256" t="s">
        <v>68</v>
      </c>
      <c r="F340" s="251" t="s">
        <v>114</v>
      </c>
      <c r="G340" s="22">
        <v>3706.7</v>
      </c>
      <c r="H340" s="22">
        <v>2728.7</v>
      </c>
      <c r="I340" s="15">
        <v>103</v>
      </c>
      <c r="J340" s="22">
        <f>'Форма 2'!I1224</f>
        <v>6428255.9900000002</v>
      </c>
      <c r="K340" s="22">
        <v>0</v>
      </c>
      <c r="L340" s="22">
        <v>0</v>
      </c>
      <c r="M340" s="22">
        <v>0</v>
      </c>
      <c r="N340" s="22">
        <f>J340-K340-L340-M340-O340</f>
        <v>6316653.8200000003</v>
      </c>
      <c r="O340" s="22">
        <v>111602.17</v>
      </c>
      <c r="P340" s="22">
        <f t="shared" si="123"/>
        <v>2355.79</v>
      </c>
      <c r="Q340" s="22">
        <f>'Форма 2'!K1224</f>
        <v>3878</v>
      </c>
      <c r="R340" s="31">
        <v>2021</v>
      </c>
      <c r="S340" s="168">
        <v>1</v>
      </c>
    </row>
    <row r="341" spans="1:19" s="71" customFormat="1" ht="15.75" customHeight="1" x14ac:dyDescent="0.25">
      <c r="A341" s="236">
        <f t="shared" si="126"/>
        <v>7</v>
      </c>
      <c r="B341" s="236">
        <v>6030</v>
      </c>
      <c r="C341" s="252" t="s">
        <v>383</v>
      </c>
      <c r="D341" s="251">
        <v>1974</v>
      </c>
      <c r="E341" s="256" t="s">
        <v>68</v>
      </c>
      <c r="F341" s="251" t="s">
        <v>114</v>
      </c>
      <c r="G341" s="22">
        <v>17546.48</v>
      </c>
      <c r="H341" s="22">
        <v>16127.59</v>
      </c>
      <c r="I341" s="15">
        <v>458</v>
      </c>
      <c r="J341" s="22">
        <f>'Форма 2'!I1227</f>
        <v>10578755.75</v>
      </c>
      <c r="K341" s="22">
        <v>0</v>
      </c>
      <c r="L341" s="22">
        <v>0</v>
      </c>
      <c r="M341" s="22">
        <v>0</v>
      </c>
      <c r="N341" s="22">
        <f>J341-K341-L341-M341-O341</f>
        <v>10395095.960000001</v>
      </c>
      <c r="O341" s="22">
        <v>183659.79</v>
      </c>
      <c r="P341" s="22">
        <f t="shared" si="123"/>
        <v>655.94</v>
      </c>
      <c r="Q341" s="22">
        <f>'Форма 2'!K1227</f>
        <v>2492</v>
      </c>
      <c r="R341" s="31">
        <v>2021</v>
      </c>
      <c r="S341" s="168">
        <v>1</v>
      </c>
    </row>
    <row r="342" spans="1:19" s="71" customFormat="1" ht="15.75" customHeight="1" x14ac:dyDescent="0.25">
      <c r="A342" s="236">
        <f>A341+1</f>
        <v>8</v>
      </c>
      <c r="B342" s="253">
        <v>6031</v>
      </c>
      <c r="C342" s="252" t="s">
        <v>416</v>
      </c>
      <c r="D342" s="251" t="s">
        <v>243</v>
      </c>
      <c r="E342" s="256" t="s">
        <v>68</v>
      </c>
      <c r="F342" s="251" t="s">
        <v>81</v>
      </c>
      <c r="G342" s="22">
        <v>7107.46</v>
      </c>
      <c r="H342" s="22">
        <v>5197.3900000000003</v>
      </c>
      <c r="I342" s="15">
        <v>196</v>
      </c>
      <c r="J342" s="22">
        <f>'Форма 2'!I1230</f>
        <v>553549.34</v>
      </c>
      <c r="K342" s="22">
        <v>0</v>
      </c>
      <c r="L342" s="22">
        <v>0</v>
      </c>
      <c r="M342" s="22">
        <v>0</v>
      </c>
      <c r="N342" s="22">
        <f t="shared" ref="N342" si="127">J342-K342-L342-M342-O342</f>
        <v>543939.06000000006</v>
      </c>
      <c r="O342" s="22">
        <v>9610.2800000000007</v>
      </c>
      <c r="P342" s="22">
        <f t="shared" si="123"/>
        <v>106.51</v>
      </c>
      <c r="Q342" s="22">
        <f>'Форма 2'!K1230</f>
        <v>169</v>
      </c>
      <c r="R342" s="31">
        <v>2021</v>
      </c>
      <c r="S342" s="168">
        <v>1</v>
      </c>
    </row>
    <row r="343" spans="1:19" s="71" customFormat="1" ht="15.75" customHeight="1" x14ac:dyDescent="0.25">
      <c r="A343" s="236">
        <f>A342+1</f>
        <v>9</v>
      </c>
      <c r="B343" s="236">
        <v>6039</v>
      </c>
      <c r="C343" s="252" t="s">
        <v>550</v>
      </c>
      <c r="D343" s="251">
        <v>1973</v>
      </c>
      <c r="E343" s="256" t="s">
        <v>86</v>
      </c>
      <c r="F343" s="251" t="s">
        <v>82</v>
      </c>
      <c r="G343" s="22">
        <v>10649.7</v>
      </c>
      <c r="H343" s="22">
        <v>6661.52</v>
      </c>
      <c r="I343" s="15">
        <v>252</v>
      </c>
      <c r="J343" s="22">
        <f>'Форма 2'!I1232</f>
        <v>2458756</v>
      </c>
      <c r="K343" s="22">
        <v>0</v>
      </c>
      <c r="L343" s="22">
        <v>0</v>
      </c>
      <c r="M343" s="22">
        <v>0</v>
      </c>
      <c r="N343" s="22">
        <f>J343-K343-L343-M343-O343</f>
        <v>2416069.0699999998</v>
      </c>
      <c r="O343" s="22">
        <v>42686.93</v>
      </c>
      <c r="P343" s="22">
        <f>J343/H343</f>
        <v>369.1</v>
      </c>
      <c r="Q343" s="22">
        <f>'Форма 2'!K1232</f>
        <v>377</v>
      </c>
      <c r="R343" s="31">
        <v>2021</v>
      </c>
      <c r="S343" s="168">
        <v>1</v>
      </c>
    </row>
    <row r="344" spans="1:19" s="71" customFormat="1" ht="31.5" customHeight="1" x14ac:dyDescent="0.25">
      <c r="A344" s="236">
        <f t="shared" si="126"/>
        <v>10</v>
      </c>
      <c r="B344" s="236">
        <v>6045</v>
      </c>
      <c r="C344" s="252" t="s">
        <v>560</v>
      </c>
      <c r="D344" s="251" t="s">
        <v>564</v>
      </c>
      <c r="E344" s="256" t="s">
        <v>86</v>
      </c>
      <c r="F344" s="251" t="s">
        <v>81</v>
      </c>
      <c r="G344" s="22">
        <v>39009.9</v>
      </c>
      <c r="H344" s="22">
        <v>34688.300000000003</v>
      </c>
      <c r="I344" s="15">
        <v>1375</v>
      </c>
      <c r="J344" s="22">
        <f>'Форма 2'!I1235</f>
        <v>32281</v>
      </c>
      <c r="K344" s="22">
        <v>0</v>
      </c>
      <c r="L344" s="22">
        <v>0</v>
      </c>
      <c r="M344" s="22">
        <v>0</v>
      </c>
      <c r="N344" s="22">
        <f>J344-K344-L344-M344-O344</f>
        <v>31720.560000000001</v>
      </c>
      <c r="O344" s="22">
        <v>560.44000000000005</v>
      </c>
      <c r="P344" s="22">
        <f>J344/H344</f>
        <v>0.93</v>
      </c>
      <c r="Q344" s="22">
        <f>'Форма 2'!K1235</f>
        <v>0.93</v>
      </c>
      <c r="R344" s="31">
        <v>2021</v>
      </c>
      <c r="S344" s="168">
        <v>1</v>
      </c>
    </row>
    <row r="345" spans="1:19" s="71" customFormat="1" ht="47.25" customHeight="1" x14ac:dyDescent="0.25">
      <c r="A345" s="236">
        <f t="shared" si="126"/>
        <v>11</v>
      </c>
      <c r="B345" s="253">
        <v>6061</v>
      </c>
      <c r="C345" s="252" t="s">
        <v>462</v>
      </c>
      <c r="D345" s="251" t="s">
        <v>474</v>
      </c>
      <c r="E345" s="256" t="s">
        <v>86</v>
      </c>
      <c r="F345" s="251" t="s">
        <v>475</v>
      </c>
      <c r="G345" s="22">
        <v>46580.1</v>
      </c>
      <c r="H345" s="22">
        <v>43711.7</v>
      </c>
      <c r="I345" s="15">
        <v>1568</v>
      </c>
      <c r="J345" s="22">
        <f>'Форма 2'!I1237</f>
        <v>11369640</v>
      </c>
      <c r="K345" s="22">
        <v>0</v>
      </c>
      <c r="L345" s="22">
        <v>0</v>
      </c>
      <c r="M345" s="22">
        <v>0</v>
      </c>
      <c r="N345" s="22">
        <f>J345-K345-L345-M345-O345</f>
        <v>11172249.52</v>
      </c>
      <c r="O345" s="22">
        <v>197390.48</v>
      </c>
      <c r="P345" s="22">
        <f>J345/H345</f>
        <v>260.11</v>
      </c>
      <c r="Q345" s="22">
        <f>'Форма 2'!K1237</f>
        <v>265.61</v>
      </c>
      <c r="R345" s="31">
        <v>2021</v>
      </c>
      <c r="S345" s="168">
        <v>1</v>
      </c>
    </row>
    <row r="346" spans="1:19" s="71" customFormat="1" ht="15.75" customHeight="1" x14ac:dyDescent="0.25">
      <c r="A346" s="236">
        <f>A345+1</f>
        <v>12</v>
      </c>
      <c r="B346" s="236">
        <v>5835</v>
      </c>
      <c r="C346" s="252" t="s">
        <v>394</v>
      </c>
      <c r="D346" s="251">
        <v>1960</v>
      </c>
      <c r="E346" s="251" t="s">
        <v>68</v>
      </c>
      <c r="F346" s="251" t="s">
        <v>83</v>
      </c>
      <c r="G346" s="22">
        <v>4087.2</v>
      </c>
      <c r="H346" s="22">
        <v>3133.1</v>
      </c>
      <c r="I346" s="15">
        <v>118</v>
      </c>
      <c r="J346" s="22">
        <f>'Форма 2'!I1253</f>
        <v>3997122.8</v>
      </c>
      <c r="K346" s="22">
        <v>0</v>
      </c>
      <c r="L346" s="22">
        <v>0</v>
      </c>
      <c r="M346" s="22">
        <v>0</v>
      </c>
      <c r="N346" s="22">
        <f t="shared" si="122"/>
        <v>3927727.99</v>
      </c>
      <c r="O346" s="22">
        <v>69394.81</v>
      </c>
      <c r="P346" s="22">
        <f t="shared" si="123"/>
        <v>1275.77</v>
      </c>
      <c r="Q346" s="22">
        <f>'Форма 2'!K1253</f>
        <v>3966</v>
      </c>
      <c r="R346" s="31">
        <v>2022</v>
      </c>
      <c r="S346" s="168">
        <v>1</v>
      </c>
    </row>
    <row r="347" spans="1:19" s="71" customFormat="1" ht="15.75" customHeight="1" x14ac:dyDescent="0.25">
      <c r="A347" s="236">
        <f t="shared" si="126"/>
        <v>13</v>
      </c>
      <c r="B347" s="236">
        <v>5836</v>
      </c>
      <c r="C347" s="252" t="s">
        <v>395</v>
      </c>
      <c r="D347" s="251">
        <v>1959</v>
      </c>
      <c r="E347" s="251" t="s">
        <v>68</v>
      </c>
      <c r="F347" s="251" t="s">
        <v>83</v>
      </c>
      <c r="G347" s="22">
        <v>1657.2</v>
      </c>
      <c r="H347" s="22">
        <v>1222.0999999999999</v>
      </c>
      <c r="I347" s="15">
        <v>46</v>
      </c>
      <c r="J347" s="22">
        <f>'Форма 2'!I1256</f>
        <v>2138430.58</v>
      </c>
      <c r="K347" s="22">
        <v>0</v>
      </c>
      <c r="L347" s="22">
        <v>0</v>
      </c>
      <c r="M347" s="22">
        <v>0</v>
      </c>
      <c r="N347" s="22">
        <f t="shared" si="122"/>
        <v>2101304.88</v>
      </c>
      <c r="O347" s="22">
        <v>37125.699999999997</v>
      </c>
      <c r="P347" s="22">
        <f t="shared" si="123"/>
        <v>1749.8</v>
      </c>
      <c r="Q347" s="22">
        <f>'Форма 2'!K1256</f>
        <v>5275</v>
      </c>
      <c r="R347" s="31">
        <v>2022</v>
      </c>
      <c r="S347" s="168">
        <v>1</v>
      </c>
    </row>
    <row r="348" spans="1:19" s="71" customFormat="1" ht="15.75" customHeight="1" x14ac:dyDescent="0.25">
      <c r="A348" s="236">
        <f t="shared" si="126"/>
        <v>14</v>
      </c>
      <c r="B348" s="236">
        <v>5847</v>
      </c>
      <c r="C348" s="252" t="s">
        <v>396</v>
      </c>
      <c r="D348" s="251">
        <v>1969</v>
      </c>
      <c r="E348" s="256" t="s">
        <v>68</v>
      </c>
      <c r="F348" s="251" t="s">
        <v>83</v>
      </c>
      <c r="G348" s="22">
        <v>4420.6000000000004</v>
      </c>
      <c r="H348" s="22">
        <v>3433.2</v>
      </c>
      <c r="I348" s="15">
        <v>130</v>
      </c>
      <c r="J348" s="22">
        <f>'Форма 2'!I1259</f>
        <v>4353954.0199999996</v>
      </c>
      <c r="K348" s="22">
        <v>0</v>
      </c>
      <c r="L348" s="22">
        <v>0</v>
      </c>
      <c r="M348" s="22">
        <v>0</v>
      </c>
      <c r="N348" s="22">
        <f t="shared" si="122"/>
        <v>4278364.2</v>
      </c>
      <c r="O348" s="22">
        <v>75589.820000000007</v>
      </c>
      <c r="P348" s="22">
        <f t="shared" si="123"/>
        <v>1268.19</v>
      </c>
      <c r="Q348" s="22">
        <f>'Форма 2'!K1259</f>
        <v>3966</v>
      </c>
      <c r="R348" s="31">
        <v>2022</v>
      </c>
      <c r="S348" s="168">
        <v>1</v>
      </c>
    </row>
    <row r="349" spans="1:19" s="71" customFormat="1" ht="15.75" customHeight="1" x14ac:dyDescent="0.25">
      <c r="A349" s="236">
        <f t="shared" si="126"/>
        <v>15</v>
      </c>
      <c r="B349" s="236">
        <v>5851</v>
      </c>
      <c r="C349" s="252" t="s">
        <v>675</v>
      </c>
      <c r="D349" s="236">
        <v>1951</v>
      </c>
      <c r="E349" s="256" t="s">
        <v>68</v>
      </c>
      <c r="F349" s="251" t="s">
        <v>81</v>
      </c>
      <c r="G349" s="22">
        <v>969</v>
      </c>
      <c r="H349" s="22">
        <v>878.68</v>
      </c>
      <c r="I349" s="15">
        <v>33</v>
      </c>
      <c r="J349" s="22">
        <f>'Форма 2'!I1262</f>
        <v>228456.8</v>
      </c>
      <c r="K349" s="22">
        <v>0</v>
      </c>
      <c r="L349" s="22">
        <v>0</v>
      </c>
      <c r="M349" s="22">
        <v>0</v>
      </c>
      <c r="N349" s="22">
        <f>J349-K349-L349-M349-O349</f>
        <v>224490.52</v>
      </c>
      <c r="O349" s="22">
        <v>3966.28</v>
      </c>
      <c r="P349" s="22">
        <f>J349/H349</f>
        <v>260</v>
      </c>
      <c r="Q349" s="22">
        <f>'Форма 2'!K1262</f>
        <v>260</v>
      </c>
      <c r="R349" s="31">
        <v>2021</v>
      </c>
      <c r="S349" s="168">
        <v>1</v>
      </c>
    </row>
    <row r="350" spans="1:19" s="71" customFormat="1" ht="15.75" customHeight="1" x14ac:dyDescent="0.25">
      <c r="A350" s="236">
        <f t="shared" si="126"/>
        <v>16</v>
      </c>
      <c r="B350" s="236">
        <v>5864</v>
      </c>
      <c r="C350" s="252" t="s">
        <v>384</v>
      </c>
      <c r="D350" s="251">
        <v>1959</v>
      </c>
      <c r="E350" s="251" t="s">
        <v>68</v>
      </c>
      <c r="F350" s="251" t="s">
        <v>114</v>
      </c>
      <c r="G350" s="22">
        <v>3876.9</v>
      </c>
      <c r="H350" s="22">
        <v>2829</v>
      </c>
      <c r="I350" s="15">
        <v>107</v>
      </c>
      <c r="J350" s="22">
        <f>'Форма 2'!I1264</f>
        <v>6279270.4699999997</v>
      </c>
      <c r="K350" s="22">
        <v>0</v>
      </c>
      <c r="L350" s="22">
        <v>0</v>
      </c>
      <c r="M350" s="22">
        <v>0</v>
      </c>
      <c r="N350" s="22">
        <f t="shared" si="122"/>
        <v>6170254.8600000003</v>
      </c>
      <c r="O350" s="22">
        <v>109015.61</v>
      </c>
      <c r="P350" s="22">
        <f t="shared" si="123"/>
        <v>2219.61</v>
      </c>
      <c r="Q350" s="22">
        <f>'Форма 2'!K1264</f>
        <v>5144</v>
      </c>
      <c r="R350" s="31">
        <v>2021</v>
      </c>
      <c r="S350" s="168">
        <v>1</v>
      </c>
    </row>
    <row r="351" spans="1:19" s="71" customFormat="1" ht="15.75" customHeight="1" x14ac:dyDescent="0.25">
      <c r="A351" s="236">
        <f t="shared" si="126"/>
        <v>17</v>
      </c>
      <c r="B351" s="236">
        <v>5922</v>
      </c>
      <c r="C351" s="252" t="s">
        <v>397</v>
      </c>
      <c r="D351" s="251">
        <v>1968</v>
      </c>
      <c r="E351" s="256" t="s">
        <v>68</v>
      </c>
      <c r="F351" s="251" t="s">
        <v>87</v>
      </c>
      <c r="G351" s="22">
        <v>6820.4</v>
      </c>
      <c r="H351" s="22">
        <v>5449.1</v>
      </c>
      <c r="I351" s="15">
        <v>196</v>
      </c>
      <c r="J351" s="22">
        <f>'Форма 2'!I1267</f>
        <v>21274453.170000002</v>
      </c>
      <c r="K351" s="22">
        <v>0</v>
      </c>
      <c r="L351" s="22">
        <v>0</v>
      </c>
      <c r="M351" s="22">
        <v>0</v>
      </c>
      <c r="N351" s="22">
        <f t="shared" si="122"/>
        <v>20905103.359999999</v>
      </c>
      <c r="O351" s="22">
        <v>369349.81</v>
      </c>
      <c r="P351" s="22">
        <f t="shared" si="123"/>
        <v>3904.21</v>
      </c>
      <c r="Q351" s="22">
        <f>'Форма 2'!K1267</f>
        <v>4047</v>
      </c>
      <c r="R351" s="31">
        <v>2021</v>
      </c>
      <c r="S351" s="168">
        <v>1</v>
      </c>
    </row>
    <row r="352" spans="1:19" s="71" customFormat="1" ht="15.75" customHeight="1" x14ac:dyDescent="0.25">
      <c r="A352" s="236">
        <f t="shared" si="126"/>
        <v>18</v>
      </c>
      <c r="B352" s="236">
        <v>5925</v>
      </c>
      <c r="C352" s="252" t="s">
        <v>398</v>
      </c>
      <c r="D352" s="251">
        <v>1969</v>
      </c>
      <c r="E352" s="256" t="s">
        <v>68</v>
      </c>
      <c r="F352" s="251" t="s">
        <v>83</v>
      </c>
      <c r="G352" s="22">
        <v>4607.8999999999996</v>
      </c>
      <c r="H352" s="22">
        <v>3413.9</v>
      </c>
      <c r="I352" s="15">
        <v>129</v>
      </c>
      <c r="J352" s="22">
        <f>'Форма 2'!I1271</f>
        <v>4325282.45</v>
      </c>
      <c r="K352" s="22">
        <v>0</v>
      </c>
      <c r="L352" s="22">
        <v>0</v>
      </c>
      <c r="M352" s="22">
        <v>0</v>
      </c>
      <c r="N352" s="22">
        <f t="shared" si="122"/>
        <v>4250190.4000000004</v>
      </c>
      <c r="O352" s="22">
        <v>75092.05</v>
      </c>
      <c r="P352" s="22">
        <f t="shared" si="123"/>
        <v>1266.96</v>
      </c>
      <c r="Q352" s="22">
        <f>'Форма 2'!K1271</f>
        <v>3966</v>
      </c>
      <c r="R352" s="31">
        <v>2022</v>
      </c>
      <c r="S352" s="168">
        <v>1</v>
      </c>
    </row>
    <row r="353" spans="1:19" s="71" customFormat="1" ht="15.75" customHeight="1" x14ac:dyDescent="0.25">
      <c r="A353" s="236">
        <f t="shared" si="126"/>
        <v>19</v>
      </c>
      <c r="B353" s="236">
        <v>5928</v>
      </c>
      <c r="C353" s="252" t="s">
        <v>399</v>
      </c>
      <c r="D353" s="251">
        <v>1968</v>
      </c>
      <c r="E353" s="256" t="s">
        <v>68</v>
      </c>
      <c r="F353" s="251" t="s">
        <v>83</v>
      </c>
      <c r="G353" s="22">
        <v>6751.7</v>
      </c>
      <c r="H353" s="22">
        <v>5262.7</v>
      </c>
      <c r="I353" s="15">
        <v>199</v>
      </c>
      <c r="J353" s="22">
        <f>'Форма 2'!I1274</f>
        <v>6566241.5199999996</v>
      </c>
      <c r="K353" s="22">
        <v>0</v>
      </c>
      <c r="L353" s="22">
        <v>0</v>
      </c>
      <c r="M353" s="22">
        <v>0</v>
      </c>
      <c r="N353" s="22">
        <f t="shared" si="122"/>
        <v>6452243.7599999998</v>
      </c>
      <c r="O353" s="22">
        <v>113997.75999999999</v>
      </c>
      <c r="P353" s="22">
        <f t="shared" si="123"/>
        <v>1247.69</v>
      </c>
      <c r="Q353" s="22">
        <f>'Форма 2'!K1274</f>
        <v>3966</v>
      </c>
      <c r="R353" s="31">
        <v>2022</v>
      </c>
      <c r="S353" s="168">
        <v>1</v>
      </c>
    </row>
    <row r="354" spans="1:19" s="71" customFormat="1" ht="15.75" customHeight="1" x14ac:dyDescent="0.25">
      <c r="A354" s="236">
        <f t="shared" si="126"/>
        <v>20</v>
      </c>
      <c r="B354" s="236">
        <v>6080</v>
      </c>
      <c r="C354" s="252" t="s">
        <v>400</v>
      </c>
      <c r="D354" s="251">
        <v>1961</v>
      </c>
      <c r="E354" s="251" t="s">
        <v>68</v>
      </c>
      <c r="F354" s="251" t="s">
        <v>81</v>
      </c>
      <c r="G354" s="22">
        <v>3234.2</v>
      </c>
      <c r="H354" s="22">
        <v>2511.4</v>
      </c>
      <c r="I354" s="15">
        <v>95</v>
      </c>
      <c r="J354" s="22">
        <f>'Форма 2'!I1277</f>
        <v>366807.82</v>
      </c>
      <c r="K354" s="22">
        <v>0</v>
      </c>
      <c r="L354" s="22">
        <v>0</v>
      </c>
      <c r="M354" s="22">
        <v>0</v>
      </c>
      <c r="N354" s="22">
        <f t="shared" si="122"/>
        <v>360439.6</v>
      </c>
      <c r="O354" s="22">
        <v>6368.22</v>
      </c>
      <c r="P354" s="22">
        <f t="shared" si="123"/>
        <v>146.06</v>
      </c>
      <c r="Q354" s="22">
        <f>'Форма 2'!K1277</f>
        <v>169</v>
      </c>
      <c r="R354" s="31">
        <v>2021</v>
      </c>
      <c r="S354" s="168">
        <v>1</v>
      </c>
    </row>
    <row r="355" spans="1:19" s="71" customFormat="1" ht="15.75" customHeight="1" x14ac:dyDescent="0.25">
      <c r="A355" s="236">
        <f t="shared" si="126"/>
        <v>21</v>
      </c>
      <c r="B355" s="167">
        <v>6090</v>
      </c>
      <c r="C355" s="252" t="s">
        <v>676</v>
      </c>
      <c r="D355" s="251">
        <v>1962</v>
      </c>
      <c r="E355" s="251" t="s">
        <v>68</v>
      </c>
      <c r="F355" s="251" t="s">
        <v>81</v>
      </c>
      <c r="G355" s="22">
        <v>4386.8999999999996</v>
      </c>
      <c r="H355" s="22">
        <v>3430.2</v>
      </c>
      <c r="I355" s="15">
        <v>129</v>
      </c>
      <c r="J355" s="22">
        <f>'Форма 2'!I1279</f>
        <v>579703.80000000005</v>
      </c>
      <c r="K355" s="22">
        <v>0</v>
      </c>
      <c r="L355" s="22">
        <v>0</v>
      </c>
      <c r="M355" s="22">
        <v>0</v>
      </c>
      <c r="N355" s="22">
        <f>J355-K355-L355-M355-O355</f>
        <v>569639.44999999995</v>
      </c>
      <c r="O355" s="22">
        <v>10064.35</v>
      </c>
      <c r="P355" s="22">
        <f>J355/H355</f>
        <v>169</v>
      </c>
      <c r="Q355" s="22">
        <f>'Форма 2'!K1279</f>
        <v>169</v>
      </c>
      <c r="R355" s="31">
        <v>2021</v>
      </c>
      <c r="S355" s="168">
        <v>1</v>
      </c>
    </row>
    <row r="356" spans="1:19" s="71" customFormat="1" ht="15.75" customHeight="1" x14ac:dyDescent="0.25">
      <c r="A356" s="236">
        <f t="shared" si="126"/>
        <v>22</v>
      </c>
      <c r="B356" s="253">
        <v>6117</v>
      </c>
      <c r="C356" s="252" t="s">
        <v>417</v>
      </c>
      <c r="D356" s="251" t="s">
        <v>243</v>
      </c>
      <c r="E356" s="256" t="s">
        <v>68</v>
      </c>
      <c r="F356" s="251" t="s">
        <v>81</v>
      </c>
      <c r="G356" s="22">
        <v>5741</v>
      </c>
      <c r="H356" s="22">
        <v>4372.33</v>
      </c>
      <c r="I356" s="15">
        <v>165</v>
      </c>
      <c r="J356" s="22">
        <f>'Форма 2'!I1281</f>
        <v>481754</v>
      </c>
      <c r="K356" s="22">
        <v>0</v>
      </c>
      <c r="L356" s="22">
        <v>0</v>
      </c>
      <c r="M356" s="22">
        <v>0</v>
      </c>
      <c r="N356" s="22">
        <f t="shared" si="122"/>
        <v>473390.18</v>
      </c>
      <c r="O356" s="22">
        <v>8363.82</v>
      </c>
      <c r="P356" s="22">
        <f t="shared" si="123"/>
        <v>110.18</v>
      </c>
      <c r="Q356" s="22">
        <f>'Форма 2'!K1281</f>
        <v>169</v>
      </c>
      <c r="R356" s="31">
        <v>2021</v>
      </c>
      <c r="S356" s="168">
        <v>1</v>
      </c>
    </row>
    <row r="357" spans="1:19" s="71" customFormat="1" ht="15.75" customHeight="1" x14ac:dyDescent="0.25">
      <c r="A357" s="236">
        <f t="shared" si="126"/>
        <v>23</v>
      </c>
      <c r="B357" s="236">
        <v>6120</v>
      </c>
      <c r="C357" s="252" t="s">
        <v>555</v>
      </c>
      <c r="D357" s="236">
        <v>1971</v>
      </c>
      <c r="E357" s="251" t="s">
        <v>86</v>
      </c>
      <c r="F357" s="251" t="s">
        <v>82</v>
      </c>
      <c r="G357" s="22">
        <v>3182.7</v>
      </c>
      <c r="H357" s="22">
        <v>2259.1</v>
      </c>
      <c r="I357" s="15">
        <v>85</v>
      </c>
      <c r="J357" s="22">
        <f>'Форма 2'!I1283</f>
        <v>1894191.72</v>
      </c>
      <c r="K357" s="32">
        <v>0</v>
      </c>
      <c r="L357" s="32">
        <v>0</v>
      </c>
      <c r="M357" s="32">
        <v>0</v>
      </c>
      <c r="N357" s="22">
        <f t="shared" si="122"/>
        <v>1861306.3</v>
      </c>
      <c r="O357" s="22">
        <v>32885.42</v>
      </c>
      <c r="P357" s="22">
        <f t="shared" si="123"/>
        <v>838.47</v>
      </c>
      <c r="Q357" s="22">
        <f>'Форма 2'!K1283</f>
        <v>1013.5</v>
      </c>
      <c r="R357" s="31">
        <v>2021</v>
      </c>
      <c r="S357" s="168">
        <v>1</v>
      </c>
    </row>
    <row r="358" spans="1:19" s="71" customFormat="1" ht="15.75" customHeight="1" x14ac:dyDescent="0.25">
      <c r="A358" s="236">
        <f>A357+1</f>
        <v>24</v>
      </c>
      <c r="B358" s="236">
        <v>6145</v>
      </c>
      <c r="C358" s="252" t="s">
        <v>401</v>
      </c>
      <c r="D358" s="251">
        <v>1954</v>
      </c>
      <c r="E358" s="251" t="s">
        <v>93</v>
      </c>
      <c r="F358" s="251" t="s">
        <v>81</v>
      </c>
      <c r="G358" s="22">
        <v>1799.8</v>
      </c>
      <c r="H358" s="22">
        <v>1653.94</v>
      </c>
      <c r="I358" s="15">
        <v>68</v>
      </c>
      <c r="J358" s="22">
        <f>'Форма 2'!I1286</f>
        <v>322518.3</v>
      </c>
      <c r="K358" s="22">
        <v>0</v>
      </c>
      <c r="L358" s="22">
        <v>0</v>
      </c>
      <c r="M358" s="22">
        <v>0</v>
      </c>
      <c r="N358" s="22">
        <f t="shared" si="122"/>
        <v>316919</v>
      </c>
      <c r="O358" s="22">
        <v>5599.3</v>
      </c>
      <c r="P358" s="22">
        <f t="shared" si="123"/>
        <v>195</v>
      </c>
      <c r="Q358" s="22">
        <f>'Форма 2'!K1286</f>
        <v>195</v>
      </c>
      <c r="R358" s="31">
        <v>2021</v>
      </c>
      <c r="S358" s="168">
        <v>1</v>
      </c>
    </row>
    <row r="359" spans="1:19" s="71" customFormat="1" ht="15.75" customHeight="1" x14ac:dyDescent="0.25">
      <c r="A359" s="236">
        <f t="shared" ref="A359" si="128">A358+1</f>
        <v>25</v>
      </c>
      <c r="B359" s="236">
        <v>6162</v>
      </c>
      <c r="C359" s="252" t="s">
        <v>677</v>
      </c>
      <c r="D359" s="236">
        <v>1962</v>
      </c>
      <c r="E359" s="251" t="s">
        <v>68</v>
      </c>
      <c r="F359" s="251" t="s">
        <v>81</v>
      </c>
      <c r="G359" s="22">
        <v>3301.2</v>
      </c>
      <c r="H359" s="22">
        <v>2535.1</v>
      </c>
      <c r="I359" s="15">
        <v>96</v>
      </c>
      <c r="J359" s="22">
        <f>'Форма 2'!I1290</f>
        <v>428431.9</v>
      </c>
      <c r="K359" s="22">
        <v>0</v>
      </c>
      <c r="L359" s="22">
        <v>0</v>
      </c>
      <c r="M359" s="22">
        <v>0</v>
      </c>
      <c r="N359" s="22">
        <f>J359-K359-L359-M359-O359</f>
        <v>420993.81</v>
      </c>
      <c r="O359" s="22">
        <v>7438.09</v>
      </c>
      <c r="P359" s="22">
        <f>J359/H359</f>
        <v>169</v>
      </c>
      <c r="Q359" s="22">
        <f>'Форма 2'!K1290</f>
        <v>169</v>
      </c>
      <c r="R359" s="31">
        <v>2021</v>
      </c>
      <c r="S359" s="168">
        <v>1</v>
      </c>
    </row>
    <row r="360" spans="1:19" s="71" customFormat="1" ht="15.75" customHeight="1" x14ac:dyDescent="0.25">
      <c r="A360" s="236">
        <f t="shared" ref="A360" si="129">A359+1</f>
        <v>26</v>
      </c>
      <c r="B360" s="236">
        <v>6163</v>
      </c>
      <c r="C360" s="252" t="s">
        <v>402</v>
      </c>
      <c r="D360" s="251">
        <v>1961</v>
      </c>
      <c r="E360" s="251" t="s">
        <v>68</v>
      </c>
      <c r="F360" s="251" t="s">
        <v>81</v>
      </c>
      <c r="G360" s="22">
        <v>3173.8</v>
      </c>
      <c r="H360" s="22">
        <v>2467.5</v>
      </c>
      <c r="I360" s="15">
        <v>93</v>
      </c>
      <c r="J360" s="22">
        <f>'Форма 2'!I1292</f>
        <v>377868.87</v>
      </c>
      <c r="K360" s="22">
        <v>0</v>
      </c>
      <c r="L360" s="22">
        <v>0</v>
      </c>
      <c r="M360" s="22">
        <v>0</v>
      </c>
      <c r="N360" s="22">
        <f t="shared" si="122"/>
        <v>371308.62</v>
      </c>
      <c r="O360" s="22">
        <v>6560.25</v>
      </c>
      <c r="P360" s="22">
        <f t="shared" si="123"/>
        <v>153.13999999999999</v>
      </c>
      <c r="Q360" s="22">
        <f>'Форма 2'!K1292</f>
        <v>169</v>
      </c>
      <c r="R360" s="31">
        <v>2021</v>
      </c>
      <c r="S360" s="168">
        <v>1</v>
      </c>
    </row>
    <row r="361" spans="1:19" s="71" customFormat="1" ht="15.75" customHeight="1" x14ac:dyDescent="0.25">
      <c r="A361" s="236">
        <f t="shared" si="126"/>
        <v>27</v>
      </c>
      <c r="B361" s="236">
        <v>6183</v>
      </c>
      <c r="C361" s="252" t="s">
        <v>386</v>
      </c>
      <c r="D361" s="251">
        <v>2009</v>
      </c>
      <c r="E361" s="256" t="s">
        <v>68</v>
      </c>
      <c r="F361" s="251" t="s">
        <v>114</v>
      </c>
      <c r="G361" s="22">
        <v>13239.2</v>
      </c>
      <c r="H361" s="22">
        <v>9992</v>
      </c>
      <c r="I361" s="15">
        <v>378</v>
      </c>
      <c r="J361" s="22">
        <f>'Форма 2'!I1294</f>
        <v>12500227.42</v>
      </c>
      <c r="K361" s="22">
        <v>0</v>
      </c>
      <c r="L361" s="22">
        <v>0</v>
      </c>
      <c r="M361" s="22">
        <v>0</v>
      </c>
      <c r="N361" s="22">
        <f>J361-K361-L361-M361-O361</f>
        <v>12283208.6</v>
      </c>
      <c r="O361" s="22">
        <v>217018.82</v>
      </c>
      <c r="P361" s="22">
        <f t="shared" si="123"/>
        <v>1251.02</v>
      </c>
      <c r="Q361" s="22">
        <f>'Форма 2'!K1294</f>
        <v>2492</v>
      </c>
      <c r="R361" s="31">
        <v>2021</v>
      </c>
      <c r="S361" s="168">
        <v>1</v>
      </c>
    </row>
    <row r="362" spans="1:19" s="71" customFormat="1" ht="15.75" customHeight="1" x14ac:dyDescent="0.25">
      <c r="A362" s="236">
        <f t="shared" si="126"/>
        <v>28</v>
      </c>
      <c r="B362" s="236">
        <v>6184</v>
      </c>
      <c r="C362" s="252" t="s">
        <v>387</v>
      </c>
      <c r="D362" s="251">
        <v>2008</v>
      </c>
      <c r="E362" s="256" t="s">
        <v>68</v>
      </c>
      <c r="F362" s="251" t="s">
        <v>114</v>
      </c>
      <c r="G362" s="22">
        <v>13239.2</v>
      </c>
      <c r="H362" s="22">
        <v>10125.5</v>
      </c>
      <c r="I362" s="15">
        <v>378</v>
      </c>
      <c r="J362" s="22">
        <f>'Форма 2'!I1297</f>
        <v>12812071.470000001</v>
      </c>
      <c r="K362" s="22">
        <v>0</v>
      </c>
      <c r="L362" s="22">
        <v>0</v>
      </c>
      <c r="M362" s="22">
        <v>0</v>
      </c>
      <c r="N362" s="22">
        <f>J362-K362-L362-M362-O362</f>
        <v>12589638.67</v>
      </c>
      <c r="O362" s="22">
        <v>222432.8</v>
      </c>
      <c r="P362" s="22">
        <f t="shared" si="123"/>
        <v>1265.33</v>
      </c>
      <c r="Q362" s="22">
        <f>'Форма 2'!K1297</f>
        <v>2492</v>
      </c>
      <c r="R362" s="31">
        <v>2021</v>
      </c>
      <c r="S362" s="168">
        <v>1</v>
      </c>
    </row>
    <row r="363" spans="1:19" s="71" customFormat="1" ht="15.75" customHeight="1" x14ac:dyDescent="0.25">
      <c r="A363" s="236">
        <f t="shared" si="126"/>
        <v>29</v>
      </c>
      <c r="B363" s="236">
        <v>6193</v>
      </c>
      <c r="C363" s="252" t="s">
        <v>556</v>
      </c>
      <c r="D363" s="236">
        <v>1990</v>
      </c>
      <c r="E363" s="256" t="s">
        <v>86</v>
      </c>
      <c r="F363" s="251" t="s">
        <v>419</v>
      </c>
      <c r="G363" s="22">
        <v>12387.7</v>
      </c>
      <c r="H363" s="22">
        <v>11067.6</v>
      </c>
      <c r="I363" s="15">
        <v>418</v>
      </c>
      <c r="J363" s="22">
        <f>'Форма 2'!I1300</f>
        <v>2241647</v>
      </c>
      <c r="K363" s="22">
        <v>0</v>
      </c>
      <c r="L363" s="22">
        <v>0</v>
      </c>
      <c r="M363" s="22">
        <v>0</v>
      </c>
      <c r="N363" s="22">
        <f t="shared" ref="N363" si="130">J363-K363-L363-M363-O363</f>
        <v>2202729.34</v>
      </c>
      <c r="O363" s="22">
        <v>38917.660000000003</v>
      </c>
      <c r="P363" s="22">
        <f>J363/H363</f>
        <v>202.54</v>
      </c>
      <c r="Q363" s="22">
        <f>'Форма 2'!K1300</f>
        <v>206.87</v>
      </c>
      <c r="R363" s="31">
        <v>2021</v>
      </c>
      <c r="S363" s="168">
        <v>1</v>
      </c>
    </row>
    <row r="364" spans="1:19" s="71" customFormat="1" ht="15.75" customHeight="1" x14ac:dyDescent="0.25">
      <c r="A364" s="236">
        <f>A363+1</f>
        <v>30</v>
      </c>
      <c r="B364" s="236">
        <v>6304</v>
      </c>
      <c r="C364" s="252" t="s">
        <v>403</v>
      </c>
      <c r="D364" s="251">
        <v>1969</v>
      </c>
      <c r="E364" s="256" t="s">
        <v>68</v>
      </c>
      <c r="F364" s="251" t="s">
        <v>81</v>
      </c>
      <c r="G364" s="22">
        <v>4221.4799999999996</v>
      </c>
      <c r="H364" s="22">
        <v>3493.48</v>
      </c>
      <c r="I364" s="15">
        <v>132</v>
      </c>
      <c r="J364" s="22">
        <f>'Форма 2'!I1303</f>
        <v>444118.28</v>
      </c>
      <c r="K364" s="22">
        <v>0</v>
      </c>
      <c r="L364" s="22">
        <v>0</v>
      </c>
      <c r="M364" s="22">
        <v>0</v>
      </c>
      <c r="N364" s="22">
        <f>J364-K364-L364-M364-O364</f>
        <v>436407.86</v>
      </c>
      <c r="O364" s="22">
        <v>7710.42</v>
      </c>
      <c r="P364" s="22">
        <f t="shared" si="123"/>
        <v>127.13</v>
      </c>
      <c r="Q364" s="22">
        <f>'Форма 2'!K1303</f>
        <v>169</v>
      </c>
      <c r="R364" s="31">
        <v>2021</v>
      </c>
      <c r="S364" s="168">
        <v>1</v>
      </c>
    </row>
    <row r="365" spans="1:19" s="71" customFormat="1" ht="15.75" customHeight="1" x14ac:dyDescent="0.25">
      <c r="A365" s="236">
        <f t="shared" si="126"/>
        <v>31</v>
      </c>
      <c r="B365" s="236">
        <v>6320</v>
      </c>
      <c r="C365" s="252" t="s">
        <v>563</v>
      </c>
      <c r="D365" s="236">
        <v>1995</v>
      </c>
      <c r="E365" s="251" t="s">
        <v>86</v>
      </c>
      <c r="F365" s="251" t="s">
        <v>81</v>
      </c>
      <c r="G365" s="22">
        <v>7526</v>
      </c>
      <c r="H365" s="22">
        <v>6684.9</v>
      </c>
      <c r="I365" s="15">
        <v>253</v>
      </c>
      <c r="J365" s="22">
        <f>'Форма 2'!I1305</f>
        <v>96843</v>
      </c>
      <c r="K365" s="22">
        <v>0</v>
      </c>
      <c r="L365" s="22">
        <v>0</v>
      </c>
      <c r="M365" s="22">
        <v>0</v>
      </c>
      <c r="N365" s="22">
        <f t="shared" ref="N365:N366" si="131">J365-K365-L365-M365-O365</f>
        <v>95161.69</v>
      </c>
      <c r="O365" s="22">
        <v>1681.31</v>
      </c>
      <c r="P365" s="22">
        <f t="shared" si="123"/>
        <v>14.49</v>
      </c>
      <c r="Q365" s="22">
        <f>'Форма 2'!K1305</f>
        <v>14.49</v>
      </c>
      <c r="R365" s="31">
        <v>2021</v>
      </c>
      <c r="S365" s="168">
        <v>1</v>
      </c>
    </row>
    <row r="366" spans="1:19" s="71" customFormat="1" ht="15.75" customHeight="1" x14ac:dyDescent="0.25">
      <c r="A366" s="236">
        <f t="shared" si="126"/>
        <v>32</v>
      </c>
      <c r="B366" s="236">
        <v>6330</v>
      </c>
      <c r="C366" s="252" t="s">
        <v>557</v>
      </c>
      <c r="D366" s="236">
        <v>1996</v>
      </c>
      <c r="E366" s="251" t="s">
        <v>86</v>
      </c>
      <c r="F366" s="251" t="s">
        <v>87</v>
      </c>
      <c r="G366" s="22">
        <v>11732.1</v>
      </c>
      <c r="H366" s="22">
        <v>10514.2</v>
      </c>
      <c r="I366" s="15">
        <v>397</v>
      </c>
      <c r="J366" s="22">
        <f>'Форма 2'!I1309</f>
        <v>4580137</v>
      </c>
      <c r="K366" s="22">
        <v>0</v>
      </c>
      <c r="L366" s="22">
        <v>0</v>
      </c>
      <c r="M366" s="22">
        <v>0</v>
      </c>
      <c r="N366" s="22">
        <f t="shared" si="131"/>
        <v>4500620.37</v>
      </c>
      <c r="O366" s="22">
        <v>79516.63</v>
      </c>
      <c r="P366" s="22">
        <f t="shared" si="123"/>
        <v>435.61</v>
      </c>
      <c r="Q366" s="22">
        <f>'Форма 2'!K1309</f>
        <v>444.73</v>
      </c>
      <c r="R366" s="31">
        <v>2021</v>
      </c>
      <c r="S366" s="168">
        <v>1</v>
      </c>
    </row>
    <row r="367" spans="1:19" s="71" customFormat="1" ht="15.75" customHeight="1" x14ac:dyDescent="0.25">
      <c r="A367" s="236">
        <f>A366+1</f>
        <v>33</v>
      </c>
      <c r="B367" s="236">
        <v>6359</v>
      </c>
      <c r="C367" s="252" t="s">
        <v>404</v>
      </c>
      <c r="D367" s="251">
        <v>1959</v>
      </c>
      <c r="E367" s="251" t="s">
        <v>68</v>
      </c>
      <c r="F367" s="251" t="s">
        <v>87</v>
      </c>
      <c r="G367" s="22">
        <v>4856</v>
      </c>
      <c r="H367" s="22">
        <v>3142.8</v>
      </c>
      <c r="I367" s="15">
        <v>119</v>
      </c>
      <c r="J367" s="22">
        <f>'Форма 2'!I1317</f>
        <v>14118727.6</v>
      </c>
      <c r="K367" s="22">
        <v>0</v>
      </c>
      <c r="L367" s="22">
        <v>0</v>
      </c>
      <c r="M367" s="22">
        <v>0</v>
      </c>
      <c r="N367" s="22">
        <f t="shared" si="122"/>
        <v>13873609.689999999</v>
      </c>
      <c r="O367" s="22">
        <v>245117.91</v>
      </c>
      <c r="P367" s="22">
        <f t="shared" si="123"/>
        <v>4492.3999999999996</v>
      </c>
      <c r="Q367" s="22">
        <f>'Форма 2'!K1317</f>
        <v>4617</v>
      </c>
      <c r="R367" s="31">
        <v>2021</v>
      </c>
      <c r="S367" s="168">
        <v>1</v>
      </c>
    </row>
    <row r="368" spans="1:19" s="71" customFormat="1" ht="15.75" customHeight="1" x14ac:dyDescent="0.25">
      <c r="A368" s="236">
        <f t="shared" si="126"/>
        <v>34</v>
      </c>
      <c r="B368" s="236">
        <v>6360</v>
      </c>
      <c r="C368" s="252" t="s">
        <v>405</v>
      </c>
      <c r="D368" s="251">
        <v>1959</v>
      </c>
      <c r="E368" s="251" t="s">
        <v>68</v>
      </c>
      <c r="F368" s="251" t="s">
        <v>87</v>
      </c>
      <c r="G368" s="22">
        <v>3876</v>
      </c>
      <c r="H368" s="22">
        <v>2816.3</v>
      </c>
      <c r="I368" s="15">
        <v>106</v>
      </c>
      <c r="J368" s="22">
        <f>'Форма 2'!I1321</f>
        <v>14782891.41</v>
      </c>
      <c r="K368" s="22">
        <v>0</v>
      </c>
      <c r="L368" s="22">
        <v>0</v>
      </c>
      <c r="M368" s="22">
        <v>0</v>
      </c>
      <c r="N368" s="22">
        <f t="shared" si="122"/>
        <v>14526242.84</v>
      </c>
      <c r="O368" s="22">
        <v>256648.57</v>
      </c>
      <c r="P368" s="22">
        <f t="shared" si="123"/>
        <v>5249.05</v>
      </c>
      <c r="Q368" s="22">
        <f>'Форма 2'!K1321</f>
        <v>5383</v>
      </c>
      <c r="R368" s="31">
        <v>2021</v>
      </c>
      <c r="S368" s="168">
        <v>1</v>
      </c>
    </row>
    <row r="369" spans="1:19" s="71" customFormat="1" ht="15.75" customHeight="1" x14ac:dyDescent="0.25">
      <c r="A369" s="236">
        <f t="shared" si="126"/>
        <v>35</v>
      </c>
      <c r="B369" s="236">
        <v>6363</v>
      </c>
      <c r="C369" s="252" t="s">
        <v>406</v>
      </c>
      <c r="D369" s="251">
        <v>1967</v>
      </c>
      <c r="E369" s="256" t="s">
        <v>68</v>
      </c>
      <c r="F369" s="251" t="s">
        <v>87</v>
      </c>
      <c r="G369" s="22">
        <v>2695.4</v>
      </c>
      <c r="H369" s="22">
        <v>2513.9</v>
      </c>
      <c r="I369" s="15">
        <v>95</v>
      </c>
      <c r="J369" s="22">
        <f>'Форма 2'!I1325</f>
        <v>9917545.9199999999</v>
      </c>
      <c r="K369" s="22">
        <v>0</v>
      </c>
      <c r="L369" s="22">
        <v>0</v>
      </c>
      <c r="M369" s="22">
        <v>0</v>
      </c>
      <c r="N369" s="22">
        <f t="shared" si="122"/>
        <v>9745365.5199999996</v>
      </c>
      <c r="O369" s="22">
        <v>172180.4</v>
      </c>
      <c r="P369" s="22">
        <f t="shared" si="123"/>
        <v>3945.08</v>
      </c>
      <c r="Q369" s="22">
        <f>'Форма 2'!K1325</f>
        <v>4047</v>
      </c>
      <c r="R369" s="31">
        <v>2021</v>
      </c>
      <c r="S369" s="168">
        <v>1</v>
      </c>
    </row>
    <row r="370" spans="1:19" s="71" customFormat="1" ht="15.75" customHeight="1" x14ac:dyDescent="0.25">
      <c r="A370" s="236">
        <f t="shared" si="126"/>
        <v>36</v>
      </c>
      <c r="B370" s="236">
        <v>6364</v>
      </c>
      <c r="C370" s="252" t="s">
        <v>388</v>
      </c>
      <c r="D370" s="251">
        <v>1967</v>
      </c>
      <c r="E370" s="256" t="s">
        <v>68</v>
      </c>
      <c r="F370" s="251" t="s">
        <v>114</v>
      </c>
      <c r="G370" s="22">
        <v>3412.3</v>
      </c>
      <c r="H370" s="22">
        <v>2466.5</v>
      </c>
      <c r="I370" s="15">
        <v>93</v>
      </c>
      <c r="J370" s="22">
        <f>'Форма 2'!I1329</f>
        <v>5734299.3099999996</v>
      </c>
      <c r="K370" s="22">
        <v>0</v>
      </c>
      <c r="L370" s="22">
        <v>0</v>
      </c>
      <c r="M370" s="22">
        <v>0</v>
      </c>
      <c r="N370" s="22">
        <f t="shared" si="122"/>
        <v>5634745.0499999998</v>
      </c>
      <c r="O370" s="22">
        <v>99554.26</v>
      </c>
      <c r="P370" s="22">
        <f t="shared" si="123"/>
        <v>2324.87</v>
      </c>
      <c r="Q370" s="22">
        <f>'Форма 2'!K1329</f>
        <v>3878</v>
      </c>
      <c r="R370" s="31">
        <v>2021</v>
      </c>
      <c r="S370" s="168">
        <v>1</v>
      </c>
    </row>
    <row r="371" spans="1:19" s="71" customFormat="1" ht="15.75" customHeight="1" x14ac:dyDescent="0.25">
      <c r="A371" s="236">
        <f t="shared" si="126"/>
        <v>37</v>
      </c>
      <c r="B371" s="236">
        <v>6365</v>
      </c>
      <c r="C371" s="252" t="s">
        <v>407</v>
      </c>
      <c r="D371" s="251">
        <v>1967</v>
      </c>
      <c r="E371" s="256" t="s">
        <v>68</v>
      </c>
      <c r="F371" s="251" t="s">
        <v>87</v>
      </c>
      <c r="G371" s="22">
        <v>3334.2</v>
      </c>
      <c r="H371" s="22">
        <v>2488.5</v>
      </c>
      <c r="I371" s="15">
        <v>94</v>
      </c>
      <c r="J371" s="22">
        <f>'Форма 2'!I1332</f>
        <v>9824585.4600000009</v>
      </c>
      <c r="K371" s="22">
        <v>0</v>
      </c>
      <c r="L371" s="22">
        <v>0</v>
      </c>
      <c r="M371" s="22">
        <v>0</v>
      </c>
      <c r="N371" s="22">
        <f t="shared" si="122"/>
        <v>9654018.9700000007</v>
      </c>
      <c r="O371" s="22">
        <v>170566.49</v>
      </c>
      <c r="P371" s="22">
        <f t="shared" si="123"/>
        <v>3947.99</v>
      </c>
      <c r="Q371" s="22">
        <f>'Форма 2'!K1332</f>
        <v>4047</v>
      </c>
      <c r="R371" s="31">
        <v>2021</v>
      </c>
      <c r="S371" s="168">
        <v>1</v>
      </c>
    </row>
    <row r="372" spans="1:19" s="71" customFormat="1" ht="15.75" customHeight="1" x14ac:dyDescent="0.25">
      <c r="A372" s="236">
        <f t="shared" si="126"/>
        <v>38</v>
      </c>
      <c r="B372" s="236">
        <v>6373</v>
      </c>
      <c r="C372" s="252" t="s">
        <v>558</v>
      </c>
      <c r="D372" s="236">
        <v>1990</v>
      </c>
      <c r="E372" s="256" t="s">
        <v>86</v>
      </c>
      <c r="F372" s="251" t="s">
        <v>82</v>
      </c>
      <c r="G372" s="22">
        <v>11155.32</v>
      </c>
      <c r="H372" s="22">
        <v>8155.3</v>
      </c>
      <c r="I372" s="15">
        <v>308</v>
      </c>
      <c r="J372" s="22">
        <f>'Форма 2'!I1336</f>
        <v>8966588</v>
      </c>
      <c r="K372" s="22">
        <v>0</v>
      </c>
      <c r="L372" s="22">
        <v>0</v>
      </c>
      <c r="M372" s="22">
        <v>0</v>
      </c>
      <c r="N372" s="22">
        <f>J372-K372-L372-M372-O372</f>
        <v>8810917.3599999994</v>
      </c>
      <c r="O372" s="22">
        <v>155670.64000000001</v>
      </c>
      <c r="P372" s="22">
        <f>J372/H372</f>
        <v>1099.48</v>
      </c>
      <c r="Q372" s="22">
        <f>'Форма 2'!K1336</f>
        <v>1123</v>
      </c>
      <c r="R372" s="31">
        <v>2021</v>
      </c>
      <c r="S372" s="168">
        <v>1</v>
      </c>
    </row>
    <row r="373" spans="1:19" s="71" customFormat="1" ht="15.75" customHeight="1" x14ac:dyDescent="0.25">
      <c r="A373" s="236">
        <f t="shared" si="126"/>
        <v>39</v>
      </c>
      <c r="B373" s="236">
        <v>6374</v>
      </c>
      <c r="C373" s="252" t="s">
        <v>470</v>
      </c>
      <c r="D373" s="236" t="s">
        <v>477</v>
      </c>
      <c r="E373" s="256" t="s">
        <v>86</v>
      </c>
      <c r="F373" s="251" t="s">
        <v>569</v>
      </c>
      <c r="G373" s="22">
        <v>12629.25</v>
      </c>
      <c r="H373" s="22">
        <v>9480</v>
      </c>
      <c r="I373" s="15">
        <v>358</v>
      </c>
      <c r="J373" s="22">
        <f>'Форма 2'!I1345</f>
        <v>7845764.5</v>
      </c>
      <c r="K373" s="22">
        <v>0</v>
      </c>
      <c r="L373" s="22">
        <v>0</v>
      </c>
      <c r="M373" s="22">
        <v>0</v>
      </c>
      <c r="N373" s="22">
        <f>J373-K373-L373-M373-O373</f>
        <v>7709552.6900000004</v>
      </c>
      <c r="O373" s="22">
        <v>136211.81</v>
      </c>
      <c r="P373" s="22">
        <f>J373/H373</f>
        <v>827.61</v>
      </c>
      <c r="Q373" s="22">
        <f>'Форма 2'!K1345</f>
        <v>1207.6099999999999</v>
      </c>
      <c r="R373" s="31">
        <v>2021</v>
      </c>
      <c r="S373" s="168">
        <v>1</v>
      </c>
    </row>
    <row r="374" spans="1:19" s="71" customFormat="1" ht="15.75" customHeight="1" x14ac:dyDescent="0.25">
      <c r="A374" s="236">
        <f>A373+1</f>
        <v>40</v>
      </c>
      <c r="B374" s="236">
        <v>6387</v>
      </c>
      <c r="C374" s="252" t="s">
        <v>471</v>
      </c>
      <c r="D374" s="236">
        <v>1955</v>
      </c>
      <c r="E374" s="256" t="s">
        <v>68</v>
      </c>
      <c r="F374" s="251" t="s">
        <v>114</v>
      </c>
      <c r="G374" s="22">
        <v>1507</v>
      </c>
      <c r="H374" s="22">
        <v>880</v>
      </c>
      <c r="I374" s="15">
        <v>33</v>
      </c>
      <c r="J374" s="22">
        <f>'Форма 2'!I1356</f>
        <v>3384402</v>
      </c>
      <c r="K374" s="22">
        <v>0</v>
      </c>
      <c r="L374" s="22">
        <v>0</v>
      </c>
      <c r="M374" s="22">
        <v>0</v>
      </c>
      <c r="N374" s="22">
        <f>J374-K374-L374-M374-O374</f>
        <v>3325644.75</v>
      </c>
      <c r="O374" s="22">
        <v>58757.25</v>
      </c>
      <c r="P374" s="22">
        <f t="shared" si="123"/>
        <v>3845.91</v>
      </c>
      <c r="Q374" s="22">
        <f>'Форма 2'!K1356</f>
        <v>7688</v>
      </c>
      <c r="R374" s="31">
        <v>2021</v>
      </c>
      <c r="S374" s="168">
        <v>1</v>
      </c>
    </row>
    <row r="375" spans="1:19" s="71" customFormat="1" ht="15.75" customHeight="1" x14ac:dyDescent="0.25">
      <c r="A375" s="236">
        <f>A374+1</f>
        <v>41</v>
      </c>
      <c r="B375" s="236">
        <v>6395</v>
      </c>
      <c r="C375" s="252" t="s">
        <v>408</v>
      </c>
      <c r="D375" s="251">
        <v>1959</v>
      </c>
      <c r="E375" s="256" t="s">
        <v>68</v>
      </c>
      <c r="F375" s="251" t="s">
        <v>87</v>
      </c>
      <c r="G375" s="22">
        <v>3874.4</v>
      </c>
      <c r="H375" s="22">
        <v>2820.2</v>
      </c>
      <c r="I375" s="15">
        <v>107</v>
      </c>
      <c r="J375" s="22">
        <f>'Форма 2'!I1359</f>
        <v>14811096.710000001</v>
      </c>
      <c r="K375" s="22">
        <v>0</v>
      </c>
      <c r="L375" s="22">
        <v>0</v>
      </c>
      <c r="M375" s="22">
        <v>0</v>
      </c>
      <c r="N375" s="22">
        <f t="shared" si="122"/>
        <v>14553958.460000001</v>
      </c>
      <c r="O375" s="22">
        <v>257138.25</v>
      </c>
      <c r="P375" s="22">
        <f t="shared" si="123"/>
        <v>5251.79</v>
      </c>
      <c r="Q375" s="22">
        <f>'Форма 2'!K1359</f>
        <v>5383</v>
      </c>
      <c r="R375" s="31">
        <v>2021</v>
      </c>
      <c r="S375" s="168">
        <v>1</v>
      </c>
    </row>
    <row r="376" spans="1:19" s="71" customFormat="1" ht="15.75" customHeight="1" x14ac:dyDescent="0.25">
      <c r="A376" s="236">
        <f t="shared" si="126"/>
        <v>42</v>
      </c>
      <c r="B376" s="236">
        <v>6399</v>
      </c>
      <c r="C376" s="252" t="s">
        <v>409</v>
      </c>
      <c r="D376" s="251">
        <v>1959</v>
      </c>
      <c r="E376" s="251" t="s">
        <v>68</v>
      </c>
      <c r="F376" s="251" t="s">
        <v>83</v>
      </c>
      <c r="G376" s="22">
        <v>4252.8999999999996</v>
      </c>
      <c r="H376" s="22">
        <v>3130.7</v>
      </c>
      <c r="I376" s="15">
        <v>118</v>
      </c>
      <c r="J376" s="22">
        <f>'Форма 2'!I1363</f>
        <v>4095268.67</v>
      </c>
      <c r="K376" s="22">
        <v>0</v>
      </c>
      <c r="L376" s="22">
        <v>0</v>
      </c>
      <c r="M376" s="22">
        <v>0</v>
      </c>
      <c r="N376" s="22">
        <f t="shared" si="122"/>
        <v>4024169.93</v>
      </c>
      <c r="O376" s="22">
        <v>71098.740000000005</v>
      </c>
      <c r="P376" s="22">
        <f t="shared" si="123"/>
        <v>1308.0999999999999</v>
      </c>
      <c r="Q376" s="22">
        <f>'Форма 2'!K1363</f>
        <v>3966</v>
      </c>
      <c r="R376" s="31">
        <v>2022</v>
      </c>
      <c r="S376" s="168">
        <v>1</v>
      </c>
    </row>
    <row r="377" spans="1:19" s="71" customFormat="1" ht="15.75" customHeight="1" x14ac:dyDescent="0.25">
      <c r="A377" s="236">
        <f t="shared" si="126"/>
        <v>43</v>
      </c>
      <c r="B377" s="236">
        <v>6400</v>
      </c>
      <c r="C377" s="252" t="s">
        <v>410</v>
      </c>
      <c r="D377" s="251">
        <v>1960</v>
      </c>
      <c r="E377" s="251" t="s">
        <v>93</v>
      </c>
      <c r="F377" s="251" t="s">
        <v>83</v>
      </c>
      <c r="G377" s="22">
        <v>3898.9</v>
      </c>
      <c r="H377" s="22">
        <v>2810.7</v>
      </c>
      <c r="I377" s="15">
        <v>106</v>
      </c>
      <c r="J377" s="22">
        <f>'Форма 2'!I1366</f>
        <v>3802459.75</v>
      </c>
      <c r="K377" s="22">
        <v>0</v>
      </c>
      <c r="L377" s="22">
        <v>0</v>
      </c>
      <c r="M377" s="22">
        <v>0</v>
      </c>
      <c r="N377" s="22">
        <f t="shared" si="122"/>
        <v>3736444.52</v>
      </c>
      <c r="O377" s="22">
        <v>66015.23</v>
      </c>
      <c r="P377" s="22">
        <f t="shared" si="123"/>
        <v>1352.85</v>
      </c>
      <c r="Q377" s="22">
        <f>'Форма 2'!K1366</f>
        <v>4161</v>
      </c>
      <c r="R377" s="31">
        <v>2022</v>
      </c>
      <c r="S377" s="168">
        <v>1</v>
      </c>
    </row>
    <row r="378" spans="1:19" s="71" customFormat="1" ht="15.75" customHeight="1" x14ac:dyDescent="0.25">
      <c r="A378" s="236">
        <f t="shared" si="126"/>
        <v>44</v>
      </c>
      <c r="B378" s="236">
        <v>6408</v>
      </c>
      <c r="C378" s="252" t="s">
        <v>559</v>
      </c>
      <c r="D378" s="236">
        <v>1994</v>
      </c>
      <c r="E378" s="251" t="s">
        <v>86</v>
      </c>
      <c r="F378" s="251" t="s">
        <v>381</v>
      </c>
      <c r="G378" s="22">
        <v>4545.7</v>
      </c>
      <c r="H378" s="22">
        <v>3930.3</v>
      </c>
      <c r="I378" s="15">
        <v>102</v>
      </c>
      <c r="J378" s="22">
        <f>'Форма 2'!I1373</f>
        <v>5448774.46</v>
      </c>
      <c r="K378" s="22">
        <v>0</v>
      </c>
      <c r="L378" s="22">
        <v>0</v>
      </c>
      <c r="M378" s="22">
        <v>0</v>
      </c>
      <c r="N378" s="22">
        <f t="shared" si="122"/>
        <v>5354177.25</v>
      </c>
      <c r="O378" s="22">
        <v>94597.21</v>
      </c>
      <c r="P378" s="22">
        <f>J378/H378</f>
        <v>1386.35</v>
      </c>
      <c r="Q378" s="22">
        <f>'Форма 2'!K1373</f>
        <v>1437.23</v>
      </c>
      <c r="R378" s="31">
        <v>2021</v>
      </c>
      <c r="S378" s="168">
        <v>1</v>
      </c>
    </row>
    <row r="379" spans="1:19" s="71" customFormat="1" ht="15.75" customHeight="1" x14ac:dyDescent="0.25">
      <c r="A379" s="236">
        <f>A378+1</f>
        <v>45</v>
      </c>
      <c r="B379" s="236">
        <v>6430</v>
      </c>
      <c r="C379" s="252" t="s">
        <v>411</v>
      </c>
      <c r="D379" s="251">
        <v>1961</v>
      </c>
      <c r="E379" s="256" t="s">
        <v>68</v>
      </c>
      <c r="F379" s="251" t="s">
        <v>81</v>
      </c>
      <c r="G379" s="22">
        <v>3270.4</v>
      </c>
      <c r="H379" s="22">
        <v>2506.4</v>
      </c>
      <c r="I379" s="15">
        <v>95</v>
      </c>
      <c r="J379" s="22">
        <f>'Форма 2'!I1378</f>
        <v>368846.81</v>
      </c>
      <c r="K379" s="22">
        <v>0</v>
      </c>
      <c r="L379" s="22">
        <v>0</v>
      </c>
      <c r="M379" s="22">
        <v>0</v>
      </c>
      <c r="N379" s="22">
        <f t="shared" si="122"/>
        <v>362443.19</v>
      </c>
      <c r="O379" s="22">
        <v>6403.62</v>
      </c>
      <c r="P379" s="22">
        <f t="shared" si="123"/>
        <v>147.16</v>
      </c>
      <c r="Q379" s="22">
        <f>'Форма 2'!K1378</f>
        <v>169</v>
      </c>
      <c r="R379" s="31">
        <v>2021</v>
      </c>
      <c r="S379" s="168">
        <v>1</v>
      </c>
    </row>
    <row r="380" spans="1:19" s="71" customFormat="1" ht="15.75" customHeight="1" x14ac:dyDescent="0.25">
      <c r="A380" s="236">
        <f t="shared" si="126"/>
        <v>46</v>
      </c>
      <c r="B380" s="236">
        <v>6433</v>
      </c>
      <c r="C380" s="252" t="s">
        <v>412</v>
      </c>
      <c r="D380" s="251">
        <v>1960</v>
      </c>
      <c r="E380" s="256" t="s">
        <v>68</v>
      </c>
      <c r="F380" s="251" t="s">
        <v>83</v>
      </c>
      <c r="G380" s="22">
        <v>3979.8</v>
      </c>
      <c r="H380" s="22">
        <v>3100.3</v>
      </c>
      <c r="I380" s="15">
        <v>114</v>
      </c>
      <c r="J380" s="22">
        <f>'Форма 2'!I1380</f>
        <v>3957286.96</v>
      </c>
      <c r="K380" s="22">
        <v>0</v>
      </c>
      <c r="L380" s="22">
        <v>0</v>
      </c>
      <c r="M380" s="22">
        <v>0</v>
      </c>
      <c r="N380" s="22">
        <f t="shared" si="122"/>
        <v>3888583.75</v>
      </c>
      <c r="O380" s="22">
        <v>68703.210000000006</v>
      </c>
      <c r="P380" s="22">
        <f t="shared" si="123"/>
        <v>1276.42</v>
      </c>
      <c r="Q380" s="22">
        <f>'Форма 2'!K1380</f>
        <v>3966</v>
      </c>
      <c r="R380" s="31">
        <v>2022</v>
      </c>
      <c r="S380" s="168">
        <v>1</v>
      </c>
    </row>
    <row r="381" spans="1:19" s="71" customFormat="1" ht="15.75" customHeight="1" x14ac:dyDescent="0.25">
      <c r="A381" s="236">
        <f t="shared" si="126"/>
        <v>47</v>
      </c>
      <c r="B381" s="236">
        <v>6436</v>
      </c>
      <c r="C381" s="252" t="s">
        <v>413</v>
      </c>
      <c r="D381" s="251">
        <v>1960</v>
      </c>
      <c r="E381" s="251" t="s">
        <v>68</v>
      </c>
      <c r="F381" s="251" t="s">
        <v>83</v>
      </c>
      <c r="G381" s="22">
        <v>3245</v>
      </c>
      <c r="H381" s="22">
        <v>3038.5</v>
      </c>
      <c r="I381" s="15">
        <v>115</v>
      </c>
      <c r="J381" s="22">
        <f>'Форма 2'!I1383</f>
        <v>3974661.85</v>
      </c>
      <c r="K381" s="22">
        <v>0</v>
      </c>
      <c r="L381" s="22">
        <v>0</v>
      </c>
      <c r="M381" s="22">
        <v>0</v>
      </c>
      <c r="N381" s="22">
        <f t="shared" si="122"/>
        <v>3905656.99</v>
      </c>
      <c r="O381" s="22">
        <v>69004.86</v>
      </c>
      <c r="P381" s="22">
        <f t="shared" si="123"/>
        <v>1308.0999999999999</v>
      </c>
      <c r="Q381" s="22">
        <f>'Форма 2'!K1383</f>
        <v>3966</v>
      </c>
      <c r="R381" s="31">
        <v>2022</v>
      </c>
      <c r="S381" s="168">
        <v>1</v>
      </c>
    </row>
    <row r="382" spans="1:19" s="71" customFormat="1" ht="15.75" customHeight="1" x14ac:dyDescent="0.25">
      <c r="A382" s="236">
        <f t="shared" si="126"/>
        <v>48</v>
      </c>
      <c r="B382" s="236">
        <v>6439</v>
      </c>
      <c r="C382" s="252" t="s">
        <v>414</v>
      </c>
      <c r="D382" s="251">
        <v>1961</v>
      </c>
      <c r="E382" s="256" t="s">
        <v>68</v>
      </c>
      <c r="F382" s="251" t="s">
        <v>81</v>
      </c>
      <c r="G382" s="22">
        <v>4438.3999999999996</v>
      </c>
      <c r="H382" s="22">
        <v>3449.6</v>
      </c>
      <c r="I382" s="15">
        <v>130</v>
      </c>
      <c r="J382" s="22">
        <f>'Форма 2'!I1386</f>
        <v>429269.19</v>
      </c>
      <c r="K382" s="22">
        <v>0</v>
      </c>
      <c r="L382" s="22">
        <v>0</v>
      </c>
      <c r="M382" s="22">
        <v>0</v>
      </c>
      <c r="N382" s="22">
        <f t="shared" si="122"/>
        <v>421816.57</v>
      </c>
      <c r="O382" s="22">
        <v>7452.62</v>
      </c>
      <c r="P382" s="22">
        <f t="shared" si="123"/>
        <v>124.44</v>
      </c>
      <c r="Q382" s="22">
        <f>'Форма 2'!K1386</f>
        <v>169</v>
      </c>
      <c r="R382" s="31">
        <v>2021</v>
      </c>
      <c r="S382" s="168">
        <v>1</v>
      </c>
    </row>
    <row r="383" spans="1:19" s="71" customFormat="1" ht="15.75" customHeight="1" x14ac:dyDescent="0.25">
      <c r="A383" s="236">
        <f t="shared" si="126"/>
        <v>49</v>
      </c>
      <c r="B383" s="236">
        <v>6538</v>
      </c>
      <c r="C383" s="252" t="s">
        <v>415</v>
      </c>
      <c r="D383" s="251">
        <v>1926</v>
      </c>
      <c r="E383" s="251" t="s">
        <v>93</v>
      </c>
      <c r="F383" s="251" t="s">
        <v>83</v>
      </c>
      <c r="G383" s="22">
        <v>465.45</v>
      </c>
      <c r="H383" s="22">
        <v>412</v>
      </c>
      <c r="I383" s="15">
        <v>16</v>
      </c>
      <c r="J383" s="22">
        <f>'Форма 2'!I1388</f>
        <v>580837.6</v>
      </c>
      <c r="K383" s="22">
        <v>0</v>
      </c>
      <c r="L383" s="22">
        <v>0</v>
      </c>
      <c r="M383" s="22">
        <v>0</v>
      </c>
      <c r="N383" s="22">
        <f t="shared" si="122"/>
        <v>570753.56999999995</v>
      </c>
      <c r="O383" s="22">
        <v>10084.030000000001</v>
      </c>
      <c r="P383" s="22">
        <f t="shared" si="123"/>
        <v>1409.8</v>
      </c>
      <c r="Q383" s="22">
        <f>'Форма 2'!K1388</f>
        <v>4186</v>
      </c>
      <c r="R383" s="31">
        <v>2022</v>
      </c>
      <c r="S383" s="168">
        <v>1</v>
      </c>
    </row>
    <row r="384" spans="1:19" s="71" customFormat="1" ht="15.75" customHeight="1" x14ac:dyDescent="0.25">
      <c r="A384" s="236">
        <f>A383+1</f>
        <v>50</v>
      </c>
      <c r="B384" s="236">
        <v>6510</v>
      </c>
      <c r="C384" s="252" t="s">
        <v>389</v>
      </c>
      <c r="D384" s="251">
        <v>1930</v>
      </c>
      <c r="E384" s="251" t="s">
        <v>158</v>
      </c>
      <c r="F384" s="251" t="s">
        <v>114</v>
      </c>
      <c r="G384" s="22">
        <v>502.9</v>
      </c>
      <c r="H384" s="22">
        <v>461.9</v>
      </c>
      <c r="I384" s="15">
        <v>17</v>
      </c>
      <c r="J384" s="22">
        <f>'Форма 2'!I1395</f>
        <v>397880.92</v>
      </c>
      <c r="K384" s="22">
        <v>0</v>
      </c>
      <c r="L384" s="22">
        <v>0</v>
      </c>
      <c r="M384" s="22">
        <v>0</v>
      </c>
      <c r="N384" s="22">
        <f>J384-K384-L384-M384-O384</f>
        <v>390973.23</v>
      </c>
      <c r="O384" s="22">
        <v>6907.69</v>
      </c>
      <c r="P384" s="22">
        <f t="shared" si="123"/>
        <v>861.4</v>
      </c>
      <c r="Q384" s="22">
        <f>'Форма 2'!K1395</f>
        <v>3497</v>
      </c>
      <c r="R384" s="31">
        <v>2021</v>
      </c>
      <c r="S384" s="168">
        <v>1</v>
      </c>
    </row>
    <row r="385" spans="1:19" ht="15.75" customHeight="1" x14ac:dyDescent="0.25">
      <c r="A385" s="277" t="s">
        <v>41</v>
      </c>
      <c r="B385" s="277"/>
      <c r="C385" s="277"/>
      <c r="D385" s="10" t="s">
        <v>13</v>
      </c>
      <c r="E385" s="9" t="s">
        <v>13</v>
      </c>
      <c r="F385" s="9" t="s">
        <v>13</v>
      </c>
      <c r="G385" s="9">
        <f t="shared" ref="G385:O385" si="132">SUM(G386:G406)</f>
        <v>96678.2</v>
      </c>
      <c r="H385" s="9">
        <f t="shared" si="132"/>
        <v>81271.210000000006</v>
      </c>
      <c r="I385" s="11">
        <f t="shared" si="132"/>
        <v>3440</v>
      </c>
      <c r="J385" s="9">
        <f t="shared" si="132"/>
        <v>84401816.370000005</v>
      </c>
      <c r="K385" s="9">
        <f t="shared" si="132"/>
        <v>0</v>
      </c>
      <c r="L385" s="9">
        <f t="shared" si="132"/>
        <v>0</v>
      </c>
      <c r="M385" s="9">
        <f t="shared" si="132"/>
        <v>0</v>
      </c>
      <c r="N385" s="9">
        <f t="shared" si="132"/>
        <v>83030607.75</v>
      </c>
      <c r="O385" s="9">
        <f t="shared" si="132"/>
        <v>1371208.62</v>
      </c>
      <c r="P385" s="9" t="s">
        <v>13</v>
      </c>
      <c r="Q385" s="9" t="s">
        <v>13</v>
      </c>
      <c r="R385" s="9" t="s">
        <v>13</v>
      </c>
      <c r="S385" s="15" t="s">
        <v>13</v>
      </c>
    </row>
    <row r="386" spans="1:19" s="71" customFormat="1" ht="15.75" customHeight="1" x14ac:dyDescent="0.25">
      <c r="A386" s="33">
        <v>1</v>
      </c>
      <c r="B386" s="247">
        <v>5072</v>
      </c>
      <c r="C386" s="234" t="s">
        <v>233</v>
      </c>
      <c r="D386" s="33">
        <v>1979</v>
      </c>
      <c r="E386" s="33" t="s">
        <v>107</v>
      </c>
      <c r="F386" s="33" t="s">
        <v>82</v>
      </c>
      <c r="G386" s="35">
        <v>3478.9</v>
      </c>
      <c r="H386" s="35">
        <v>3100.9</v>
      </c>
      <c r="I386" s="39">
        <v>117</v>
      </c>
      <c r="J386" s="9">
        <f>'Форма 2'!I1401</f>
        <v>8557567.9199999999</v>
      </c>
      <c r="K386" s="9">
        <v>0</v>
      </c>
      <c r="L386" s="36">
        <v>0</v>
      </c>
      <c r="M386" s="36">
        <v>0</v>
      </c>
      <c r="N386" s="9">
        <f t="shared" ref="N386:N402" si="133">J386-K386-L386-M386-O386</f>
        <v>8418539.9800000004</v>
      </c>
      <c r="O386" s="9">
        <v>139027.94</v>
      </c>
      <c r="P386" s="9">
        <f t="shared" ref="P386:P402" si="134">J386/H386</f>
        <v>2759.7</v>
      </c>
      <c r="Q386" s="9">
        <f>'Форма 2'!K1401</f>
        <v>4160</v>
      </c>
      <c r="R386" s="31" t="s">
        <v>375</v>
      </c>
      <c r="S386" s="15">
        <v>1</v>
      </c>
    </row>
    <row r="387" spans="1:19" s="71" customFormat="1" ht="15.75" customHeight="1" x14ac:dyDescent="0.25">
      <c r="A387" s="33">
        <f>A386+1</f>
        <v>2</v>
      </c>
      <c r="B387" s="247">
        <v>5079</v>
      </c>
      <c r="C387" s="234" t="s">
        <v>333</v>
      </c>
      <c r="D387" s="33">
        <v>1971</v>
      </c>
      <c r="E387" s="33" t="s">
        <v>93</v>
      </c>
      <c r="F387" s="33" t="s">
        <v>81</v>
      </c>
      <c r="G387" s="35">
        <v>772.9</v>
      </c>
      <c r="H387" s="35">
        <v>712.3</v>
      </c>
      <c r="I387" s="39">
        <v>27</v>
      </c>
      <c r="J387" s="9">
        <f>'Форма 2'!I1410</f>
        <v>163116.70000000001</v>
      </c>
      <c r="K387" s="9">
        <v>0</v>
      </c>
      <c r="L387" s="36">
        <v>0</v>
      </c>
      <c r="M387" s="36">
        <v>0</v>
      </c>
      <c r="N387" s="9">
        <f t="shared" si="133"/>
        <v>160466.67000000001</v>
      </c>
      <c r="O387" s="9">
        <v>2650.03</v>
      </c>
      <c r="P387" s="9">
        <f t="shared" si="134"/>
        <v>229</v>
      </c>
      <c r="Q387" s="9">
        <f>'Форма 2'!K1410</f>
        <v>229</v>
      </c>
      <c r="R387" s="31" t="s">
        <v>375</v>
      </c>
      <c r="S387" s="15">
        <v>1</v>
      </c>
    </row>
    <row r="388" spans="1:19" s="71" customFormat="1" ht="15.75" customHeight="1" x14ac:dyDescent="0.25">
      <c r="A388" s="33">
        <f t="shared" ref="A388:A405" si="135">A387+1</f>
        <v>3</v>
      </c>
      <c r="B388" s="247">
        <v>5080</v>
      </c>
      <c r="C388" s="234" t="s">
        <v>334</v>
      </c>
      <c r="D388" s="33">
        <v>1972</v>
      </c>
      <c r="E388" s="33" t="s">
        <v>93</v>
      </c>
      <c r="F388" s="33" t="s">
        <v>81</v>
      </c>
      <c r="G388" s="35">
        <v>761.2</v>
      </c>
      <c r="H388" s="35">
        <v>704</v>
      </c>
      <c r="I388" s="39">
        <v>27</v>
      </c>
      <c r="J388" s="9">
        <f>'Форма 2'!I1414</f>
        <v>161216</v>
      </c>
      <c r="K388" s="9">
        <v>0</v>
      </c>
      <c r="L388" s="36">
        <v>0</v>
      </c>
      <c r="M388" s="36">
        <v>0</v>
      </c>
      <c r="N388" s="9">
        <f t="shared" si="133"/>
        <v>158596.85</v>
      </c>
      <c r="O388" s="9">
        <v>2619.15</v>
      </c>
      <c r="P388" s="9">
        <f t="shared" si="134"/>
        <v>229</v>
      </c>
      <c r="Q388" s="9">
        <f>'Форма 2'!K1414</f>
        <v>229</v>
      </c>
      <c r="R388" s="31" t="s">
        <v>375</v>
      </c>
      <c r="S388" s="15">
        <v>1</v>
      </c>
    </row>
    <row r="389" spans="1:19" s="71" customFormat="1" ht="15.75" customHeight="1" x14ac:dyDescent="0.25">
      <c r="A389" s="33">
        <f t="shared" si="135"/>
        <v>4</v>
      </c>
      <c r="B389" s="247">
        <v>5086</v>
      </c>
      <c r="C389" s="234" t="s">
        <v>239</v>
      </c>
      <c r="D389" s="33">
        <v>1981</v>
      </c>
      <c r="E389" s="33" t="s">
        <v>107</v>
      </c>
      <c r="F389" s="33" t="s">
        <v>82</v>
      </c>
      <c r="G389" s="35">
        <v>3753.6</v>
      </c>
      <c r="H389" s="35">
        <v>3129.5</v>
      </c>
      <c r="I389" s="39">
        <v>118</v>
      </c>
      <c r="J389" s="9">
        <f>'Форма 2'!I1418</f>
        <v>11193817.49</v>
      </c>
      <c r="K389" s="9">
        <v>0</v>
      </c>
      <c r="L389" s="36">
        <v>0</v>
      </c>
      <c r="M389" s="36">
        <v>0</v>
      </c>
      <c r="N389" s="9">
        <f t="shared" si="133"/>
        <v>11011960.51</v>
      </c>
      <c r="O389" s="9">
        <v>181856.98</v>
      </c>
      <c r="P389" s="9">
        <f t="shared" si="134"/>
        <v>3576.87</v>
      </c>
      <c r="Q389" s="9">
        <f>'Форма 2'!K1418</f>
        <v>4160</v>
      </c>
      <c r="R389" s="31" t="s">
        <v>375</v>
      </c>
      <c r="S389" s="15">
        <v>1</v>
      </c>
    </row>
    <row r="390" spans="1:19" s="71" customFormat="1" ht="15.75" customHeight="1" x14ac:dyDescent="0.25">
      <c r="A390" s="33">
        <f t="shared" si="135"/>
        <v>5</v>
      </c>
      <c r="B390" s="247">
        <v>5087</v>
      </c>
      <c r="C390" s="232" t="s">
        <v>240</v>
      </c>
      <c r="D390" s="251">
        <v>1978</v>
      </c>
      <c r="E390" s="33" t="s">
        <v>107</v>
      </c>
      <c r="F390" s="33" t="s">
        <v>82</v>
      </c>
      <c r="G390" s="35">
        <v>3043.3</v>
      </c>
      <c r="H390" s="9">
        <v>2620.1999999999998</v>
      </c>
      <c r="I390" s="30">
        <v>179</v>
      </c>
      <c r="J390" s="9">
        <f>'Форма 2'!I1427</f>
        <v>8911964.4000000004</v>
      </c>
      <c r="K390" s="9">
        <v>0</v>
      </c>
      <c r="L390" s="36">
        <v>0</v>
      </c>
      <c r="M390" s="36">
        <v>0</v>
      </c>
      <c r="N390" s="9">
        <f t="shared" si="133"/>
        <v>8767178.8599999994</v>
      </c>
      <c r="O390" s="9">
        <v>144785.54</v>
      </c>
      <c r="P390" s="9">
        <f t="shared" si="134"/>
        <v>3401.25</v>
      </c>
      <c r="Q390" s="9">
        <f>'Форма 2'!K1427</f>
        <v>4813</v>
      </c>
      <c r="R390" s="31" t="s">
        <v>375</v>
      </c>
      <c r="S390" s="236">
        <v>1</v>
      </c>
    </row>
    <row r="391" spans="1:19" s="71" customFormat="1" ht="15.75" customHeight="1" x14ac:dyDescent="0.25">
      <c r="A391" s="33">
        <f t="shared" si="135"/>
        <v>6</v>
      </c>
      <c r="B391" s="247">
        <v>5091</v>
      </c>
      <c r="C391" s="232" t="s">
        <v>335</v>
      </c>
      <c r="D391" s="251">
        <v>1978</v>
      </c>
      <c r="E391" s="33" t="s">
        <v>68</v>
      </c>
      <c r="F391" s="33" t="s">
        <v>81</v>
      </c>
      <c r="G391" s="35">
        <v>2829.6</v>
      </c>
      <c r="H391" s="9">
        <v>2295.21</v>
      </c>
      <c r="I391" s="30">
        <v>87</v>
      </c>
      <c r="J391" s="9">
        <f>'Форма 2'!I1436</f>
        <v>382020.2</v>
      </c>
      <c r="K391" s="9">
        <v>0</v>
      </c>
      <c r="L391" s="36">
        <v>0</v>
      </c>
      <c r="M391" s="36">
        <v>0</v>
      </c>
      <c r="N391" s="9">
        <f t="shared" si="133"/>
        <v>375813.82</v>
      </c>
      <c r="O391" s="9">
        <v>6206.38</v>
      </c>
      <c r="P391" s="9">
        <f t="shared" si="134"/>
        <v>166.44</v>
      </c>
      <c r="Q391" s="9">
        <f>'Форма 2'!K1436</f>
        <v>167</v>
      </c>
      <c r="R391" s="31" t="s">
        <v>375</v>
      </c>
      <c r="S391" s="236">
        <v>1</v>
      </c>
    </row>
    <row r="392" spans="1:19" s="71" customFormat="1" ht="15.75" customHeight="1" x14ac:dyDescent="0.25">
      <c r="A392" s="33">
        <f t="shared" si="135"/>
        <v>7</v>
      </c>
      <c r="B392" s="247">
        <v>5097</v>
      </c>
      <c r="C392" s="232" t="s">
        <v>336</v>
      </c>
      <c r="D392" s="251">
        <v>1972</v>
      </c>
      <c r="E392" s="33" t="s">
        <v>93</v>
      </c>
      <c r="F392" s="33" t="s">
        <v>81</v>
      </c>
      <c r="G392" s="35">
        <v>395.6</v>
      </c>
      <c r="H392" s="9">
        <v>371</v>
      </c>
      <c r="I392" s="30">
        <v>34</v>
      </c>
      <c r="J392" s="9">
        <f>'Форма 2'!I1438</f>
        <v>84959</v>
      </c>
      <c r="K392" s="9">
        <v>0</v>
      </c>
      <c r="L392" s="36">
        <v>0</v>
      </c>
      <c r="M392" s="36">
        <v>0</v>
      </c>
      <c r="N392" s="9">
        <f t="shared" si="133"/>
        <v>83578.740000000005</v>
      </c>
      <c r="O392" s="9">
        <v>1380.26</v>
      </c>
      <c r="P392" s="9">
        <f t="shared" si="134"/>
        <v>229</v>
      </c>
      <c r="Q392" s="9">
        <f>'Форма 2'!K1438</f>
        <v>229</v>
      </c>
      <c r="R392" s="31" t="s">
        <v>375</v>
      </c>
      <c r="S392" s="236">
        <v>1</v>
      </c>
    </row>
    <row r="393" spans="1:19" s="71" customFormat="1" ht="15.75" customHeight="1" x14ac:dyDescent="0.25">
      <c r="A393" s="33">
        <f t="shared" si="135"/>
        <v>8</v>
      </c>
      <c r="B393" s="259">
        <v>5100</v>
      </c>
      <c r="C393" s="234" t="s">
        <v>683</v>
      </c>
      <c r="D393" s="34">
        <v>1974</v>
      </c>
      <c r="E393" s="33" t="s">
        <v>107</v>
      </c>
      <c r="F393" s="33" t="s">
        <v>81</v>
      </c>
      <c r="G393" s="35">
        <v>3099.7</v>
      </c>
      <c r="H393" s="9">
        <v>2705.3</v>
      </c>
      <c r="I393" s="30">
        <v>139</v>
      </c>
      <c r="J393" s="9">
        <f>'Форма 2'!I1442</f>
        <v>633040.19999999995</v>
      </c>
      <c r="K393" s="36">
        <v>0</v>
      </c>
      <c r="L393" s="36">
        <v>0</v>
      </c>
      <c r="M393" s="36">
        <v>0</v>
      </c>
      <c r="N393" s="9">
        <f t="shared" si="133"/>
        <v>622755.69999999995</v>
      </c>
      <c r="O393" s="9">
        <v>10284.5</v>
      </c>
      <c r="P393" s="9">
        <f t="shared" si="134"/>
        <v>234</v>
      </c>
      <c r="Q393" s="9">
        <f>'Форма 2'!K1442</f>
        <v>234</v>
      </c>
      <c r="R393" s="38" t="s">
        <v>375</v>
      </c>
      <c r="S393" s="236">
        <v>1</v>
      </c>
    </row>
    <row r="394" spans="1:19" s="71" customFormat="1" ht="15.75" customHeight="1" x14ac:dyDescent="0.25">
      <c r="A394" s="33">
        <f t="shared" si="135"/>
        <v>9</v>
      </c>
      <c r="B394" s="247">
        <v>5107</v>
      </c>
      <c r="C394" s="232" t="s">
        <v>234</v>
      </c>
      <c r="D394" s="251">
        <v>1972</v>
      </c>
      <c r="E394" s="33" t="s">
        <v>93</v>
      </c>
      <c r="F394" s="33" t="s">
        <v>81</v>
      </c>
      <c r="G394" s="35">
        <v>804.2</v>
      </c>
      <c r="H394" s="9">
        <v>743</v>
      </c>
      <c r="I394" s="30">
        <v>43</v>
      </c>
      <c r="J394" s="9">
        <f>'Форма 2'!I1447</f>
        <v>170147</v>
      </c>
      <c r="K394" s="9">
        <v>0</v>
      </c>
      <c r="L394" s="36">
        <v>0</v>
      </c>
      <c r="M394" s="36">
        <v>0</v>
      </c>
      <c r="N394" s="9">
        <f t="shared" si="133"/>
        <v>167382.76</v>
      </c>
      <c r="O394" s="9">
        <v>2764.24</v>
      </c>
      <c r="P394" s="9">
        <f t="shared" si="134"/>
        <v>229</v>
      </c>
      <c r="Q394" s="9">
        <f>'Форма 2'!K1447</f>
        <v>229</v>
      </c>
      <c r="R394" s="31" t="s">
        <v>375</v>
      </c>
      <c r="S394" s="236">
        <v>1</v>
      </c>
    </row>
    <row r="395" spans="1:19" s="71" customFormat="1" ht="15.75" customHeight="1" x14ac:dyDescent="0.25">
      <c r="A395" s="33">
        <f t="shared" si="135"/>
        <v>10</v>
      </c>
      <c r="B395" s="247">
        <v>5111</v>
      </c>
      <c r="C395" s="232" t="s">
        <v>337</v>
      </c>
      <c r="D395" s="251">
        <v>1975</v>
      </c>
      <c r="E395" s="33" t="s">
        <v>107</v>
      </c>
      <c r="F395" s="33" t="s">
        <v>81</v>
      </c>
      <c r="G395" s="35">
        <v>4436.5</v>
      </c>
      <c r="H395" s="9">
        <v>4156.3999999999996</v>
      </c>
      <c r="I395" s="30">
        <v>157</v>
      </c>
      <c r="J395" s="9">
        <f>'Форма 2'!I1451</f>
        <v>494665.3</v>
      </c>
      <c r="K395" s="9">
        <v>0</v>
      </c>
      <c r="L395" s="36">
        <v>0</v>
      </c>
      <c r="M395" s="36">
        <v>0</v>
      </c>
      <c r="N395" s="9">
        <f t="shared" si="133"/>
        <v>486628.87</v>
      </c>
      <c r="O395" s="9">
        <v>8036.43</v>
      </c>
      <c r="P395" s="9">
        <f t="shared" si="134"/>
        <v>119.01</v>
      </c>
      <c r="Q395" s="9">
        <f>'Форма 2'!K1451</f>
        <v>193</v>
      </c>
      <c r="R395" s="31" t="s">
        <v>375</v>
      </c>
      <c r="S395" s="236">
        <v>1</v>
      </c>
    </row>
    <row r="396" spans="1:19" s="71" customFormat="1" ht="15.75" customHeight="1" x14ac:dyDescent="0.25">
      <c r="A396" s="33">
        <f t="shared" si="135"/>
        <v>11</v>
      </c>
      <c r="B396" s="247">
        <v>5112</v>
      </c>
      <c r="C396" s="232" t="s">
        <v>338</v>
      </c>
      <c r="D396" s="251">
        <v>1973</v>
      </c>
      <c r="E396" s="33" t="s">
        <v>93</v>
      </c>
      <c r="F396" s="33" t="s">
        <v>81</v>
      </c>
      <c r="G396" s="35">
        <v>806.9</v>
      </c>
      <c r="H396" s="9">
        <v>745.9</v>
      </c>
      <c r="I396" s="30">
        <v>48</v>
      </c>
      <c r="J396" s="9">
        <f>'Форма 2'!I1456</f>
        <v>170811.1</v>
      </c>
      <c r="K396" s="9">
        <v>0</v>
      </c>
      <c r="L396" s="36">
        <v>0</v>
      </c>
      <c r="M396" s="36">
        <v>0</v>
      </c>
      <c r="N396" s="9">
        <f t="shared" si="133"/>
        <v>168036.07</v>
      </c>
      <c r="O396" s="9">
        <v>2775.03</v>
      </c>
      <c r="P396" s="9">
        <f t="shared" si="134"/>
        <v>229</v>
      </c>
      <c r="Q396" s="9">
        <f>'Форма 2'!K1456</f>
        <v>229</v>
      </c>
      <c r="R396" s="31" t="s">
        <v>375</v>
      </c>
      <c r="S396" s="236">
        <v>1</v>
      </c>
    </row>
    <row r="397" spans="1:19" s="71" customFormat="1" ht="15.75" customHeight="1" x14ac:dyDescent="0.25">
      <c r="A397" s="33">
        <f t="shared" si="135"/>
        <v>12</v>
      </c>
      <c r="B397" s="247">
        <v>5115</v>
      </c>
      <c r="C397" s="232" t="s">
        <v>339</v>
      </c>
      <c r="D397" s="251">
        <v>1974</v>
      </c>
      <c r="E397" s="33" t="s">
        <v>93</v>
      </c>
      <c r="F397" s="33" t="s">
        <v>81</v>
      </c>
      <c r="G397" s="35">
        <v>941.4</v>
      </c>
      <c r="H397" s="9">
        <v>860.4</v>
      </c>
      <c r="I397" s="30">
        <v>57</v>
      </c>
      <c r="J397" s="9">
        <f>'Форма 2'!I1460</f>
        <v>193220.29</v>
      </c>
      <c r="K397" s="9">
        <v>0</v>
      </c>
      <c r="L397" s="36">
        <v>0</v>
      </c>
      <c r="M397" s="36">
        <v>0</v>
      </c>
      <c r="N397" s="9">
        <f t="shared" si="133"/>
        <v>190081.19</v>
      </c>
      <c r="O397" s="9">
        <v>3139.1</v>
      </c>
      <c r="P397" s="9">
        <f t="shared" si="134"/>
        <v>224.57</v>
      </c>
      <c r="Q397" s="9">
        <f>'Форма 2'!K1460</f>
        <v>229</v>
      </c>
      <c r="R397" s="31" t="s">
        <v>375</v>
      </c>
      <c r="S397" s="236">
        <v>1</v>
      </c>
    </row>
    <row r="398" spans="1:19" s="71" customFormat="1" ht="15.75" customHeight="1" x14ac:dyDescent="0.25">
      <c r="A398" s="33">
        <f t="shared" si="135"/>
        <v>13</v>
      </c>
      <c r="B398" s="247">
        <v>5117</v>
      </c>
      <c r="C398" s="234" t="s">
        <v>340</v>
      </c>
      <c r="D398" s="33">
        <v>1976</v>
      </c>
      <c r="E398" s="33" t="s">
        <v>68</v>
      </c>
      <c r="F398" s="33" t="s">
        <v>82</v>
      </c>
      <c r="G398" s="35">
        <v>2810.3</v>
      </c>
      <c r="H398" s="9">
        <v>2307.3000000000002</v>
      </c>
      <c r="I398" s="30">
        <v>87</v>
      </c>
      <c r="J398" s="9">
        <f>'Форма 2'!I1464</f>
        <v>6411380.4000000004</v>
      </c>
      <c r="K398" s="36">
        <v>0</v>
      </c>
      <c r="L398" s="36">
        <v>0</v>
      </c>
      <c r="M398" s="36">
        <v>0</v>
      </c>
      <c r="N398" s="9">
        <f t="shared" si="133"/>
        <v>6307219.8399999999</v>
      </c>
      <c r="O398" s="9">
        <v>104160.56</v>
      </c>
      <c r="P398" s="9">
        <f t="shared" si="134"/>
        <v>2778.74</v>
      </c>
      <c r="Q398" s="9">
        <f>'Форма 2'!K1464</f>
        <v>2914</v>
      </c>
      <c r="R398" s="31" t="s">
        <v>375</v>
      </c>
      <c r="S398" s="15">
        <v>1</v>
      </c>
    </row>
    <row r="399" spans="1:19" s="71" customFormat="1" ht="15.75" customHeight="1" x14ac:dyDescent="0.25">
      <c r="A399" s="33">
        <f t="shared" si="135"/>
        <v>14</v>
      </c>
      <c r="B399" s="247">
        <v>5123</v>
      </c>
      <c r="C399" s="234" t="s">
        <v>341</v>
      </c>
      <c r="D399" s="33">
        <v>1975</v>
      </c>
      <c r="E399" s="33" t="s">
        <v>107</v>
      </c>
      <c r="F399" s="33" t="s">
        <v>81</v>
      </c>
      <c r="G399" s="35">
        <v>2906.9</v>
      </c>
      <c r="H399" s="9">
        <v>2573.4</v>
      </c>
      <c r="I399" s="30">
        <v>97</v>
      </c>
      <c r="J399" s="9">
        <f>'Форма 2'!I1467</f>
        <v>399119.02</v>
      </c>
      <c r="K399" s="36">
        <v>0</v>
      </c>
      <c r="L399" s="36">
        <v>0</v>
      </c>
      <c r="M399" s="36">
        <v>0</v>
      </c>
      <c r="N399" s="9">
        <f t="shared" si="133"/>
        <v>392634.85</v>
      </c>
      <c r="O399" s="9">
        <v>6484.17</v>
      </c>
      <c r="P399" s="9">
        <f t="shared" si="134"/>
        <v>155.09</v>
      </c>
      <c r="Q399" s="9">
        <f>'Форма 2'!K1467</f>
        <v>234</v>
      </c>
      <c r="R399" s="31" t="s">
        <v>375</v>
      </c>
      <c r="S399" s="15">
        <v>1</v>
      </c>
    </row>
    <row r="400" spans="1:19" s="71" customFormat="1" ht="15.75" customHeight="1" x14ac:dyDescent="0.25">
      <c r="A400" s="33">
        <f t="shared" si="135"/>
        <v>15</v>
      </c>
      <c r="B400" s="175">
        <v>5127</v>
      </c>
      <c r="C400" s="234" t="s">
        <v>237</v>
      </c>
      <c r="D400" s="34">
        <v>1974</v>
      </c>
      <c r="E400" s="33" t="s">
        <v>107</v>
      </c>
      <c r="F400" s="34" t="s">
        <v>114</v>
      </c>
      <c r="G400" s="35">
        <v>3744.4</v>
      </c>
      <c r="H400" s="9">
        <v>3273.7</v>
      </c>
      <c r="I400" s="30">
        <v>187</v>
      </c>
      <c r="J400" s="9">
        <f>'Форма 2'!I1472</f>
        <v>6723376.4199999999</v>
      </c>
      <c r="K400" s="36">
        <v>0</v>
      </c>
      <c r="L400" s="36">
        <v>0</v>
      </c>
      <c r="M400" s="36">
        <v>0</v>
      </c>
      <c r="N400" s="9">
        <f>J400-K400-L400-M400-O400</f>
        <v>6614147.1200000001</v>
      </c>
      <c r="O400" s="9">
        <v>109229.3</v>
      </c>
      <c r="P400" s="9">
        <f>J400/H400</f>
        <v>2053.75</v>
      </c>
      <c r="Q400" s="9">
        <f>'Форма 2'!K1472</f>
        <v>4160</v>
      </c>
      <c r="R400" s="37" t="s">
        <v>375</v>
      </c>
      <c r="S400" s="15">
        <v>1</v>
      </c>
    </row>
    <row r="401" spans="1:19" s="71" customFormat="1" ht="15.75" customHeight="1" x14ac:dyDescent="0.25">
      <c r="A401" s="33">
        <f t="shared" si="135"/>
        <v>16</v>
      </c>
      <c r="B401" s="251">
        <v>5134</v>
      </c>
      <c r="C401" s="232" t="s">
        <v>241</v>
      </c>
      <c r="D401" s="251">
        <v>1981</v>
      </c>
      <c r="E401" s="33" t="s">
        <v>68</v>
      </c>
      <c r="F401" s="33" t="s">
        <v>381</v>
      </c>
      <c r="G401" s="35">
        <v>9374.2999999999993</v>
      </c>
      <c r="H401" s="9">
        <v>7548.1</v>
      </c>
      <c r="I401" s="30">
        <v>323</v>
      </c>
      <c r="J401" s="9">
        <f>'Форма 2'!I1481</f>
        <v>21957422.899999999</v>
      </c>
      <c r="K401" s="9">
        <v>0</v>
      </c>
      <c r="L401" s="36">
        <v>0</v>
      </c>
      <c r="M401" s="36">
        <v>0</v>
      </c>
      <c r="N401" s="9">
        <f t="shared" si="133"/>
        <v>21600698.27</v>
      </c>
      <c r="O401" s="9">
        <v>356724.63</v>
      </c>
      <c r="P401" s="9">
        <f t="shared" si="134"/>
        <v>2909</v>
      </c>
      <c r="Q401" s="9">
        <f>'Форма 2'!K1481</f>
        <v>2914</v>
      </c>
      <c r="R401" s="31" t="s">
        <v>375</v>
      </c>
      <c r="S401" s="15">
        <v>1</v>
      </c>
    </row>
    <row r="402" spans="1:19" s="71" customFormat="1" ht="15.75" customHeight="1" x14ac:dyDescent="0.25">
      <c r="A402" s="33">
        <f>A401+1</f>
        <v>17</v>
      </c>
      <c r="B402" s="259">
        <v>5172</v>
      </c>
      <c r="C402" s="234" t="s">
        <v>242</v>
      </c>
      <c r="D402" s="34">
        <v>1981</v>
      </c>
      <c r="E402" s="33" t="s">
        <v>68</v>
      </c>
      <c r="F402" s="34" t="s">
        <v>114</v>
      </c>
      <c r="G402" s="35">
        <v>4631</v>
      </c>
      <c r="H402" s="35">
        <v>3986</v>
      </c>
      <c r="I402" s="39">
        <v>223</v>
      </c>
      <c r="J402" s="9">
        <f>'Форма 2'!I1484</f>
        <v>10152026.529999999</v>
      </c>
      <c r="K402" s="9">
        <v>0</v>
      </c>
      <c r="L402" s="36">
        <v>0</v>
      </c>
      <c r="M402" s="36">
        <v>0</v>
      </c>
      <c r="N402" s="9">
        <f t="shared" si="133"/>
        <v>9987094.7100000009</v>
      </c>
      <c r="O402" s="9">
        <v>164931.82</v>
      </c>
      <c r="P402" s="9">
        <f t="shared" si="134"/>
        <v>2546.92</v>
      </c>
      <c r="Q402" s="9">
        <f>'Форма 2'!K1484</f>
        <v>3635</v>
      </c>
      <c r="R402" s="37" t="s">
        <v>375</v>
      </c>
      <c r="S402" s="15">
        <v>1</v>
      </c>
    </row>
    <row r="403" spans="1:19" s="71" customFormat="1" ht="15.75" customHeight="1" x14ac:dyDescent="0.25">
      <c r="A403" s="33">
        <f>A402+1</f>
        <v>18</v>
      </c>
      <c r="B403" s="259">
        <v>5184</v>
      </c>
      <c r="C403" s="232" t="s">
        <v>684</v>
      </c>
      <c r="D403" s="236">
        <v>1988</v>
      </c>
      <c r="E403" s="33" t="s">
        <v>68</v>
      </c>
      <c r="F403" s="33" t="s">
        <v>81</v>
      </c>
      <c r="G403" s="35">
        <v>3126.8</v>
      </c>
      <c r="H403" s="9">
        <v>2757.5</v>
      </c>
      <c r="I403" s="30">
        <v>104</v>
      </c>
      <c r="J403" s="9">
        <f>'Форма 2'!I1487</f>
        <v>482562.5</v>
      </c>
      <c r="K403" s="9">
        <v>0</v>
      </c>
      <c r="L403" s="36">
        <v>0</v>
      </c>
      <c r="M403" s="36">
        <v>0</v>
      </c>
      <c r="N403" s="9">
        <f>J403-K403-L403-M403-O403</f>
        <v>474722.69</v>
      </c>
      <c r="O403" s="9">
        <v>7839.81</v>
      </c>
      <c r="P403" s="9">
        <f>J403/H403</f>
        <v>175</v>
      </c>
      <c r="Q403" s="9">
        <f>'Форма 2'!K1487</f>
        <v>175</v>
      </c>
      <c r="R403" s="37" t="s">
        <v>375</v>
      </c>
      <c r="S403" s="15">
        <v>1</v>
      </c>
    </row>
    <row r="404" spans="1:19" s="71" customFormat="1" ht="15.75" customHeight="1" x14ac:dyDescent="0.25">
      <c r="A404" s="33">
        <f t="shared" si="135"/>
        <v>19</v>
      </c>
      <c r="B404" s="237">
        <v>5187</v>
      </c>
      <c r="C404" s="234" t="s">
        <v>566</v>
      </c>
      <c r="D404" s="34">
        <v>1992</v>
      </c>
      <c r="E404" s="33" t="s">
        <v>86</v>
      </c>
      <c r="F404" s="34" t="s">
        <v>81</v>
      </c>
      <c r="G404" s="35">
        <v>17524.400000000001</v>
      </c>
      <c r="H404" s="35">
        <v>13834.8</v>
      </c>
      <c r="I404" s="39">
        <v>523</v>
      </c>
      <c r="J404" s="9">
        <f>'[1]форма 2'!$I$173</f>
        <v>64562</v>
      </c>
      <c r="K404" s="9">
        <v>0</v>
      </c>
      <c r="L404" s="36">
        <v>0</v>
      </c>
      <c r="M404" s="36">
        <v>0</v>
      </c>
      <c r="N404" s="9">
        <f>J404-K404-L404-M404-O404</f>
        <v>63513.11</v>
      </c>
      <c r="O404" s="9">
        <v>1048.8900000000001</v>
      </c>
      <c r="P404" s="9">
        <f>J404/H404</f>
        <v>4.67</v>
      </c>
      <c r="Q404" s="9">
        <f>'Форма 2'!K1489</f>
        <v>4.67</v>
      </c>
      <c r="R404" s="37" t="s">
        <v>375</v>
      </c>
      <c r="S404" s="15">
        <v>1</v>
      </c>
    </row>
    <row r="405" spans="1:19" s="71" customFormat="1" ht="15.75" customHeight="1" x14ac:dyDescent="0.25">
      <c r="A405" s="33">
        <f t="shared" si="135"/>
        <v>20</v>
      </c>
      <c r="B405" s="237">
        <v>5195</v>
      </c>
      <c r="C405" s="234" t="s">
        <v>565</v>
      </c>
      <c r="D405" s="34">
        <v>1990</v>
      </c>
      <c r="E405" s="33" t="s">
        <v>86</v>
      </c>
      <c r="F405" s="34" t="s">
        <v>82</v>
      </c>
      <c r="G405" s="35">
        <v>6814.4</v>
      </c>
      <c r="H405" s="35">
        <v>6541.2</v>
      </c>
      <c r="I405" s="39">
        <v>247</v>
      </c>
      <c r="J405" s="9">
        <f>'Форма 2'!I1492</f>
        <v>6868854</v>
      </c>
      <c r="K405" s="9">
        <v>0</v>
      </c>
      <c r="L405" s="36">
        <v>0</v>
      </c>
      <c r="M405" s="36">
        <v>0</v>
      </c>
      <c r="N405" s="9">
        <f>J405-K405-L405-M405-O405</f>
        <v>6757261.2400000002</v>
      </c>
      <c r="O405" s="9">
        <v>111592.76</v>
      </c>
      <c r="P405" s="9">
        <f>J405/H405</f>
        <v>1050.0899999999999</v>
      </c>
      <c r="Q405" s="9">
        <f>'Форма 2'!K1492</f>
        <v>1050.0899999999999</v>
      </c>
      <c r="R405" s="37" t="s">
        <v>375</v>
      </c>
      <c r="S405" s="15">
        <v>1</v>
      </c>
    </row>
    <row r="406" spans="1:19" s="71" customFormat="1" ht="15.75" customHeight="1" x14ac:dyDescent="0.25">
      <c r="A406" s="33">
        <f>A405+1</f>
        <v>21</v>
      </c>
      <c r="B406" s="237">
        <v>5291</v>
      </c>
      <c r="C406" s="234" t="s">
        <v>567</v>
      </c>
      <c r="D406" s="34">
        <v>1991</v>
      </c>
      <c r="E406" s="33" t="s">
        <v>86</v>
      </c>
      <c r="F406" s="34" t="s">
        <v>81</v>
      </c>
      <c r="G406" s="35">
        <v>20621.900000000001</v>
      </c>
      <c r="H406" s="35">
        <v>16305.1</v>
      </c>
      <c r="I406" s="39">
        <v>616</v>
      </c>
      <c r="J406" s="9">
        <f>'Форма 2'!I1499</f>
        <v>225967</v>
      </c>
      <c r="K406" s="9">
        <v>0</v>
      </c>
      <c r="L406" s="36">
        <v>0</v>
      </c>
      <c r="M406" s="36">
        <v>0</v>
      </c>
      <c r="N406" s="9">
        <f>J406-K406-L406-M406-O406</f>
        <v>222295.9</v>
      </c>
      <c r="O406" s="9">
        <v>3671.1</v>
      </c>
      <c r="P406" s="9">
        <f>J406/H406</f>
        <v>13.86</v>
      </c>
      <c r="Q406" s="9">
        <f>'Форма 2'!K1499</f>
        <v>13.86</v>
      </c>
      <c r="R406" s="37" t="s">
        <v>375</v>
      </c>
      <c r="S406" s="15">
        <v>1</v>
      </c>
    </row>
    <row r="407" spans="1:19" ht="15.75" customHeight="1" x14ac:dyDescent="0.25">
      <c r="A407" s="282" t="s">
        <v>42</v>
      </c>
      <c r="B407" s="282"/>
      <c r="C407" s="282"/>
      <c r="D407" s="13" t="s">
        <v>13</v>
      </c>
      <c r="E407" s="17" t="s">
        <v>13</v>
      </c>
      <c r="F407" s="17" t="s">
        <v>13</v>
      </c>
      <c r="G407" s="9">
        <f t="shared" ref="G407:O407" si="136">G408+G448+G468+G526</f>
        <v>924083.37</v>
      </c>
      <c r="H407" s="9">
        <f t="shared" si="136"/>
        <v>776168.65</v>
      </c>
      <c r="I407" s="11">
        <f t="shared" si="136"/>
        <v>28390</v>
      </c>
      <c r="J407" s="9">
        <f t="shared" si="136"/>
        <v>741596515.01999998</v>
      </c>
      <c r="K407" s="9">
        <f t="shared" si="136"/>
        <v>0</v>
      </c>
      <c r="L407" s="9">
        <f t="shared" si="136"/>
        <v>0</v>
      </c>
      <c r="M407" s="9">
        <f t="shared" si="136"/>
        <v>0</v>
      </c>
      <c r="N407" s="9">
        <f t="shared" si="136"/>
        <v>728626569.66999996</v>
      </c>
      <c r="O407" s="9">
        <f t="shared" si="136"/>
        <v>12969945.35</v>
      </c>
      <c r="P407" s="9" t="s">
        <v>13</v>
      </c>
      <c r="Q407" s="9" t="s">
        <v>13</v>
      </c>
      <c r="R407" s="9" t="s">
        <v>13</v>
      </c>
      <c r="S407" s="22" t="s">
        <v>13</v>
      </c>
    </row>
    <row r="408" spans="1:19" ht="15.75" customHeight="1" x14ac:dyDescent="0.25">
      <c r="A408" s="282" t="s">
        <v>91</v>
      </c>
      <c r="B408" s="282"/>
      <c r="C408" s="282"/>
      <c r="D408" s="13" t="s">
        <v>13</v>
      </c>
      <c r="E408" s="17" t="s">
        <v>13</v>
      </c>
      <c r="F408" s="17" t="s">
        <v>13</v>
      </c>
      <c r="G408" s="9">
        <f t="shared" ref="G408:O408" si="137">SUM(G409:G447)</f>
        <v>100418.48</v>
      </c>
      <c r="H408" s="9">
        <f t="shared" si="137"/>
        <v>90347.05</v>
      </c>
      <c r="I408" s="11">
        <f t="shared" si="137"/>
        <v>3389</v>
      </c>
      <c r="J408" s="9">
        <f t="shared" si="137"/>
        <v>126708587.48999999</v>
      </c>
      <c r="K408" s="9">
        <f t="shared" si="137"/>
        <v>0</v>
      </c>
      <c r="L408" s="9">
        <f t="shared" si="137"/>
        <v>0</v>
      </c>
      <c r="M408" s="9">
        <f t="shared" si="137"/>
        <v>0</v>
      </c>
      <c r="N408" s="9">
        <f t="shared" si="137"/>
        <v>124492553.01000001</v>
      </c>
      <c r="O408" s="9">
        <f t="shared" si="137"/>
        <v>2216034.48</v>
      </c>
      <c r="P408" s="9" t="s">
        <v>13</v>
      </c>
      <c r="Q408" s="9" t="s">
        <v>13</v>
      </c>
      <c r="R408" s="17" t="s">
        <v>13</v>
      </c>
      <c r="S408" s="236" t="s">
        <v>13</v>
      </c>
    </row>
    <row r="409" spans="1:19" s="71" customFormat="1" ht="15.75" customHeight="1" x14ac:dyDescent="0.25">
      <c r="A409" s="236">
        <v>1</v>
      </c>
      <c r="B409" s="236">
        <v>654</v>
      </c>
      <c r="C409" s="29" t="s">
        <v>119</v>
      </c>
      <c r="D409" s="13">
        <v>1979</v>
      </c>
      <c r="E409" s="13" t="s">
        <v>112</v>
      </c>
      <c r="F409" s="13" t="s">
        <v>82</v>
      </c>
      <c r="G409" s="9">
        <v>4341.5</v>
      </c>
      <c r="H409" s="9">
        <v>3916.7</v>
      </c>
      <c r="I409" s="11">
        <v>191</v>
      </c>
      <c r="J409" s="9">
        <f>'Форма 2'!I1508</f>
        <v>17141887.219999999</v>
      </c>
      <c r="K409" s="9">
        <v>0</v>
      </c>
      <c r="L409" s="9">
        <v>0</v>
      </c>
      <c r="M409" s="9">
        <v>0</v>
      </c>
      <c r="N409" s="9">
        <f t="shared" ref="N409:N447" si="138">J409-K409-L409-M409-O409</f>
        <v>16842088.969999999</v>
      </c>
      <c r="O409" s="9">
        <v>299798.25</v>
      </c>
      <c r="P409" s="9">
        <f t="shared" ref="P409:P447" si="139">J409/H409</f>
        <v>4376.6099999999997</v>
      </c>
      <c r="Q409" s="9">
        <f>'Форма 2'!K1508</f>
        <v>7631</v>
      </c>
      <c r="R409" s="37" t="s">
        <v>375</v>
      </c>
      <c r="S409" s="168">
        <v>1</v>
      </c>
    </row>
    <row r="410" spans="1:19" s="71" customFormat="1" ht="15.75" customHeight="1" x14ac:dyDescent="0.25">
      <c r="A410" s="236">
        <f>A409+1</f>
        <v>2</v>
      </c>
      <c r="B410" s="236">
        <v>736</v>
      </c>
      <c r="C410" s="29" t="s">
        <v>256</v>
      </c>
      <c r="D410" s="13">
        <v>1982</v>
      </c>
      <c r="E410" s="13" t="s">
        <v>363</v>
      </c>
      <c r="F410" s="13" t="s">
        <v>82</v>
      </c>
      <c r="G410" s="9">
        <v>1017</v>
      </c>
      <c r="H410" s="9">
        <v>930.1</v>
      </c>
      <c r="I410" s="11">
        <v>35</v>
      </c>
      <c r="J410" s="9">
        <f>'Форма 2'!I1513</f>
        <v>8026009.3700000001</v>
      </c>
      <c r="K410" s="9">
        <v>0</v>
      </c>
      <c r="L410" s="9">
        <v>0</v>
      </c>
      <c r="M410" s="9">
        <v>0</v>
      </c>
      <c r="N410" s="9">
        <f t="shared" si="138"/>
        <v>7885640.7199999997</v>
      </c>
      <c r="O410" s="9">
        <v>140368.65</v>
      </c>
      <c r="P410" s="9">
        <f t="shared" si="139"/>
        <v>8629.19</v>
      </c>
      <c r="Q410" s="9">
        <f>'Форма 2'!K1513</f>
        <v>9393</v>
      </c>
      <c r="R410" s="37" t="s">
        <v>375</v>
      </c>
      <c r="S410" s="168">
        <v>1</v>
      </c>
    </row>
    <row r="411" spans="1:19" s="71" customFormat="1" ht="15.75" customHeight="1" x14ac:dyDescent="0.25">
      <c r="A411" s="236">
        <f t="shared" ref="A411:A447" si="140">A410+1</f>
        <v>3</v>
      </c>
      <c r="B411" s="236">
        <v>822</v>
      </c>
      <c r="C411" s="29" t="s">
        <v>186</v>
      </c>
      <c r="D411" s="13">
        <v>1988</v>
      </c>
      <c r="E411" s="13" t="s">
        <v>363</v>
      </c>
      <c r="F411" s="13" t="s">
        <v>82</v>
      </c>
      <c r="G411" s="9">
        <v>1037.9000000000001</v>
      </c>
      <c r="H411" s="9">
        <v>898.3</v>
      </c>
      <c r="I411" s="11">
        <v>37</v>
      </c>
      <c r="J411" s="9">
        <f>'Форма 2'!I1520</f>
        <v>7972472.3499999996</v>
      </c>
      <c r="K411" s="9">
        <v>0</v>
      </c>
      <c r="L411" s="9">
        <v>0</v>
      </c>
      <c r="M411" s="9">
        <v>0</v>
      </c>
      <c r="N411" s="9">
        <f t="shared" si="138"/>
        <v>7833040.0199999996</v>
      </c>
      <c r="O411" s="9">
        <v>139432.32999999999</v>
      </c>
      <c r="P411" s="9">
        <f t="shared" si="139"/>
        <v>8875.07</v>
      </c>
      <c r="Q411" s="9">
        <f>'Форма 2'!K1520</f>
        <v>9393</v>
      </c>
      <c r="R411" s="37" t="s">
        <v>375</v>
      </c>
      <c r="S411" s="168">
        <v>1</v>
      </c>
    </row>
    <row r="412" spans="1:19" s="71" customFormat="1" ht="15.75" customHeight="1" x14ac:dyDescent="0.25">
      <c r="A412" s="236">
        <f t="shared" si="140"/>
        <v>4</v>
      </c>
      <c r="B412" s="236">
        <v>875</v>
      </c>
      <c r="C412" s="29" t="s">
        <v>188</v>
      </c>
      <c r="D412" s="13">
        <v>1991</v>
      </c>
      <c r="E412" s="13" t="s">
        <v>363</v>
      </c>
      <c r="F412" s="13" t="s">
        <v>82</v>
      </c>
      <c r="G412" s="9">
        <v>3020.2</v>
      </c>
      <c r="H412" s="9">
        <v>2739.2</v>
      </c>
      <c r="I412" s="11">
        <v>103</v>
      </c>
      <c r="J412" s="9">
        <f>'Форма 2'!I1527</f>
        <v>14820185.529999999</v>
      </c>
      <c r="K412" s="9">
        <v>0</v>
      </c>
      <c r="L412" s="9">
        <v>0</v>
      </c>
      <c r="M412" s="9">
        <v>0</v>
      </c>
      <c r="N412" s="9">
        <f t="shared" si="138"/>
        <v>14560992.029999999</v>
      </c>
      <c r="O412" s="9">
        <v>259193.5</v>
      </c>
      <c r="P412" s="9">
        <f t="shared" si="139"/>
        <v>5410.41</v>
      </c>
      <c r="Q412" s="9">
        <f>'Форма 2'!K1527</f>
        <v>11509</v>
      </c>
      <c r="R412" s="37" t="s">
        <v>375</v>
      </c>
      <c r="S412" s="168">
        <v>1</v>
      </c>
    </row>
    <row r="413" spans="1:19" s="71" customFormat="1" ht="15.75" customHeight="1" x14ac:dyDescent="0.25">
      <c r="A413" s="236">
        <f t="shared" si="140"/>
        <v>5</v>
      </c>
      <c r="B413" s="236">
        <v>876</v>
      </c>
      <c r="C413" s="29" t="s">
        <v>189</v>
      </c>
      <c r="D413" s="13">
        <v>1991</v>
      </c>
      <c r="E413" s="13" t="s">
        <v>363</v>
      </c>
      <c r="F413" s="13" t="s">
        <v>82</v>
      </c>
      <c r="G413" s="9">
        <v>3026.8</v>
      </c>
      <c r="H413" s="9">
        <v>2745.8</v>
      </c>
      <c r="I413" s="11">
        <v>104</v>
      </c>
      <c r="J413" s="9">
        <f>'Форма 2'!I1534</f>
        <v>18472773.670000002</v>
      </c>
      <c r="K413" s="9">
        <v>0</v>
      </c>
      <c r="L413" s="9">
        <v>0</v>
      </c>
      <c r="M413" s="9">
        <v>0</v>
      </c>
      <c r="N413" s="9">
        <f t="shared" si="138"/>
        <v>18149699.25</v>
      </c>
      <c r="O413" s="9">
        <v>323074.42</v>
      </c>
      <c r="P413" s="9">
        <f t="shared" si="139"/>
        <v>6727.65</v>
      </c>
      <c r="Q413" s="9">
        <f>'Форма 2'!K1534</f>
        <v>11509</v>
      </c>
      <c r="R413" s="37" t="s">
        <v>375</v>
      </c>
      <c r="S413" s="168">
        <v>1</v>
      </c>
    </row>
    <row r="414" spans="1:19" s="71" customFormat="1" ht="15.75" customHeight="1" x14ac:dyDescent="0.25">
      <c r="A414" s="236">
        <f t="shared" si="140"/>
        <v>6</v>
      </c>
      <c r="B414" s="236">
        <v>504</v>
      </c>
      <c r="C414" s="233" t="s">
        <v>738</v>
      </c>
      <c r="D414" s="13">
        <v>1965</v>
      </c>
      <c r="E414" s="13" t="s">
        <v>68</v>
      </c>
      <c r="F414" s="13" t="s">
        <v>81</v>
      </c>
      <c r="G414" s="9">
        <v>3367.85</v>
      </c>
      <c r="H414" s="9">
        <v>3172.4</v>
      </c>
      <c r="I414" s="11">
        <v>120</v>
      </c>
      <c r="J414" s="9">
        <f>'Форма 2'!I1541</f>
        <v>536135.6</v>
      </c>
      <c r="K414" s="9">
        <v>0</v>
      </c>
      <c r="L414" s="9">
        <v>0</v>
      </c>
      <c r="M414" s="9">
        <v>0</v>
      </c>
      <c r="N414" s="9">
        <f t="shared" si="138"/>
        <v>526759.01</v>
      </c>
      <c r="O414" s="9">
        <v>9376.59</v>
      </c>
      <c r="P414" s="9">
        <f t="shared" si="139"/>
        <v>169</v>
      </c>
      <c r="Q414" s="9">
        <f>'Форма 2'!K1541</f>
        <v>169</v>
      </c>
      <c r="R414" s="37" t="s">
        <v>375</v>
      </c>
      <c r="S414" s="168">
        <v>1</v>
      </c>
    </row>
    <row r="415" spans="1:19" s="71" customFormat="1" ht="15" customHeight="1" x14ac:dyDescent="0.25">
      <c r="A415" s="236">
        <f t="shared" si="140"/>
        <v>7</v>
      </c>
      <c r="B415" s="236">
        <v>122</v>
      </c>
      <c r="C415" s="233" t="s">
        <v>573</v>
      </c>
      <c r="D415" s="13">
        <v>1946</v>
      </c>
      <c r="E415" s="13" t="s">
        <v>95</v>
      </c>
      <c r="F415" s="13" t="s">
        <v>82</v>
      </c>
      <c r="G415" s="9">
        <v>896.3</v>
      </c>
      <c r="H415" s="9">
        <v>821.3</v>
      </c>
      <c r="I415" s="11">
        <v>31</v>
      </c>
      <c r="J415" s="9">
        <f>'Форма 2'!I1543</f>
        <v>247260.93</v>
      </c>
      <c r="K415" s="9">
        <v>0</v>
      </c>
      <c r="L415" s="9">
        <v>0</v>
      </c>
      <c r="M415" s="9">
        <v>0</v>
      </c>
      <c r="N415" s="9">
        <f t="shared" si="138"/>
        <v>242936.53</v>
      </c>
      <c r="O415" s="9">
        <v>4324.3999999999996</v>
      </c>
      <c r="P415" s="9">
        <f t="shared" si="139"/>
        <v>301.06</v>
      </c>
      <c r="Q415" s="9">
        <f>'Форма 2'!K1543</f>
        <v>362</v>
      </c>
      <c r="R415" s="37" t="s">
        <v>375</v>
      </c>
      <c r="S415" s="168">
        <v>1</v>
      </c>
    </row>
    <row r="416" spans="1:19" s="71" customFormat="1" ht="15" customHeight="1" x14ac:dyDescent="0.25">
      <c r="A416" s="236">
        <f t="shared" si="140"/>
        <v>8</v>
      </c>
      <c r="B416" s="236">
        <v>123</v>
      </c>
      <c r="C416" s="233" t="s">
        <v>574</v>
      </c>
      <c r="D416" s="13">
        <v>1946</v>
      </c>
      <c r="E416" s="13" t="s">
        <v>95</v>
      </c>
      <c r="F416" s="13" t="s">
        <v>82</v>
      </c>
      <c r="G416" s="9">
        <v>893.8</v>
      </c>
      <c r="H416" s="9">
        <v>824.1</v>
      </c>
      <c r="I416" s="11">
        <v>31</v>
      </c>
      <c r="J416" s="9">
        <f>'Форма 2'!I1546</f>
        <v>240809.67</v>
      </c>
      <c r="K416" s="9">
        <v>0</v>
      </c>
      <c r="L416" s="9">
        <v>0</v>
      </c>
      <c r="M416" s="9">
        <v>0</v>
      </c>
      <c r="N416" s="9">
        <f t="shared" si="138"/>
        <v>236598.1</v>
      </c>
      <c r="O416" s="9">
        <v>4211.57</v>
      </c>
      <c r="P416" s="9">
        <f t="shared" si="139"/>
        <v>292.20999999999998</v>
      </c>
      <c r="Q416" s="9">
        <f>'Форма 2'!K1546</f>
        <v>362</v>
      </c>
      <c r="R416" s="37" t="s">
        <v>375</v>
      </c>
      <c r="S416" s="168">
        <v>1</v>
      </c>
    </row>
    <row r="417" spans="1:19" s="71" customFormat="1" ht="15" customHeight="1" x14ac:dyDescent="0.25">
      <c r="A417" s="236">
        <f t="shared" si="140"/>
        <v>9</v>
      </c>
      <c r="B417" s="236">
        <v>131</v>
      </c>
      <c r="C417" s="233" t="s">
        <v>575</v>
      </c>
      <c r="D417" s="13">
        <v>1948</v>
      </c>
      <c r="E417" s="13" t="s">
        <v>95</v>
      </c>
      <c r="F417" s="13" t="s">
        <v>82</v>
      </c>
      <c r="G417" s="9">
        <v>904.3</v>
      </c>
      <c r="H417" s="9">
        <v>829.3</v>
      </c>
      <c r="I417" s="11">
        <v>39</v>
      </c>
      <c r="J417" s="9">
        <f>'Форма 2'!I1549</f>
        <v>247260.93</v>
      </c>
      <c r="K417" s="9">
        <v>0</v>
      </c>
      <c r="L417" s="9">
        <v>0</v>
      </c>
      <c r="M417" s="9">
        <v>0</v>
      </c>
      <c r="N417" s="9">
        <f t="shared" si="138"/>
        <v>242936.53</v>
      </c>
      <c r="O417" s="9">
        <v>4324.3999999999996</v>
      </c>
      <c r="P417" s="9">
        <f t="shared" si="139"/>
        <v>298.16000000000003</v>
      </c>
      <c r="Q417" s="9">
        <f>'Форма 2'!K1549</f>
        <v>362</v>
      </c>
      <c r="R417" s="37" t="s">
        <v>375</v>
      </c>
      <c r="S417" s="168">
        <v>1</v>
      </c>
    </row>
    <row r="418" spans="1:19" s="71" customFormat="1" ht="15" customHeight="1" x14ac:dyDescent="0.25">
      <c r="A418" s="236">
        <f t="shared" si="140"/>
        <v>10</v>
      </c>
      <c r="B418" s="236">
        <v>190</v>
      </c>
      <c r="C418" s="233" t="s">
        <v>615</v>
      </c>
      <c r="D418" s="13">
        <v>1953</v>
      </c>
      <c r="E418" s="13" t="s">
        <v>95</v>
      </c>
      <c r="F418" s="13" t="s">
        <v>81</v>
      </c>
      <c r="G418" s="9">
        <v>1211.5999999999999</v>
      </c>
      <c r="H418" s="9">
        <v>1091.8</v>
      </c>
      <c r="I418" s="11">
        <v>37</v>
      </c>
      <c r="J418" s="9">
        <f>'Форма 2'!I1552</f>
        <v>51314.6</v>
      </c>
      <c r="K418" s="9">
        <v>0</v>
      </c>
      <c r="L418" s="9">
        <v>0</v>
      </c>
      <c r="M418" s="9">
        <v>0</v>
      </c>
      <c r="N418" s="9">
        <f t="shared" si="138"/>
        <v>50417.15</v>
      </c>
      <c r="O418" s="9">
        <v>897.45</v>
      </c>
      <c r="P418" s="9">
        <f t="shared" si="139"/>
        <v>47</v>
      </c>
      <c r="Q418" s="9">
        <f>'Форма 2'!K1552</f>
        <v>47</v>
      </c>
      <c r="R418" s="37" t="s">
        <v>375</v>
      </c>
      <c r="S418" s="168">
        <v>1</v>
      </c>
    </row>
    <row r="419" spans="1:19" s="71" customFormat="1" ht="15" customHeight="1" x14ac:dyDescent="0.25">
      <c r="A419" s="236">
        <f t="shared" si="140"/>
        <v>11</v>
      </c>
      <c r="B419" s="236">
        <v>197</v>
      </c>
      <c r="C419" s="233" t="s">
        <v>616</v>
      </c>
      <c r="D419" s="13">
        <v>1953</v>
      </c>
      <c r="E419" s="13" t="s">
        <v>95</v>
      </c>
      <c r="F419" s="13" t="s">
        <v>81</v>
      </c>
      <c r="G419" s="9">
        <v>1060.9000000000001</v>
      </c>
      <c r="H419" s="9">
        <v>1027.9000000000001</v>
      </c>
      <c r="I419" s="11">
        <v>39</v>
      </c>
      <c r="J419" s="9">
        <f>'Форма 2'!I1554</f>
        <v>48311.3</v>
      </c>
      <c r="K419" s="9">
        <v>0</v>
      </c>
      <c r="L419" s="9">
        <v>0</v>
      </c>
      <c r="M419" s="9">
        <v>0</v>
      </c>
      <c r="N419" s="9">
        <f t="shared" si="138"/>
        <v>47466.37</v>
      </c>
      <c r="O419" s="9">
        <v>844.93</v>
      </c>
      <c r="P419" s="9">
        <f t="shared" si="139"/>
        <v>47</v>
      </c>
      <c r="Q419" s="9">
        <f>'Форма 2'!K1554</f>
        <v>47</v>
      </c>
      <c r="R419" s="37" t="s">
        <v>375</v>
      </c>
      <c r="S419" s="168">
        <v>1</v>
      </c>
    </row>
    <row r="420" spans="1:19" s="71" customFormat="1" ht="15" customHeight="1" x14ac:dyDescent="0.25">
      <c r="A420" s="236">
        <f t="shared" si="140"/>
        <v>12</v>
      </c>
      <c r="B420" s="236">
        <v>347</v>
      </c>
      <c r="C420" s="233" t="s">
        <v>617</v>
      </c>
      <c r="D420" s="13">
        <v>1960</v>
      </c>
      <c r="E420" s="13" t="s">
        <v>95</v>
      </c>
      <c r="F420" s="13" t="s">
        <v>81</v>
      </c>
      <c r="G420" s="9">
        <v>3366.7</v>
      </c>
      <c r="H420" s="9">
        <v>3127.4</v>
      </c>
      <c r="I420" s="11">
        <v>118</v>
      </c>
      <c r="J420" s="9">
        <f>'Форма 2'!I1556</f>
        <v>75057.600000000006</v>
      </c>
      <c r="K420" s="9">
        <v>0</v>
      </c>
      <c r="L420" s="9">
        <v>0</v>
      </c>
      <c r="M420" s="9">
        <v>0</v>
      </c>
      <c r="N420" s="9">
        <f t="shared" si="138"/>
        <v>73744.899999999994</v>
      </c>
      <c r="O420" s="9">
        <v>1312.7</v>
      </c>
      <c r="P420" s="9">
        <f t="shared" si="139"/>
        <v>24</v>
      </c>
      <c r="Q420" s="9">
        <f>'Форма 2'!K1556</f>
        <v>24</v>
      </c>
      <c r="R420" s="37" t="s">
        <v>375</v>
      </c>
      <c r="S420" s="168">
        <v>1</v>
      </c>
    </row>
    <row r="421" spans="1:19" s="71" customFormat="1" ht="15" customHeight="1" x14ac:dyDescent="0.25">
      <c r="A421" s="236">
        <f t="shared" si="140"/>
        <v>13</v>
      </c>
      <c r="B421" s="236">
        <v>348</v>
      </c>
      <c r="C421" s="233" t="s">
        <v>618</v>
      </c>
      <c r="D421" s="13">
        <v>1960</v>
      </c>
      <c r="E421" s="13" t="s">
        <v>95</v>
      </c>
      <c r="F421" s="13" t="s">
        <v>81</v>
      </c>
      <c r="G421" s="9">
        <v>4148</v>
      </c>
      <c r="H421" s="9">
        <v>3202.33</v>
      </c>
      <c r="I421" s="11">
        <v>120</v>
      </c>
      <c r="J421" s="9">
        <f>'Форма 2'!I1558</f>
        <v>76855.92</v>
      </c>
      <c r="K421" s="9">
        <v>0</v>
      </c>
      <c r="L421" s="9">
        <v>0</v>
      </c>
      <c r="M421" s="9">
        <v>0</v>
      </c>
      <c r="N421" s="9">
        <f t="shared" si="138"/>
        <v>75511.77</v>
      </c>
      <c r="O421" s="9">
        <v>1344.15</v>
      </c>
      <c r="P421" s="9">
        <f t="shared" si="139"/>
        <v>24</v>
      </c>
      <c r="Q421" s="9">
        <f>'Форма 2'!K1558</f>
        <v>24</v>
      </c>
      <c r="R421" s="37" t="s">
        <v>375</v>
      </c>
      <c r="S421" s="168">
        <v>1</v>
      </c>
    </row>
    <row r="422" spans="1:19" s="71" customFormat="1" ht="15.75" customHeight="1" x14ac:dyDescent="0.25">
      <c r="A422" s="236">
        <f t="shared" si="140"/>
        <v>14</v>
      </c>
      <c r="B422" s="236">
        <v>368</v>
      </c>
      <c r="C422" s="29" t="s">
        <v>539</v>
      </c>
      <c r="D422" s="13">
        <v>1961</v>
      </c>
      <c r="E422" s="13" t="s">
        <v>95</v>
      </c>
      <c r="F422" s="13" t="s">
        <v>82</v>
      </c>
      <c r="G422" s="9">
        <v>3911.9</v>
      </c>
      <c r="H422" s="9">
        <v>3670.2</v>
      </c>
      <c r="I422" s="11">
        <v>122</v>
      </c>
      <c r="J422" s="9">
        <f>'Форма 2'!I1560</f>
        <v>832357.64</v>
      </c>
      <c r="K422" s="9">
        <v>0</v>
      </c>
      <c r="L422" s="9">
        <v>0</v>
      </c>
      <c r="M422" s="9">
        <v>0</v>
      </c>
      <c r="N422" s="9">
        <f>J422-K422-L422-M422-O422</f>
        <v>817800.35</v>
      </c>
      <c r="O422" s="9">
        <v>14557.29</v>
      </c>
      <c r="P422" s="9">
        <f>J422/H422</f>
        <v>226.79</v>
      </c>
      <c r="Q422" s="9">
        <f>'Форма 2'!K1560</f>
        <v>407</v>
      </c>
      <c r="R422" s="37" t="s">
        <v>375</v>
      </c>
      <c r="S422" s="168">
        <v>1</v>
      </c>
    </row>
    <row r="423" spans="1:19" s="71" customFormat="1" ht="15.75" customHeight="1" x14ac:dyDescent="0.25">
      <c r="A423" s="236">
        <f t="shared" si="140"/>
        <v>15</v>
      </c>
      <c r="B423" s="236">
        <v>234</v>
      </c>
      <c r="C423" s="233" t="s">
        <v>739</v>
      </c>
      <c r="D423" s="13">
        <v>1956</v>
      </c>
      <c r="E423" s="13" t="s">
        <v>68</v>
      </c>
      <c r="F423" s="13" t="s">
        <v>81</v>
      </c>
      <c r="G423" s="9">
        <v>1463.3</v>
      </c>
      <c r="H423" s="9">
        <v>1369.3</v>
      </c>
      <c r="I423" s="11">
        <v>52</v>
      </c>
      <c r="J423" s="9">
        <f>'Форма 2'!I1563</f>
        <v>345063.6</v>
      </c>
      <c r="K423" s="9">
        <v>0</v>
      </c>
      <c r="L423" s="9">
        <v>0</v>
      </c>
      <c r="M423" s="9">
        <v>0</v>
      </c>
      <c r="N423" s="9">
        <f t="shared" ref="N423" si="141">J423-K423-L423-M423-O423</f>
        <v>339028.71</v>
      </c>
      <c r="O423" s="9">
        <v>6034.89</v>
      </c>
      <c r="P423" s="9">
        <f t="shared" ref="P423" si="142">J423/H423</f>
        <v>252</v>
      </c>
      <c r="Q423" s="9">
        <f>'Форма 2'!K1563</f>
        <v>252</v>
      </c>
      <c r="R423" s="37" t="s">
        <v>375</v>
      </c>
      <c r="S423" s="168">
        <v>1</v>
      </c>
    </row>
    <row r="424" spans="1:19" s="71" customFormat="1" ht="15.75" customHeight="1" x14ac:dyDescent="0.25">
      <c r="A424" s="236">
        <f t="shared" si="140"/>
        <v>16</v>
      </c>
      <c r="B424" s="236">
        <v>827</v>
      </c>
      <c r="C424" s="29" t="s">
        <v>369</v>
      </c>
      <c r="D424" s="13">
        <v>1988</v>
      </c>
      <c r="E424" s="13" t="s">
        <v>68</v>
      </c>
      <c r="F424" s="13" t="s">
        <v>81</v>
      </c>
      <c r="G424" s="9">
        <v>4656.7</v>
      </c>
      <c r="H424" s="9">
        <v>4235.7</v>
      </c>
      <c r="I424" s="11">
        <v>160</v>
      </c>
      <c r="J424" s="9">
        <f>'Форма 2'!I1565</f>
        <v>667864</v>
      </c>
      <c r="K424" s="9">
        <v>0</v>
      </c>
      <c r="L424" s="9">
        <v>0</v>
      </c>
      <c r="M424" s="9">
        <v>0</v>
      </c>
      <c r="N424" s="9">
        <f t="shared" si="138"/>
        <v>656183.57999999996</v>
      </c>
      <c r="O424" s="9">
        <v>11680.42</v>
      </c>
      <c r="P424" s="9">
        <f t="shared" si="139"/>
        <v>157.68</v>
      </c>
      <c r="Q424" s="9">
        <f>'Форма 2'!K1565</f>
        <v>169</v>
      </c>
      <c r="R424" s="37" t="s">
        <v>375</v>
      </c>
      <c r="S424" s="168">
        <v>1</v>
      </c>
    </row>
    <row r="425" spans="1:19" s="71" customFormat="1" ht="15.75" customHeight="1" x14ac:dyDescent="0.25">
      <c r="A425" s="236">
        <f t="shared" si="140"/>
        <v>17</v>
      </c>
      <c r="B425" s="236">
        <v>602</v>
      </c>
      <c r="C425" s="29" t="s">
        <v>120</v>
      </c>
      <c r="D425" s="13">
        <v>1973</v>
      </c>
      <c r="E425" s="13" t="s">
        <v>112</v>
      </c>
      <c r="F425" s="13" t="s">
        <v>82</v>
      </c>
      <c r="G425" s="9">
        <v>3290.6</v>
      </c>
      <c r="H425" s="9">
        <v>3240.43</v>
      </c>
      <c r="I425" s="11">
        <v>122</v>
      </c>
      <c r="J425" s="9">
        <f>'Форма 2'!I1567</f>
        <v>15444499.52</v>
      </c>
      <c r="K425" s="9">
        <v>0</v>
      </c>
      <c r="L425" s="9">
        <v>0</v>
      </c>
      <c r="M425" s="9">
        <v>0</v>
      </c>
      <c r="N425" s="9">
        <f t="shared" si="138"/>
        <v>15174387.25</v>
      </c>
      <c r="O425" s="9">
        <v>270112.27</v>
      </c>
      <c r="P425" s="9">
        <f t="shared" si="139"/>
        <v>4766.1899999999996</v>
      </c>
      <c r="Q425" s="9">
        <f>'Форма 2'!K1567</f>
        <v>5861</v>
      </c>
      <c r="R425" s="37" t="s">
        <v>375</v>
      </c>
      <c r="S425" s="168">
        <v>1</v>
      </c>
    </row>
    <row r="426" spans="1:19" s="71" customFormat="1" ht="15" customHeight="1" x14ac:dyDescent="0.25">
      <c r="A426" s="236">
        <f t="shared" si="140"/>
        <v>18</v>
      </c>
      <c r="B426" s="236">
        <v>293</v>
      </c>
      <c r="C426" s="233" t="s">
        <v>619</v>
      </c>
      <c r="D426" s="13">
        <v>1958</v>
      </c>
      <c r="E426" s="13" t="s">
        <v>95</v>
      </c>
      <c r="F426" s="13" t="s">
        <v>81</v>
      </c>
      <c r="G426" s="9">
        <v>1357.2</v>
      </c>
      <c r="H426" s="9">
        <v>1262.0999999999999</v>
      </c>
      <c r="I426" s="11">
        <v>61</v>
      </c>
      <c r="J426" s="9">
        <f>'Форма 2'!I1570</f>
        <v>59318.7</v>
      </c>
      <c r="K426" s="9">
        <v>0</v>
      </c>
      <c r="L426" s="9">
        <v>0</v>
      </c>
      <c r="M426" s="9">
        <v>0</v>
      </c>
      <c r="N426" s="9">
        <f t="shared" si="138"/>
        <v>58281.26</v>
      </c>
      <c r="O426" s="9">
        <v>1037.44</v>
      </c>
      <c r="P426" s="9">
        <f t="shared" si="139"/>
        <v>47</v>
      </c>
      <c r="Q426" s="9">
        <f>'Форма 2'!K1570</f>
        <v>47</v>
      </c>
      <c r="R426" s="37" t="s">
        <v>375</v>
      </c>
      <c r="S426" s="168">
        <v>1</v>
      </c>
    </row>
    <row r="427" spans="1:19" s="71" customFormat="1" ht="15" customHeight="1" x14ac:dyDescent="0.25">
      <c r="A427" s="236">
        <f t="shared" si="140"/>
        <v>19</v>
      </c>
      <c r="B427" s="236">
        <v>471</v>
      </c>
      <c r="C427" s="233" t="s">
        <v>620</v>
      </c>
      <c r="D427" s="13">
        <v>1964</v>
      </c>
      <c r="E427" s="13" t="s">
        <v>68</v>
      </c>
      <c r="F427" s="13" t="s">
        <v>81</v>
      </c>
      <c r="G427" s="9">
        <v>1675.3</v>
      </c>
      <c r="H427" s="9">
        <v>1568.8</v>
      </c>
      <c r="I427" s="11">
        <v>59</v>
      </c>
      <c r="J427" s="9">
        <f>'Форма 2'!I1572</f>
        <v>241399.37</v>
      </c>
      <c r="K427" s="9">
        <v>0</v>
      </c>
      <c r="L427" s="9">
        <v>0</v>
      </c>
      <c r="M427" s="9">
        <v>0</v>
      </c>
      <c r="N427" s="9">
        <f>J427-K427-L427-M427-O427</f>
        <v>237177.48</v>
      </c>
      <c r="O427" s="9">
        <v>4221.8900000000003</v>
      </c>
      <c r="P427" s="9">
        <f>J427/H427</f>
        <v>153.88</v>
      </c>
      <c r="Q427" s="9">
        <f>'Форма 2'!K1572</f>
        <v>169</v>
      </c>
      <c r="R427" s="37" t="s">
        <v>375</v>
      </c>
      <c r="S427" s="168">
        <v>1</v>
      </c>
    </row>
    <row r="428" spans="1:19" s="71" customFormat="1" ht="15" customHeight="1" x14ac:dyDescent="0.25">
      <c r="A428" s="236">
        <f t="shared" si="140"/>
        <v>20</v>
      </c>
      <c r="B428" s="236">
        <v>340</v>
      </c>
      <c r="C428" s="233" t="s">
        <v>621</v>
      </c>
      <c r="D428" s="13">
        <v>1960</v>
      </c>
      <c r="E428" s="13" t="s">
        <v>95</v>
      </c>
      <c r="F428" s="13" t="s">
        <v>81</v>
      </c>
      <c r="G428" s="9">
        <v>1457.55</v>
      </c>
      <c r="H428" s="9">
        <v>1359.55</v>
      </c>
      <c r="I428" s="11">
        <v>51</v>
      </c>
      <c r="J428" s="9">
        <f>'Форма 2'!I1574</f>
        <v>63898.85</v>
      </c>
      <c r="K428" s="9">
        <v>0</v>
      </c>
      <c r="L428" s="9">
        <v>0</v>
      </c>
      <c r="M428" s="9">
        <v>0</v>
      </c>
      <c r="N428" s="9">
        <f>J428-K428-L428-M428-O428</f>
        <v>62781.31</v>
      </c>
      <c r="O428" s="9">
        <v>1117.54</v>
      </c>
      <c r="P428" s="9">
        <f>J428/H428</f>
        <v>47</v>
      </c>
      <c r="Q428" s="9">
        <f>'Форма 2'!K1574</f>
        <v>47</v>
      </c>
      <c r="R428" s="37" t="s">
        <v>375</v>
      </c>
      <c r="S428" s="168">
        <v>1</v>
      </c>
    </row>
    <row r="429" spans="1:19" s="71" customFormat="1" ht="15" customHeight="1" x14ac:dyDescent="0.25">
      <c r="A429" s="236">
        <f t="shared" si="140"/>
        <v>21</v>
      </c>
      <c r="B429" s="236">
        <v>341</v>
      </c>
      <c r="C429" s="233" t="s">
        <v>622</v>
      </c>
      <c r="D429" s="13">
        <v>1960</v>
      </c>
      <c r="E429" s="13" t="s">
        <v>95</v>
      </c>
      <c r="F429" s="13" t="s">
        <v>81</v>
      </c>
      <c r="G429" s="9">
        <v>1366.6</v>
      </c>
      <c r="H429" s="9">
        <v>1268.5999999999999</v>
      </c>
      <c r="I429" s="11">
        <v>48</v>
      </c>
      <c r="J429" s="9">
        <f>'Форма 2'!I1576</f>
        <v>59624.2</v>
      </c>
      <c r="K429" s="9">
        <v>0</v>
      </c>
      <c r="L429" s="9">
        <v>0</v>
      </c>
      <c r="M429" s="9">
        <v>0</v>
      </c>
      <c r="N429" s="9">
        <f>J429-K429-L429-M429-O429</f>
        <v>58581.42</v>
      </c>
      <c r="O429" s="9">
        <v>1042.78</v>
      </c>
      <c r="P429" s="9">
        <f>J429/H429</f>
        <v>47</v>
      </c>
      <c r="Q429" s="9">
        <f>'Форма 2'!K1576</f>
        <v>47</v>
      </c>
      <c r="R429" s="37" t="s">
        <v>375</v>
      </c>
      <c r="S429" s="168">
        <v>1</v>
      </c>
    </row>
    <row r="430" spans="1:19" s="71" customFormat="1" ht="15.75" customHeight="1" x14ac:dyDescent="0.25">
      <c r="A430" s="236">
        <f t="shared" si="140"/>
        <v>22</v>
      </c>
      <c r="B430" s="236">
        <v>351</v>
      </c>
      <c r="C430" s="29" t="s">
        <v>534</v>
      </c>
      <c r="D430" s="13">
        <v>1960</v>
      </c>
      <c r="E430" s="13" t="s">
        <v>95</v>
      </c>
      <c r="F430" s="13" t="s">
        <v>82</v>
      </c>
      <c r="G430" s="9">
        <v>2175.4</v>
      </c>
      <c r="H430" s="9">
        <v>1260.4000000000001</v>
      </c>
      <c r="I430" s="11">
        <v>48</v>
      </c>
      <c r="J430" s="9">
        <f>'Форма 2'!I1578</f>
        <v>392726.37</v>
      </c>
      <c r="K430" s="9">
        <v>0</v>
      </c>
      <c r="L430" s="9">
        <v>0</v>
      </c>
      <c r="M430" s="9">
        <v>0</v>
      </c>
      <c r="N430" s="9">
        <f t="shared" si="138"/>
        <v>385857.89</v>
      </c>
      <c r="O430" s="9">
        <v>6868.48</v>
      </c>
      <c r="P430" s="9">
        <f t="shared" si="139"/>
        <v>311.58999999999997</v>
      </c>
      <c r="Q430" s="9">
        <f>'Форма 2'!K1578</f>
        <v>362</v>
      </c>
      <c r="R430" s="37" t="s">
        <v>375</v>
      </c>
      <c r="S430" s="168">
        <v>1</v>
      </c>
    </row>
    <row r="431" spans="1:19" s="71" customFormat="1" ht="15.75" customHeight="1" x14ac:dyDescent="0.25">
      <c r="A431" s="236">
        <f t="shared" si="140"/>
        <v>23</v>
      </c>
      <c r="B431" s="236">
        <v>811</v>
      </c>
      <c r="C431" s="29" t="s">
        <v>191</v>
      </c>
      <c r="D431" s="13">
        <v>1986</v>
      </c>
      <c r="E431" s="13" t="s">
        <v>354</v>
      </c>
      <c r="F431" s="13" t="s">
        <v>82</v>
      </c>
      <c r="G431" s="9">
        <v>4962.1000000000004</v>
      </c>
      <c r="H431" s="9">
        <v>4347.7</v>
      </c>
      <c r="I431" s="11">
        <v>164</v>
      </c>
      <c r="J431" s="9">
        <f>'Форма 2'!I1581</f>
        <v>12098374.76</v>
      </c>
      <c r="K431" s="9">
        <v>0</v>
      </c>
      <c r="L431" s="9">
        <v>0</v>
      </c>
      <c r="M431" s="9">
        <v>0</v>
      </c>
      <c r="N431" s="9">
        <f t="shared" si="138"/>
        <v>11886783.609999999</v>
      </c>
      <c r="O431" s="9">
        <v>211591.15</v>
      </c>
      <c r="P431" s="9">
        <f t="shared" si="139"/>
        <v>2782.71</v>
      </c>
      <c r="Q431" s="9">
        <f>'Форма 2'!K1581</f>
        <v>3419</v>
      </c>
      <c r="R431" s="37" t="s">
        <v>375</v>
      </c>
      <c r="S431" s="168">
        <v>1</v>
      </c>
    </row>
    <row r="432" spans="1:19" s="71" customFormat="1" ht="15.75" customHeight="1" x14ac:dyDescent="0.25">
      <c r="A432" s="236">
        <f t="shared" si="140"/>
        <v>24</v>
      </c>
      <c r="B432" s="236">
        <v>34</v>
      </c>
      <c r="C432" s="233" t="s">
        <v>740</v>
      </c>
      <c r="D432" s="13">
        <v>1900</v>
      </c>
      <c r="E432" s="13" t="s">
        <v>90</v>
      </c>
      <c r="F432" s="13" t="s">
        <v>81</v>
      </c>
      <c r="G432" s="9">
        <v>323.3</v>
      </c>
      <c r="H432" s="9">
        <v>257.7</v>
      </c>
      <c r="I432" s="11">
        <v>18</v>
      </c>
      <c r="J432" s="9">
        <f>'Форма 2'!I1588</f>
        <v>19842.900000000001</v>
      </c>
      <c r="K432" s="9">
        <v>0</v>
      </c>
      <c r="L432" s="9">
        <v>0</v>
      </c>
      <c r="M432" s="9">
        <v>0</v>
      </c>
      <c r="N432" s="9">
        <f t="shared" si="138"/>
        <v>19495.86</v>
      </c>
      <c r="O432" s="9">
        <v>347.04</v>
      </c>
      <c r="P432" s="9">
        <f t="shared" si="139"/>
        <v>77</v>
      </c>
      <c r="Q432" s="9">
        <f>'Форма 2'!K1588</f>
        <v>77</v>
      </c>
      <c r="R432" s="37" t="s">
        <v>375</v>
      </c>
      <c r="S432" s="168">
        <v>1</v>
      </c>
    </row>
    <row r="433" spans="1:19" s="71" customFormat="1" ht="15.75" customHeight="1" x14ac:dyDescent="0.25">
      <c r="A433" s="236">
        <f t="shared" si="140"/>
        <v>25</v>
      </c>
      <c r="B433" s="236">
        <v>812</v>
      </c>
      <c r="C433" s="29" t="s">
        <v>192</v>
      </c>
      <c r="D433" s="13">
        <v>1986</v>
      </c>
      <c r="E433" s="13" t="s">
        <v>354</v>
      </c>
      <c r="F433" s="13" t="s">
        <v>82</v>
      </c>
      <c r="G433" s="9">
        <v>3795.9</v>
      </c>
      <c r="H433" s="9">
        <v>3238.46</v>
      </c>
      <c r="I433" s="11">
        <v>122</v>
      </c>
      <c r="J433" s="9">
        <f>'Форма 2'!I1590</f>
        <v>8383041.3499999996</v>
      </c>
      <c r="K433" s="9">
        <v>0</v>
      </c>
      <c r="L433" s="9">
        <v>0</v>
      </c>
      <c r="M433" s="9">
        <v>0</v>
      </c>
      <c r="N433" s="9">
        <f t="shared" si="138"/>
        <v>8236428.4900000002</v>
      </c>
      <c r="O433" s="9">
        <v>146612.85999999999</v>
      </c>
      <c r="P433" s="9">
        <f t="shared" si="139"/>
        <v>2588.59</v>
      </c>
      <c r="Q433" s="9">
        <f>'Форма 2'!K1590</f>
        <v>3419</v>
      </c>
      <c r="R433" s="37" t="s">
        <v>375</v>
      </c>
      <c r="S433" s="168">
        <v>1</v>
      </c>
    </row>
    <row r="434" spans="1:19" s="71" customFormat="1" ht="15" customHeight="1" x14ac:dyDescent="0.25">
      <c r="A434" s="236">
        <f t="shared" si="140"/>
        <v>26</v>
      </c>
      <c r="B434" s="236">
        <v>294</v>
      </c>
      <c r="C434" s="233" t="s">
        <v>623</v>
      </c>
      <c r="D434" s="13">
        <v>1958</v>
      </c>
      <c r="E434" s="13" t="s">
        <v>95</v>
      </c>
      <c r="F434" s="13" t="s">
        <v>81</v>
      </c>
      <c r="G434" s="9">
        <v>4068.1</v>
      </c>
      <c r="H434" s="9">
        <v>3808.2</v>
      </c>
      <c r="I434" s="11">
        <v>77</v>
      </c>
      <c r="J434" s="9">
        <f>'Форма 2'!I1597</f>
        <v>91396.800000000003</v>
      </c>
      <c r="K434" s="9">
        <v>0</v>
      </c>
      <c r="L434" s="9">
        <v>0</v>
      </c>
      <c r="M434" s="9">
        <v>0</v>
      </c>
      <c r="N434" s="9">
        <f>J434-K434-L434-M434-O434</f>
        <v>89798.34</v>
      </c>
      <c r="O434" s="9">
        <v>1598.46</v>
      </c>
      <c r="P434" s="9">
        <f>J434/H434</f>
        <v>24</v>
      </c>
      <c r="Q434" s="9">
        <f>'Форма 2'!K1597</f>
        <v>24</v>
      </c>
      <c r="R434" s="37" t="s">
        <v>375</v>
      </c>
      <c r="S434" s="168">
        <v>1</v>
      </c>
    </row>
    <row r="435" spans="1:19" s="71" customFormat="1" ht="15" customHeight="1" x14ac:dyDescent="0.25">
      <c r="A435" s="236">
        <f t="shared" si="140"/>
        <v>27</v>
      </c>
      <c r="B435" s="236">
        <v>326</v>
      </c>
      <c r="C435" s="233" t="s">
        <v>624</v>
      </c>
      <c r="D435" s="13">
        <v>1959</v>
      </c>
      <c r="E435" s="13" t="s">
        <v>95</v>
      </c>
      <c r="F435" s="13" t="s">
        <v>81</v>
      </c>
      <c r="G435" s="9">
        <v>1992.7</v>
      </c>
      <c r="H435" s="9">
        <v>1786.7</v>
      </c>
      <c r="I435" s="11">
        <v>65</v>
      </c>
      <c r="J435" s="9">
        <f>'Форма 2'!I1599</f>
        <v>83974.9</v>
      </c>
      <c r="K435" s="9">
        <v>0</v>
      </c>
      <c r="L435" s="9">
        <v>0</v>
      </c>
      <c r="M435" s="9">
        <v>0</v>
      </c>
      <c r="N435" s="9">
        <f>J435-K435-L435-M435-O435</f>
        <v>82506.240000000005</v>
      </c>
      <c r="O435" s="9">
        <v>1468.66</v>
      </c>
      <c r="P435" s="9">
        <f>J435/H435</f>
        <v>47</v>
      </c>
      <c r="Q435" s="9">
        <f>'Форма 2'!K1599</f>
        <v>47</v>
      </c>
      <c r="R435" s="37" t="s">
        <v>375</v>
      </c>
      <c r="S435" s="168">
        <v>1</v>
      </c>
    </row>
    <row r="436" spans="1:19" s="71" customFormat="1" ht="15.75" customHeight="1" x14ac:dyDescent="0.25">
      <c r="A436" s="236">
        <f t="shared" si="140"/>
        <v>28</v>
      </c>
      <c r="B436" s="236">
        <v>774</v>
      </c>
      <c r="C436" s="233" t="s">
        <v>96</v>
      </c>
      <c r="D436" s="13" t="s">
        <v>97</v>
      </c>
      <c r="E436" s="13" t="s">
        <v>751</v>
      </c>
      <c r="F436" s="13" t="s">
        <v>114</v>
      </c>
      <c r="G436" s="9">
        <v>15418.66</v>
      </c>
      <c r="H436" s="9">
        <v>14583.46</v>
      </c>
      <c r="I436" s="11">
        <v>518</v>
      </c>
      <c r="J436" s="9">
        <f>'Форма 2'!I1601</f>
        <v>4749700.6399999997</v>
      </c>
      <c r="K436" s="9">
        <v>0</v>
      </c>
      <c r="L436" s="9">
        <v>0</v>
      </c>
      <c r="M436" s="9">
        <v>0</v>
      </c>
      <c r="N436" s="9">
        <f>J436-K436-L436-M436-O436</f>
        <v>4666632.08</v>
      </c>
      <c r="O436" s="9">
        <v>83068.56</v>
      </c>
      <c r="P436" s="9">
        <f>J436/H436</f>
        <v>325.69</v>
      </c>
      <c r="Q436" s="9">
        <f>'Форма 2'!K1601</f>
        <v>1078</v>
      </c>
      <c r="R436" s="37" t="s">
        <v>375</v>
      </c>
      <c r="S436" s="168">
        <v>1</v>
      </c>
    </row>
    <row r="437" spans="1:19" s="71" customFormat="1" ht="15.75" customHeight="1" x14ac:dyDescent="0.25">
      <c r="A437" s="236">
        <f t="shared" si="140"/>
        <v>29</v>
      </c>
      <c r="B437" s="236">
        <v>877</v>
      </c>
      <c r="C437" s="29" t="s">
        <v>195</v>
      </c>
      <c r="D437" s="13">
        <v>1991</v>
      </c>
      <c r="E437" s="13" t="s">
        <v>354</v>
      </c>
      <c r="F437" s="13" t="s">
        <v>82</v>
      </c>
      <c r="G437" s="9">
        <v>1678.9</v>
      </c>
      <c r="H437" s="9">
        <v>1533.7</v>
      </c>
      <c r="I437" s="11">
        <v>58</v>
      </c>
      <c r="J437" s="9">
        <f>'Форма 2'!I1606</f>
        <v>5408916.3300000001</v>
      </c>
      <c r="K437" s="9">
        <v>0</v>
      </c>
      <c r="L437" s="9">
        <v>0</v>
      </c>
      <c r="M437" s="9">
        <v>0</v>
      </c>
      <c r="N437" s="9">
        <f t="shared" ref="N437" si="143">J437-K437-L437-M437-O437</f>
        <v>5314318.5999999996</v>
      </c>
      <c r="O437" s="9">
        <v>94597.73</v>
      </c>
      <c r="P437" s="9">
        <f t="shared" ref="P437" si="144">J437/H437</f>
        <v>3526.71</v>
      </c>
      <c r="Q437" s="9">
        <f>'Форма 2'!K1606</f>
        <v>4051</v>
      </c>
      <c r="R437" s="37" t="s">
        <v>375</v>
      </c>
      <c r="S437" s="168">
        <v>1</v>
      </c>
    </row>
    <row r="438" spans="1:19" s="71" customFormat="1" ht="15" customHeight="1" x14ac:dyDescent="0.25">
      <c r="A438" s="236">
        <f t="shared" si="140"/>
        <v>30</v>
      </c>
      <c r="B438" s="236">
        <v>169</v>
      </c>
      <c r="C438" s="233" t="s">
        <v>741</v>
      </c>
      <c r="D438" s="13">
        <v>1952</v>
      </c>
      <c r="E438" s="13" t="s">
        <v>112</v>
      </c>
      <c r="F438" s="13" t="s">
        <v>81</v>
      </c>
      <c r="G438" s="9">
        <v>2166.1999999999998</v>
      </c>
      <c r="H438" s="9">
        <v>1896.3</v>
      </c>
      <c r="I438" s="11">
        <v>92</v>
      </c>
      <c r="J438" s="9">
        <f>'Форма 2'!I1613</f>
        <v>542341.80000000005</v>
      </c>
      <c r="K438" s="9">
        <v>0</v>
      </c>
      <c r="L438" s="9">
        <v>0</v>
      </c>
      <c r="M438" s="9">
        <v>0</v>
      </c>
      <c r="N438" s="9">
        <f>J438-K438-L438-M438-O438</f>
        <v>532856.66</v>
      </c>
      <c r="O438" s="9">
        <v>9485.14</v>
      </c>
      <c r="P438" s="9">
        <f>J438/H438</f>
        <v>286</v>
      </c>
      <c r="Q438" s="9">
        <f>'Форма 2'!K1613</f>
        <v>286</v>
      </c>
      <c r="R438" s="37" t="s">
        <v>375</v>
      </c>
      <c r="S438" s="168">
        <v>1</v>
      </c>
    </row>
    <row r="439" spans="1:19" s="71" customFormat="1" ht="15" customHeight="1" x14ac:dyDescent="0.25">
      <c r="A439" s="236">
        <f t="shared" si="140"/>
        <v>31</v>
      </c>
      <c r="B439" s="236">
        <v>157</v>
      </c>
      <c r="C439" s="233" t="s">
        <v>576</v>
      </c>
      <c r="D439" s="13">
        <v>1951</v>
      </c>
      <c r="E439" s="13" t="s">
        <v>95</v>
      </c>
      <c r="F439" s="13" t="s">
        <v>82</v>
      </c>
      <c r="G439" s="9">
        <v>523.4</v>
      </c>
      <c r="H439" s="9">
        <v>482.4</v>
      </c>
      <c r="I439" s="11">
        <v>31</v>
      </c>
      <c r="J439" s="9">
        <f>'Форма 2'!I1615</f>
        <v>174628.8</v>
      </c>
      <c r="K439" s="9">
        <v>0</v>
      </c>
      <c r="L439" s="9">
        <v>0</v>
      </c>
      <c r="M439" s="9">
        <v>0</v>
      </c>
      <c r="N439" s="9">
        <f>J439-K439-L439-M439-O439</f>
        <v>171574.68</v>
      </c>
      <c r="O439" s="9">
        <v>3054.12</v>
      </c>
      <c r="P439" s="9">
        <f>J439/H439</f>
        <v>362</v>
      </c>
      <c r="Q439" s="9">
        <f>'Форма 2'!K1615</f>
        <v>362</v>
      </c>
      <c r="R439" s="37" t="s">
        <v>375</v>
      </c>
      <c r="S439" s="168">
        <v>1</v>
      </c>
    </row>
    <row r="440" spans="1:19" s="71" customFormat="1" ht="15.75" customHeight="1" x14ac:dyDescent="0.25">
      <c r="A440" s="236">
        <f t="shared" si="140"/>
        <v>32</v>
      </c>
      <c r="B440" s="236">
        <v>987</v>
      </c>
      <c r="C440" s="29" t="s">
        <v>357</v>
      </c>
      <c r="D440" s="13">
        <v>1991</v>
      </c>
      <c r="E440" s="13" t="s">
        <v>68</v>
      </c>
      <c r="F440" s="13" t="s">
        <v>82</v>
      </c>
      <c r="G440" s="9">
        <v>2842.9</v>
      </c>
      <c r="H440" s="9">
        <v>2713.5</v>
      </c>
      <c r="I440" s="11">
        <v>103</v>
      </c>
      <c r="J440" s="9">
        <f>'Форма 2'!I1618</f>
        <v>3875205.1</v>
      </c>
      <c r="K440" s="9">
        <v>0</v>
      </c>
      <c r="L440" s="9">
        <v>0</v>
      </c>
      <c r="M440" s="9">
        <v>0</v>
      </c>
      <c r="N440" s="9">
        <f t="shared" si="138"/>
        <v>3807430.78</v>
      </c>
      <c r="O440" s="9">
        <v>67774.320000000007</v>
      </c>
      <c r="P440" s="9">
        <f t="shared" si="139"/>
        <v>1428.12</v>
      </c>
      <c r="Q440" s="9">
        <f>'Форма 2'!K1618</f>
        <v>2492</v>
      </c>
      <c r="R440" s="37" t="s">
        <v>375</v>
      </c>
      <c r="S440" s="168">
        <v>1</v>
      </c>
    </row>
    <row r="441" spans="1:19" s="71" customFormat="1" ht="15" customHeight="1" x14ac:dyDescent="0.25">
      <c r="A441" s="236">
        <f t="shared" si="140"/>
        <v>33</v>
      </c>
      <c r="B441" s="236">
        <v>119</v>
      </c>
      <c r="C441" s="233" t="s">
        <v>577</v>
      </c>
      <c r="D441" s="13">
        <v>1946</v>
      </c>
      <c r="E441" s="13" t="s">
        <v>95</v>
      </c>
      <c r="F441" s="13" t="s">
        <v>82</v>
      </c>
      <c r="G441" s="9">
        <v>833.1</v>
      </c>
      <c r="H441" s="9">
        <v>811.7</v>
      </c>
      <c r="I441" s="11">
        <v>31</v>
      </c>
      <c r="J441" s="9">
        <f>'Форма 2'!I1621</f>
        <v>247260.93</v>
      </c>
      <c r="K441" s="9">
        <v>0</v>
      </c>
      <c r="L441" s="9">
        <v>0</v>
      </c>
      <c r="M441" s="9">
        <v>0</v>
      </c>
      <c r="N441" s="9">
        <f t="shared" si="138"/>
        <v>242936.53</v>
      </c>
      <c r="O441" s="9">
        <v>4324.3999999999996</v>
      </c>
      <c r="P441" s="9">
        <f t="shared" si="139"/>
        <v>304.62</v>
      </c>
      <c r="Q441" s="9">
        <f>'Форма 2'!K1621</f>
        <v>362</v>
      </c>
      <c r="R441" s="37" t="s">
        <v>375</v>
      </c>
      <c r="S441" s="168">
        <v>1</v>
      </c>
    </row>
    <row r="442" spans="1:19" s="71" customFormat="1" ht="15" customHeight="1" x14ac:dyDescent="0.25">
      <c r="A442" s="236">
        <f t="shared" si="140"/>
        <v>34</v>
      </c>
      <c r="B442" s="236">
        <v>179</v>
      </c>
      <c r="C442" s="233" t="s">
        <v>625</v>
      </c>
      <c r="D442" s="13">
        <v>1953</v>
      </c>
      <c r="E442" s="13" t="s">
        <v>95</v>
      </c>
      <c r="F442" s="13" t="s">
        <v>81</v>
      </c>
      <c r="G442" s="9">
        <v>910.9</v>
      </c>
      <c r="H442" s="9">
        <v>840.9</v>
      </c>
      <c r="I442" s="11">
        <v>32</v>
      </c>
      <c r="J442" s="9">
        <f>'Форма 2'!I1624</f>
        <v>61385.7</v>
      </c>
      <c r="K442" s="9">
        <v>0</v>
      </c>
      <c r="L442" s="9">
        <v>0</v>
      </c>
      <c r="M442" s="9">
        <v>0</v>
      </c>
      <c r="N442" s="9">
        <f t="shared" si="138"/>
        <v>60312.11</v>
      </c>
      <c r="O442" s="9">
        <v>1073.5899999999999</v>
      </c>
      <c r="P442" s="9">
        <f t="shared" si="139"/>
        <v>73</v>
      </c>
      <c r="Q442" s="9">
        <f>'Форма 2'!K1624</f>
        <v>73</v>
      </c>
      <c r="R442" s="37" t="s">
        <v>375</v>
      </c>
      <c r="S442" s="168">
        <v>1</v>
      </c>
    </row>
    <row r="443" spans="1:19" s="71" customFormat="1" ht="15" customHeight="1" x14ac:dyDescent="0.25">
      <c r="A443" s="236">
        <f t="shared" si="140"/>
        <v>35</v>
      </c>
      <c r="B443" s="236">
        <v>262</v>
      </c>
      <c r="C443" s="233" t="s">
        <v>626</v>
      </c>
      <c r="D443" s="13">
        <v>1956</v>
      </c>
      <c r="E443" s="13" t="s">
        <v>95</v>
      </c>
      <c r="F443" s="13" t="s">
        <v>81</v>
      </c>
      <c r="G443" s="9">
        <v>1047.7</v>
      </c>
      <c r="H443" s="9">
        <v>990.5</v>
      </c>
      <c r="I443" s="11">
        <v>37</v>
      </c>
      <c r="J443" s="9">
        <f>'Форма 2'!I1626</f>
        <v>72306.5</v>
      </c>
      <c r="K443" s="9">
        <v>0</v>
      </c>
      <c r="L443" s="9">
        <v>0</v>
      </c>
      <c r="M443" s="9">
        <v>0</v>
      </c>
      <c r="N443" s="9">
        <f t="shared" si="138"/>
        <v>71041.919999999998</v>
      </c>
      <c r="O443" s="9">
        <v>1264.58</v>
      </c>
      <c r="P443" s="9">
        <f t="shared" si="139"/>
        <v>73</v>
      </c>
      <c r="Q443" s="9">
        <f>'Форма 2'!K1626</f>
        <v>73</v>
      </c>
      <c r="R443" s="37" t="s">
        <v>375</v>
      </c>
      <c r="S443" s="168">
        <v>1</v>
      </c>
    </row>
    <row r="444" spans="1:19" s="71" customFormat="1" ht="15" customHeight="1" x14ac:dyDescent="0.25">
      <c r="A444" s="236">
        <f t="shared" si="140"/>
        <v>36</v>
      </c>
      <c r="B444" s="236">
        <v>263</v>
      </c>
      <c r="C444" s="233" t="s">
        <v>627</v>
      </c>
      <c r="D444" s="13">
        <v>1957</v>
      </c>
      <c r="E444" s="13" t="s">
        <v>95</v>
      </c>
      <c r="F444" s="13" t="s">
        <v>81</v>
      </c>
      <c r="G444" s="9">
        <v>1381.7</v>
      </c>
      <c r="H444" s="9">
        <v>994.7</v>
      </c>
      <c r="I444" s="11">
        <v>34</v>
      </c>
      <c r="J444" s="9">
        <f>'Форма 2'!I1628</f>
        <v>72613.100000000006</v>
      </c>
      <c r="K444" s="9">
        <v>0</v>
      </c>
      <c r="L444" s="9">
        <v>0</v>
      </c>
      <c r="M444" s="9">
        <v>0</v>
      </c>
      <c r="N444" s="9">
        <f>J444-K444-L444-M444-O444</f>
        <v>71343.149999999994</v>
      </c>
      <c r="O444" s="9">
        <v>1269.95</v>
      </c>
      <c r="P444" s="9">
        <f>J444/H444</f>
        <v>73</v>
      </c>
      <c r="Q444" s="9">
        <f>'Форма 2'!K1628</f>
        <v>73</v>
      </c>
      <c r="R444" s="37" t="s">
        <v>375</v>
      </c>
      <c r="S444" s="168">
        <v>1</v>
      </c>
    </row>
    <row r="445" spans="1:19" s="71" customFormat="1" ht="15" customHeight="1" x14ac:dyDescent="0.25">
      <c r="A445" s="236">
        <f t="shared" si="140"/>
        <v>37</v>
      </c>
      <c r="B445" s="236">
        <v>888</v>
      </c>
      <c r="C445" s="233" t="s">
        <v>578</v>
      </c>
      <c r="D445" s="13">
        <v>1992</v>
      </c>
      <c r="E445" s="13" t="s">
        <v>86</v>
      </c>
      <c r="F445" s="13" t="s">
        <v>82</v>
      </c>
      <c r="G445" s="9">
        <v>4170.8</v>
      </c>
      <c r="H445" s="9">
        <v>3557.4</v>
      </c>
      <c r="I445" s="11">
        <v>134</v>
      </c>
      <c r="J445" s="9">
        <f>'Форма 2'!I1630</f>
        <v>4579236</v>
      </c>
      <c r="K445" s="9">
        <v>0</v>
      </c>
      <c r="L445" s="9">
        <v>0</v>
      </c>
      <c r="M445" s="9">
        <v>0</v>
      </c>
      <c r="N445" s="9">
        <f>J445-K445-L445-M445-O445</f>
        <v>4499148.7300000004</v>
      </c>
      <c r="O445" s="9">
        <v>80087.27</v>
      </c>
      <c r="P445" s="9">
        <f>J445/H445</f>
        <v>1287.24</v>
      </c>
      <c r="Q445" s="9">
        <f>'Форма 2'!K1630</f>
        <v>1287.24</v>
      </c>
      <c r="R445" s="37" t="s">
        <v>375</v>
      </c>
      <c r="S445" s="168">
        <v>1</v>
      </c>
    </row>
    <row r="446" spans="1:19" s="71" customFormat="1" ht="15" customHeight="1" x14ac:dyDescent="0.25">
      <c r="A446" s="236">
        <f t="shared" si="140"/>
        <v>38</v>
      </c>
      <c r="B446" s="236">
        <v>245</v>
      </c>
      <c r="C446" s="233" t="s">
        <v>628</v>
      </c>
      <c r="D446" s="13">
        <v>1956</v>
      </c>
      <c r="E446" s="13" t="s">
        <v>95</v>
      </c>
      <c r="F446" s="13" t="s">
        <v>81</v>
      </c>
      <c r="G446" s="9">
        <v>2880.5</v>
      </c>
      <c r="H446" s="9">
        <v>2691.8</v>
      </c>
      <c r="I446" s="11">
        <v>95</v>
      </c>
      <c r="J446" s="9">
        <f>'Форма 2'!I1635</f>
        <v>126514.6</v>
      </c>
      <c r="K446" s="9">
        <v>0</v>
      </c>
      <c r="L446" s="9">
        <v>0</v>
      </c>
      <c r="M446" s="9">
        <v>0</v>
      </c>
      <c r="N446" s="9">
        <f t="shared" si="138"/>
        <v>124301.96</v>
      </c>
      <c r="O446" s="9">
        <v>2212.64</v>
      </c>
      <c r="P446" s="9">
        <f t="shared" si="139"/>
        <v>47</v>
      </c>
      <c r="Q446" s="9">
        <f>'Форма 2'!K1635</f>
        <v>47</v>
      </c>
      <c r="R446" s="37" t="s">
        <v>375</v>
      </c>
      <c r="S446" s="168">
        <v>1</v>
      </c>
    </row>
    <row r="447" spans="1:19" s="71" customFormat="1" ht="15" customHeight="1" x14ac:dyDescent="0.25">
      <c r="A447" s="236">
        <f t="shared" si="140"/>
        <v>39</v>
      </c>
      <c r="B447" s="236">
        <v>352</v>
      </c>
      <c r="C447" s="233" t="s">
        <v>629</v>
      </c>
      <c r="D447" s="13">
        <v>1960</v>
      </c>
      <c r="E447" s="13" t="s">
        <v>95</v>
      </c>
      <c r="F447" s="13" t="s">
        <v>81</v>
      </c>
      <c r="G447" s="9">
        <v>1774.22</v>
      </c>
      <c r="H447" s="9">
        <v>1250.22</v>
      </c>
      <c r="I447" s="11">
        <v>50</v>
      </c>
      <c r="J447" s="9">
        <f>'Форма 2'!I1637</f>
        <v>58760.34</v>
      </c>
      <c r="K447" s="9">
        <v>0</v>
      </c>
      <c r="L447" s="9">
        <v>0</v>
      </c>
      <c r="M447" s="9">
        <v>0</v>
      </c>
      <c r="N447" s="9">
        <f t="shared" si="138"/>
        <v>57732.67</v>
      </c>
      <c r="O447" s="9">
        <v>1027.67</v>
      </c>
      <c r="P447" s="9">
        <f t="shared" si="139"/>
        <v>47</v>
      </c>
      <c r="Q447" s="9">
        <f>'Форма 2'!K1637</f>
        <v>47</v>
      </c>
      <c r="R447" s="37" t="s">
        <v>375</v>
      </c>
      <c r="S447" s="168">
        <v>1</v>
      </c>
    </row>
    <row r="448" spans="1:19" s="71" customFormat="1" ht="15.75" customHeight="1" x14ac:dyDescent="0.25">
      <c r="A448" s="282" t="s">
        <v>101</v>
      </c>
      <c r="B448" s="282"/>
      <c r="C448" s="282"/>
      <c r="D448" s="13" t="s">
        <v>13</v>
      </c>
      <c r="E448" s="17" t="s">
        <v>13</v>
      </c>
      <c r="F448" s="17" t="s">
        <v>13</v>
      </c>
      <c r="G448" s="9">
        <f>SUM(G449:G467)</f>
        <v>187910.45</v>
      </c>
      <c r="H448" s="9">
        <f t="shared" ref="H448:O448" si="145">SUM(H449:H467)</f>
        <v>153669.94</v>
      </c>
      <c r="I448" s="11">
        <f t="shared" si="145"/>
        <v>5740</v>
      </c>
      <c r="J448" s="9">
        <f t="shared" si="145"/>
        <v>121159497.42</v>
      </c>
      <c r="K448" s="9">
        <f t="shared" si="145"/>
        <v>0</v>
      </c>
      <c r="L448" s="9">
        <f t="shared" si="145"/>
        <v>0</v>
      </c>
      <c r="M448" s="9">
        <f t="shared" si="145"/>
        <v>0</v>
      </c>
      <c r="N448" s="9">
        <f t="shared" si="145"/>
        <v>119040512.17</v>
      </c>
      <c r="O448" s="9">
        <f t="shared" si="145"/>
        <v>2118985.25</v>
      </c>
      <c r="P448" s="17" t="s">
        <v>13</v>
      </c>
      <c r="Q448" s="17" t="s">
        <v>13</v>
      </c>
      <c r="R448" s="17" t="s">
        <v>13</v>
      </c>
      <c r="S448" s="236" t="s">
        <v>13</v>
      </c>
    </row>
    <row r="449" spans="1:19" s="71" customFormat="1" ht="15" customHeight="1" x14ac:dyDescent="0.25">
      <c r="A449" s="236">
        <f>A447+1</f>
        <v>40</v>
      </c>
      <c r="B449" s="236">
        <v>1239</v>
      </c>
      <c r="C449" s="233" t="s">
        <v>630</v>
      </c>
      <c r="D449" s="13">
        <v>1993</v>
      </c>
      <c r="E449" s="13" t="s">
        <v>86</v>
      </c>
      <c r="F449" s="13" t="s">
        <v>81</v>
      </c>
      <c r="G449" s="9">
        <v>8398.2999999999993</v>
      </c>
      <c r="H449" s="9">
        <v>6398.3</v>
      </c>
      <c r="I449" s="11">
        <v>189</v>
      </c>
      <c r="J449" s="9">
        <f>'Форма 2'!I1639</f>
        <v>96843</v>
      </c>
      <c r="K449" s="9">
        <v>0</v>
      </c>
      <c r="L449" s="9">
        <v>0</v>
      </c>
      <c r="M449" s="9">
        <v>0</v>
      </c>
      <c r="N449" s="9">
        <f>J449-K449-L449-M449-O449</f>
        <v>95149.29</v>
      </c>
      <c r="O449" s="9">
        <v>1693.71</v>
      </c>
      <c r="P449" s="9">
        <f>J449/H449</f>
        <v>15.14</v>
      </c>
      <c r="Q449" s="9">
        <f>'Форма 2'!K1639</f>
        <v>15.14</v>
      </c>
      <c r="R449" s="37" t="s">
        <v>375</v>
      </c>
      <c r="S449" s="168">
        <v>1</v>
      </c>
    </row>
    <row r="450" spans="1:19" s="71" customFormat="1" ht="15.75" customHeight="1" x14ac:dyDescent="0.25">
      <c r="A450" s="236">
        <f>A449+1</f>
        <v>41</v>
      </c>
      <c r="B450" s="236">
        <v>1242</v>
      </c>
      <c r="C450" s="29" t="s">
        <v>198</v>
      </c>
      <c r="D450" s="13">
        <v>1985</v>
      </c>
      <c r="E450" s="13" t="s">
        <v>354</v>
      </c>
      <c r="F450" s="13" t="s">
        <v>223</v>
      </c>
      <c r="G450" s="9">
        <v>12311.8</v>
      </c>
      <c r="H450" s="9">
        <v>10059.200000000001</v>
      </c>
      <c r="I450" s="11">
        <v>292</v>
      </c>
      <c r="J450" s="9">
        <f>'Форма 2'!I1643</f>
        <v>5701202.2800000003</v>
      </c>
      <c r="K450" s="9">
        <v>0</v>
      </c>
      <c r="L450" s="9">
        <v>0</v>
      </c>
      <c r="M450" s="9">
        <v>0</v>
      </c>
      <c r="N450" s="9">
        <f t="shared" ref="N450" si="146">J450-K450-L450-M450-O450</f>
        <v>5601492.6900000004</v>
      </c>
      <c r="O450" s="9">
        <v>99709.59</v>
      </c>
      <c r="P450" s="9">
        <f t="shared" ref="P450" si="147">J450/H450</f>
        <v>566.76</v>
      </c>
      <c r="Q450" s="9">
        <f>'Форма 2'!K1643</f>
        <v>3347</v>
      </c>
      <c r="R450" s="37" t="s">
        <v>377</v>
      </c>
      <c r="S450" s="168">
        <v>1</v>
      </c>
    </row>
    <row r="451" spans="1:19" s="71" customFormat="1" ht="15.75" customHeight="1" x14ac:dyDescent="0.25">
      <c r="A451" s="236">
        <f t="shared" ref="A451:A467" si="148">A450+1</f>
        <v>42</v>
      </c>
      <c r="B451" s="236">
        <v>1836</v>
      </c>
      <c r="C451" s="29" t="s">
        <v>196</v>
      </c>
      <c r="D451" s="13">
        <v>1990</v>
      </c>
      <c r="E451" s="13" t="s">
        <v>68</v>
      </c>
      <c r="F451" s="13" t="s">
        <v>82</v>
      </c>
      <c r="G451" s="9">
        <v>15387</v>
      </c>
      <c r="H451" s="9">
        <v>10176.5</v>
      </c>
      <c r="I451" s="11">
        <v>282</v>
      </c>
      <c r="J451" s="9">
        <f>'Форма 2'!I1647</f>
        <v>24983598.579999998</v>
      </c>
      <c r="K451" s="9">
        <v>0</v>
      </c>
      <c r="L451" s="9">
        <v>0</v>
      </c>
      <c r="M451" s="9">
        <v>0</v>
      </c>
      <c r="N451" s="9">
        <f t="shared" ref="N451:N466" si="149">J451-K451-L451-M451-O451</f>
        <v>24546654.91</v>
      </c>
      <c r="O451" s="9">
        <v>436943.67</v>
      </c>
      <c r="P451" s="9">
        <f t="shared" ref="P451:P467" si="150">J451/H451</f>
        <v>2455.0300000000002</v>
      </c>
      <c r="Q451" s="9">
        <f>'Форма 2'!K1647</f>
        <v>3749</v>
      </c>
      <c r="R451" s="37" t="s">
        <v>375</v>
      </c>
      <c r="S451" s="168">
        <v>1</v>
      </c>
    </row>
    <row r="452" spans="1:19" s="71" customFormat="1" ht="15" customHeight="1" x14ac:dyDescent="0.25">
      <c r="A452" s="236">
        <f t="shared" si="148"/>
        <v>43</v>
      </c>
      <c r="B452" s="236">
        <v>1397</v>
      </c>
      <c r="C452" s="233" t="s">
        <v>631</v>
      </c>
      <c r="D452" s="13">
        <v>1997</v>
      </c>
      <c r="E452" s="13" t="s">
        <v>86</v>
      </c>
      <c r="F452" s="13" t="s">
        <v>81</v>
      </c>
      <c r="G452" s="9">
        <v>8350.7999999999993</v>
      </c>
      <c r="H452" s="9">
        <v>7809.1</v>
      </c>
      <c r="I452" s="11">
        <v>295</v>
      </c>
      <c r="J452" s="9">
        <f>'Форма 2'!I1650</f>
        <v>129124</v>
      </c>
      <c r="K452" s="9">
        <v>0</v>
      </c>
      <c r="L452" s="9">
        <v>0</v>
      </c>
      <c r="M452" s="9">
        <v>0</v>
      </c>
      <c r="N452" s="9">
        <f>J452-K452-L452-M452-O452</f>
        <v>126865.72</v>
      </c>
      <c r="O452" s="9">
        <v>2258.2800000000002</v>
      </c>
      <c r="P452" s="9">
        <f>J452/H452</f>
        <v>16.54</v>
      </c>
      <c r="Q452" s="9">
        <f>'Форма 2'!K1650</f>
        <v>16.54</v>
      </c>
      <c r="R452" s="37" t="s">
        <v>375</v>
      </c>
      <c r="S452" s="168">
        <v>1</v>
      </c>
    </row>
    <row r="453" spans="1:19" s="71" customFormat="1" ht="30" customHeight="1" x14ac:dyDescent="0.25">
      <c r="A453" s="236">
        <f t="shared" si="148"/>
        <v>44</v>
      </c>
      <c r="B453" s="236">
        <v>1938</v>
      </c>
      <c r="C453" s="233" t="s">
        <v>579</v>
      </c>
      <c r="D453" s="251">
        <v>1962</v>
      </c>
      <c r="E453" s="251" t="s">
        <v>107</v>
      </c>
      <c r="F453" s="251" t="s">
        <v>82</v>
      </c>
      <c r="G453" s="22">
        <v>1721.16</v>
      </c>
      <c r="H453" s="22">
        <v>1618</v>
      </c>
      <c r="I453" s="15">
        <v>50</v>
      </c>
      <c r="J453" s="22">
        <f>'Форма 2'!I1655</f>
        <v>5577318.4800000004</v>
      </c>
      <c r="K453" s="22">
        <v>0</v>
      </c>
      <c r="L453" s="22">
        <v>0</v>
      </c>
      <c r="M453" s="22">
        <v>0</v>
      </c>
      <c r="N453" s="22">
        <f>J453-K453-L453-M453-O453</f>
        <v>5479775.5199999996</v>
      </c>
      <c r="O453" s="22">
        <v>97542.96</v>
      </c>
      <c r="P453" s="22">
        <f>J453/H453</f>
        <v>3447.04</v>
      </c>
      <c r="Q453" s="22">
        <f>'Форма 2'!K1655</f>
        <v>4557</v>
      </c>
      <c r="R453" s="206" t="s">
        <v>375</v>
      </c>
      <c r="S453" s="168">
        <v>1</v>
      </c>
    </row>
    <row r="454" spans="1:19" s="71" customFormat="1" ht="15.75" customHeight="1" x14ac:dyDescent="0.25">
      <c r="A454" s="236">
        <f t="shared" si="148"/>
        <v>45</v>
      </c>
      <c r="B454" s="236">
        <v>1275</v>
      </c>
      <c r="C454" s="29" t="s">
        <v>197</v>
      </c>
      <c r="D454" s="13">
        <v>1988</v>
      </c>
      <c r="E454" s="13" t="s">
        <v>354</v>
      </c>
      <c r="F454" s="13" t="s">
        <v>82</v>
      </c>
      <c r="G454" s="9">
        <v>4216.2</v>
      </c>
      <c r="H454" s="9">
        <v>3224.4</v>
      </c>
      <c r="I454" s="11">
        <v>98</v>
      </c>
      <c r="J454" s="9">
        <f>'Форма 2'!I1664</f>
        <v>10093825.689999999</v>
      </c>
      <c r="K454" s="9">
        <v>0</v>
      </c>
      <c r="L454" s="9">
        <v>0</v>
      </c>
      <c r="M454" s="9">
        <v>0</v>
      </c>
      <c r="N454" s="9">
        <f>J454-K454-L454-M454-O454</f>
        <v>9917292.5399999991</v>
      </c>
      <c r="O454" s="9">
        <v>176533.15</v>
      </c>
      <c r="P454" s="9">
        <f t="shared" si="150"/>
        <v>3130.45</v>
      </c>
      <c r="Q454" s="9">
        <f>'Форма 2'!K1664</f>
        <v>4051</v>
      </c>
      <c r="R454" s="37" t="s">
        <v>375</v>
      </c>
      <c r="S454" s="168">
        <v>1</v>
      </c>
    </row>
    <row r="455" spans="1:19" s="71" customFormat="1" ht="15.75" customHeight="1" x14ac:dyDescent="0.25">
      <c r="A455" s="236">
        <f t="shared" si="148"/>
        <v>46</v>
      </c>
      <c r="B455" s="236">
        <v>1279</v>
      </c>
      <c r="C455" s="29" t="s">
        <v>370</v>
      </c>
      <c r="D455" s="13">
        <v>1995</v>
      </c>
      <c r="E455" s="13" t="s">
        <v>68</v>
      </c>
      <c r="F455" s="13" t="s">
        <v>81</v>
      </c>
      <c r="G455" s="9">
        <v>5034</v>
      </c>
      <c r="H455" s="9">
        <v>4031.2</v>
      </c>
      <c r="I455" s="11">
        <v>105</v>
      </c>
      <c r="J455" s="9">
        <f>'Форма 2'!I1671</f>
        <v>635619.46</v>
      </c>
      <c r="K455" s="9">
        <v>0</v>
      </c>
      <c r="L455" s="9">
        <v>0</v>
      </c>
      <c r="M455" s="9">
        <v>0</v>
      </c>
      <c r="N455" s="9">
        <f t="shared" si="149"/>
        <v>624502.97</v>
      </c>
      <c r="O455" s="9">
        <v>11116.49</v>
      </c>
      <c r="P455" s="9">
        <f t="shared" si="150"/>
        <v>157.68</v>
      </c>
      <c r="Q455" s="9">
        <f>'Форма 2'!K1671</f>
        <v>169</v>
      </c>
      <c r="R455" s="37" t="s">
        <v>375</v>
      </c>
      <c r="S455" s="168">
        <v>1</v>
      </c>
    </row>
    <row r="456" spans="1:19" s="71" customFormat="1" ht="15.75" customHeight="1" x14ac:dyDescent="0.25">
      <c r="A456" s="236">
        <f>A455+1</f>
        <v>47</v>
      </c>
      <c r="B456" s="236">
        <v>1021</v>
      </c>
      <c r="C456" s="233" t="s">
        <v>580</v>
      </c>
      <c r="D456" s="13">
        <v>1993</v>
      </c>
      <c r="E456" s="13" t="s">
        <v>86</v>
      </c>
      <c r="F456" s="13" t="s">
        <v>82</v>
      </c>
      <c r="G456" s="9">
        <v>8742.6</v>
      </c>
      <c r="H456" s="9">
        <v>8061.42</v>
      </c>
      <c r="I456" s="11">
        <v>254</v>
      </c>
      <c r="J456" s="9">
        <f>'Форма 2'!I1673</f>
        <v>6797832.2699999996</v>
      </c>
      <c r="K456" s="9">
        <v>0</v>
      </c>
      <c r="L456" s="9">
        <v>0</v>
      </c>
      <c r="M456" s="9">
        <v>0</v>
      </c>
      <c r="N456" s="9">
        <f t="shared" si="149"/>
        <v>6678943.4800000004</v>
      </c>
      <c r="O456" s="9">
        <v>118888.79</v>
      </c>
      <c r="P456" s="9">
        <f t="shared" si="150"/>
        <v>843.25</v>
      </c>
      <c r="Q456" s="9">
        <f>'Форма 2'!K1673</f>
        <v>1246.1199999999999</v>
      </c>
      <c r="R456" s="37" t="s">
        <v>375</v>
      </c>
      <c r="S456" s="168">
        <v>1</v>
      </c>
    </row>
    <row r="457" spans="1:19" s="71" customFormat="1" ht="15" customHeight="1" x14ac:dyDescent="0.25">
      <c r="A457" s="236">
        <f>A456+1</f>
        <v>48</v>
      </c>
      <c r="B457" s="236">
        <v>1284</v>
      </c>
      <c r="C457" s="233" t="s">
        <v>581</v>
      </c>
      <c r="D457" s="13">
        <v>1995</v>
      </c>
      <c r="E457" s="13" t="s">
        <v>86</v>
      </c>
      <c r="F457" s="13" t="s">
        <v>82</v>
      </c>
      <c r="G457" s="9">
        <v>4536.2</v>
      </c>
      <c r="H457" s="9">
        <v>3691.9</v>
      </c>
      <c r="I457" s="11">
        <v>165</v>
      </c>
      <c r="J457" s="9">
        <f>'Форма 2'!I1682</f>
        <v>3386311.03</v>
      </c>
      <c r="K457" s="9">
        <v>0</v>
      </c>
      <c r="L457" s="9">
        <v>0</v>
      </c>
      <c r="M457" s="9">
        <v>0</v>
      </c>
      <c r="N457" s="9">
        <f t="shared" si="149"/>
        <v>3327087.09</v>
      </c>
      <c r="O457" s="9">
        <v>59223.94</v>
      </c>
      <c r="P457" s="9">
        <f t="shared" si="150"/>
        <v>917.23</v>
      </c>
      <c r="Q457" s="9">
        <f>'Форма 2'!K1682</f>
        <v>1240.3499999999999</v>
      </c>
      <c r="R457" s="37" t="s">
        <v>375</v>
      </c>
      <c r="S457" s="168">
        <v>1</v>
      </c>
    </row>
    <row r="458" spans="1:19" s="71" customFormat="1" ht="15" customHeight="1" x14ac:dyDescent="0.25">
      <c r="A458" s="236">
        <f t="shared" si="148"/>
        <v>49</v>
      </c>
      <c r="B458" s="236">
        <v>1292</v>
      </c>
      <c r="C458" s="233" t="s">
        <v>582</v>
      </c>
      <c r="D458" s="13" t="s">
        <v>637</v>
      </c>
      <c r="E458" s="13" t="s">
        <v>86</v>
      </c>
      <c r="F458" s="13" t="s">
        <v>82</v>
      </c>
      <c r="G458" s="9">
        <v>11836</v>
      </c>
      <c r="H458" s="9">
        <v>9049.9</v>
      </c>
      <c r="I458" s="11">
        <v>358</v>
      </c>
      <c r="J458" s="9">
        <f>'Форма 2'!I1687</f>
        <v>2289618</v>
      </c>
      <c r="K458" s="9">
        <v>0</v>
      </c>
      <c r="L458" s="9">
        <v>0</v>
      </c>
      <c r="M458" s="9">
        <v>0</v>
      </c>
      <c r="N458" s="9">
        <f>J458-K458-L458-M458-O458</f>
        <v>2249574.36</v>
      </c>
      <c r="O458" s="9">
        <v>40043.64</v>
      </c>
      <c r="P458" s="9">
        <f>J458/H458</f>
        <v>253</v>
      </c>
      <c r="Q458" s="9">
        <f>'Форма 2'!K1687</f>
        <v>253</v>
      </c>
      <c r="R458" s="37" t="s">
        <v>375</v>
      </c>
      <c r="S458" s="168">
        <v>1</v>
      </c>
    </row>
    <row r="459" spans="1:19" s="71" customFormat="1" ht="15" customHeight="1" x14ac:dyDescent="0.25">
      <c r="A459" s="236">
        <f t="shared" si="148"/>
        <v>50</v>
      </c>
      <c r="B459" s="236">
        <v>1057</v>
      </c>
      <c r="C459" s="233" t="s">
        <v>535</v>
      </c>
      <c r="D459" s="13" t="s">
        <v>548</v>
      </c>
      <c r="E459" s="13" t="s">
        <v>68</v>
      </c>
      <c r="F459" s="13" t="s">
        <v>81</v>
      </c>
      <c r="G459" s="9">
        <v>20649.8</v>
      </c>
      <c r="H459" s="9">
        <v>15850.4</v>
      </c>
      <c r="I459" s="11">
        <v>599</v>
      </c>
      <c r="J459" s="9">
        <f>'Форма 2'!I1690</f>
        <v>2599465.6</v>
      </c>
      <c r="K459" s="9">
        <v>0</v>
      </c>
      <c r="L459" s="9">
        <v>0</v>
      </c>
      <c r="M459" s="9">
        <v>0</v>
      </c>
      <c r="N459" s="9">
        <f>J459-K459-L459-M459-O459</f>
        <v>2554002.9700000002</v>
      </c>
      <c r="O459" s="9">
        <v>45462.63</v>
      </c>
      <c r="P459" s="9">
        <f>J459/H459</f>
        <v>164</v>
      </c>
      <c r="Q459" s="9">
        <f>'Форма 2'!K1690</f>
        <v>164</v>
      </c>
      <c r="R459" s="37" t="s">
        <v>375</v>
      </c>
      <c r="S459" s="168">
        <v>1</v>
      </c>
    </row>
    <row r="460" spans="1:19" s="71" customFormat="1" ht="15" customHeight="1" x14ac:dyDescent="0.25">
      <c r="A460" s="236">
        <f t="shared" si="148"/>
        <v>51</v>
      </c>
      <c r="B460" s="236">
        <v>1020</v>
      </c>
      <c r="C460" s="233" t="s">
        <v>632</v>
      </c>
      <c r="D460" s="13">
        <v>1958</v>
      </c>
      <c r="E460" s="13" t="s">
        <v>95</v>
      </c>
      <c r="F460" s="13" t="s">
        <v>81</v>
      </c>
      <c r="G460" s="9">
        <v>2254.0100000000002</v>
      </c>
      <c r="H460" s="9">
        <v>2062.31</v>
      </c>
      <c r="I460" s="11">
        <v>79</v>
      </c>
      <c r="J460" s="9">
        <f>'Форма 2'!I1692</f>
        <v>96928.57</v>
      </c>
      <c r="K460" s="9">
        <v>0</v>
      </c>
      <c r="L460" s="9">
        <v>0</v>
      </c>
      <c r="M460" s="9">
        <v>0</v>
      </c>
      <c r="N460" s="9">
        <f t="shared" si="149"/>
        <v>95233.36</v>
      </c>
      <c r="O460" s="9">
        <v>1695.21</v>
      </c>
      <c r="P460" s="9">
        <f t="shared" si="150"/>
        <v>47</v>
      </c>
      <c r="Q460" s="9">
        <f>'Форма 2'!K1692</f>
        <v>47</v>
      </c>
      <c r="R460" s="37" t="s">
        <v>375</v>
      </c>
      <c r="S460" s="168">
        <v>1</v>
      </c>
    </row>
    <row r="461" spans="1:19" s="71" customFormat="1" ht="15.75" customHeight="1" x14ac:dyDescent="0.25">
      <c r="A461" s="236">
        <f t="shared" si="148"/>
        <v>52</v>
      </c>
      <c r="B461" s="236">
        <v>1417</v>
      </c>
      <c r="C461" s="29" t="s">
        <v>371</v>
      </c>
      <c r="D461" s="13">
        <v>1988</v>
      </c>
      <c r="E461" s="13" t="s">
        <v>68</v>
      </c>
      <c r="F461" s="13" t="s">
        <v>81</v>
      </c>
      <c r="G461" s="9">
        <v>42248.3</v>
      </c>
      <c r="H461" s="9">
        <v>37493.51</v>
      </c>
      <c r="I461" s="11">
        <v>1666</v>
      </c>
      <c r="J461" s="9">
        <f>'Форма 2'!I1694</f>
        <v>2860252</v>
      </c>
      <c r="K461" s="9">
        <v>0</v>
      </c>
      <c r="L461" s="9">
        <v>0</v>
      </c>
      <c r="M461" s="9">
        <v>0</v>
      </c>
      <c r="N461" s="9">
        <f t="shared" si="149"/>
        <v>2810228.42</v>
      </c>
      <c r="O461" s="9">
        <v>50023.58</v>
      </c>
      <c r="P461" s="9">
        <f t="shared" si="150"/>
        <v>76.290000000000006</v>
      </c>
      <c r="Q461" s="9">
        <f>'Форма 2'!K1694</f>
        <v>164</v>
      </c>
      <c r="R461" s="37" t="s">
        <v>375</v>
      </c>
      <c r="S461" s="168">
        <v>1</v>
      </c>
    </row>
    <row r="462" spans="1:19" s="71" customFormat="1" ht="15.75" customHeight="1" x14ac:dyDescent="0.25">
      <c r="A462" s="236">
        <f t="shared" si="148"/>
        <v>53</v>
      </c>
      <c r="B462" s="236">
        <v>1361</v>
      </c>
      <c r="C462" s="29" t="s">
        <v>102</v>
      </c>
      <c r="D462" s="13">
        <v>1976</v>
      </c>
      <c r="E462" s="13" t="s">
        <v>68</v>
      </c>
      <c r="F462" s="13" t="s">
        <v>82</v>
      </c>
      <c r="G462" s="9">
        <v>5398.8</v>
      </c>
      <c r="H462" s="9">
        <v>4296</v>
      </c>
      <c r="I462" s="11">
        <v>162</v>
      </c>
      <c r="J462" s="9">
        <f>'Форма 2'!I1696</f>
        <v>15043843.689999999</v>
      </c>
      <c r="K462" s="9">
        <v>0</v>
      </c>
      <c r="L462" s="9">
        <v>0</v>
      </c>
      <c r="M462" s="9">
        <v>0</v>
      </c>
      <c r="N462" s="9">
        <f t="shared" si="149"/>
        <v>14780738.58</v>
      </c>
      <c r="O462" s="9">
        <v>263105.11</v>
      </c>
      <c r="P462" s="9">
        <f t="shared" si="150"/>
        <v>3501.83</v>
      </c>
      <c r="Q462" s="9">
        <f>'Форма 2'!K1696</f>
        <v>3749</v>
      </c>
      <c r="R462" s="37" t="s">
        <v>375</v>
      </c>
      <c r="S462" s="168">
        <v>1</v>
      </c>
    </row>
    <row r="463" spans="1:19" s="71" customFormat="1" ht="15.75" customHeight="1" x14ac:dyDescent="0.25">
      <c r="A463" s="236">
        <f t="shared" si="148"/>
        <v>54</v>
      </c>
      <c r="B463" s="236">
        <v>1362</v>
      </c>
      <c r="C463" s="29" t="s">
        <v>199</v>
      </c>
      <c r="D463" s="13">
        <v>1983</v>
      </c>
      <c r="E463" s="13" t="s">
        <v>89</v>
      </c>
      <c r="F463" s="13" t="s">
        <v>223</v>
      </c>
      <c r="G463" s="9">
        <v>21732</v>
      </c>
      <c r="H463" s="9">
        <v>16594.099999999999</v>
      </c>
      <c r="I463" s="11">
        <v>624</v>
      </c>
      <c r="J463" s="9">
        <f>'Форма 2'!I1699</f>
        <v>7935298.6200000001</v>
      </c>
      <c r="K463" s="9">
        <v>0</v>
      </c>
      <c r="L463" s="9">
        <v>0</v>
      </c>
      <c r="M463" s="9">
        <v>0</v>
      </c>
      <c r="N463" s="9">
        <f t="shared" si="149"/>
        <v>7796516.4299999997</v>
      </c>
      <c r="O463" s="9">
        <v>138782.19</v>
      </c>
      <c r="P463" s="9">
        <f t="shared" si="150"/>
        <v>478.2</v>
      </c>
      <c r="Q463" s="9">
        <f>'Форма 2'!K1699</f>
        <v>1594</v>
      </c>
      <c r="R463" s="37" t="s">
        <v>377</v>
      </c>
      <c r="S463" s="168">
        <v>1</v>
      </c>
    </row>
    <row r="464" spans="1:19" s="71" customFormat="1" ht="30" customHeight="1" x14ac:dyDescent="0.25">
      <c r="A464" s="236">
        <f t="shared" si="148"/>
        <v>55</v>
      </c>
      <c r="B464" s="236">
        <v>1818</v>
      </c>
      <c r="C464" s="27" t="s">
        <v>583</v>
      </c>
      <c r="D464" s="251">
        <v>1961</v>
      </c>
      <c r="E464" s="251" t="s">
        <v>107</v>
      </c>
      <c r="F464" s="251" t="s">
        <v>82</v>
      </c>
      <c r="G464" s="22">
        <v>1384.48</v>
      </c>
      <c r="H464" s="22">
        <v>1284.2</v>
      </c>
      <c r="I464" s="15">
        <v>73</v>
      </c>
      <c r="J464" s="22">
        <f>'Форма 2'!I1701</f>
        <v>4628548.5199999996</v>
      </c>
      <c r="K464" s="22">
        <v>0</v>
      </c>
      <c r="L464" s="22">
        <v>0</v>
      </c>
      <c r="M464" s="22">
        <v>0</v>
      </c>
      <c r="N464" s="22">
        <f>J464-K464-L464-M464-O464</f>
        <v>4547598.8099999996</v>
      </c>
      <c r="O464" s="22">
        <v>80949.710000000006</v>
      </c>
      <c r="P464" s="22">
        <f>J464/H464</f>
        <v>3604.23</v>
      </c>
      <c r="Q464" s="22">
        <f>'Форма 2'!K1701</f>
        <v>4557</v>
      </c>
      <c r="R464" s="206" t="s">
        <v>375</v>
      </c>
      <c r="S464" s="168">
        <v>1</v>
      </c>
    </row>
    <row r="465" spans="1:19" s="71" customFormat="1" ht="15.75" customHeight="1" x14ac:dyDescent="0.25">
      <c r="A465" s="236">
        <f t="shared" si="148"/>
        <v>56</v>
      </c>
      <c r="B465" s="236">
        <v>1307</v>
      </c>
      <c r="C465" s="29" t="s">
        <v>134</v>
      </c>
      <c r="D465" s="13">
        <v>1979</v>
      </c>
      <c r="E465" s="13" t="s">
        <v>68</v>
      </c>
      <c r="F465" s="13" t="s">
        <v>82</v>
      </c>
      <c r="G465" s="9">
        <f>1753.3+2673+178.8</f>
        <v>4605.1000000000004</v>
      </c>
      <c r="H465" s="9">
        <f>2673+1753.3</f>
        <v>4426.3</v>
      </c>
      <c r="I465" s="11">
        <v>152</v>
      </c>
      <c r="J465" s="9">
        <f>'Форма 2'!I1710</f>
        <v>7692101.6299999999</v>
      </c>
      <c r="K465" s="9">
        <v>0</v>
      </c>
      <c r="L465" s="9">
        <v>0</v>
      </c>
      <c r="M465" s="9">
        <v>0</v>
      </c>
      <c r="N465" s="9">
        <f t="shared" si="149"/>
        <v>7557572.7599999998</v>
      </c>
      <c r="O465" s="9">
        <v>134528.87</v>
      </c>
      <c r="P465" s="9">
        <f t="shared" si="150"/>
        <v>1737.82</v>
      </c>
      <c r="Q465" s="9">
        <f>'Форма 2'!K1710</f>
        <v>3878</v>
      </c>
      <c r="R465" s="37" t="s">
        <v>375</v>
      </c>
      <c r="S465" s="168">
        <v>1</v>
      </c>
    </row>
    <row r="466" spans="1:19" s="71" customFormat="1" ht="15.75" customHeight="1" x14ac:dyDescent="0.25">
      <c r="A466" s="236">
        <f t="shared" si="148"/>
        <v>57</v>
      </c>
      <c r="B466" s="236">
        <v>1582</v>
      </c>
      <c r="C466" s="29" t="s">
        <v>137</v>
      </c>
      <c r="D466" s="13">
        <v>1982</v>
      </c>
      <c r="E466" s="13" t="s">
        <v>68</v>
      </c>
      <c r="F466" s="13" t="s">
        <v>82</v>
      </c>
      <c r="G466" s="9">
        <v>5727.9</v>
      </c>
      <c r="H466" s="9">
        <v>4418.2</v>
      </c>
      <c r="I466" s="11">
        <v>179</v>
      </c>
      <c r="J466" s="9">
        <f>'Форма 2'!I1713</f>
        <v>12201956.779999999</v>
      </c>
      <c r="K466" s="9">
        <v>0</v>
      </c>
      <c r="L466" s="9">
        <v>0</v>
      </c>
      <c r="M466" s="9">
        <v>0</v>
      </c>
      <c r="N466" s="9">
        <f t="shared" si="149"/>
        <v>11988554.060000001</v>
      </c>
      <c r="O466" s="9">
        <v>213402.72</v>
      </c>
      <c r="P466" s="9">
        <f t="shared" si="150"/>
        <v>2761.75</v>
      </c>
      <c r="Q466" s="9">
        <f>'Форма 2'!K1713</f>
        <v>3878</v>
      </c>
      <c r="R466" s="37" t="s">
        <v>375</v>
      </c>
      <c r="S466" s="168">
        <v>1</v>
      </c>
    </row>
    <row r="467" spans="1:19" s="71" customFormat="1" ht="15.75" customHeight="1" x14ac:dyDescent="0.25">
      <c r="A467" s="236">
        <f t="shared" si="148"/>
        <v>58</v>
      </c>
      <c r="B467" s="236">
        <v>1475</v>
      </c>
      <c r="C467" s="29" t="s">
        <v>201</v>
      </c>
      <c r="D467" s="13">
        <v>1970</v>
      </c>
      <c r="E467" s="13" t="s">
        <v>68</v>
      </c>
      <c r="F467" s="13" t="s">
        <v>82</v>
      </c>
      <c r="G467" s="9">
        <v>3376</v>
      </c>
      <c r="H467" s="9">
        <v>3125</v>
      </c>
      <c r="I467" s="11">
        <v>118</v>
      </c>
      <c r="J467" s="9">
        <f>'Форма 2'!I1716</f>
        <v>8409809.2200000007</v>
      </c>
      <c r="K467" s="9">
        <v>0</v>
      </c>
      <c r="L467" s="9">
        <v>0</v>
      </c>
      <c r="M467" s="9">
        <v>0</v>
      </c>
      <c r="N467" s="9">
        <f>J467-K467-L467-M467-O467</f>
        <v>8262728.21</v>
      </c>
      <c r="O467" s="9">
        <v>147081.01</v>
      </c>
      <c r="P467" s="9">
        <f t="shared" si="150"/>
        <v>2691.14</v>
      </c>
      <c r="Q467" s="9">
        <f>'Форма 2'!K1716</f>
        <v>3878</v>
      </c>
      <c r="R467" s="37" t="s">
        <v>375</v>
      </c>
      <c r="S467" s="168">
        <v>1</v>
      </c>
    </row>
    <row r="468" spans="1:19" s="71" customFormat="1" ht="15.75" customHeight="1" x14ac:dyDescent="0.25">
      <c r="A468" s="282" t="s">
        <v>105</v>
      </c>
      <c r="B468" s="282"/>
      <c r="C468" s="282"/>
      <c r="D468" s="13" t="s">
        <v>13</v>
      </c>
      <c r="E468" s="17" t="s">
        <v>13</v>
      </c>
      <c r="F468" s="17" t="s">
        <v>13</v>
      </c>
      <c r="G468" s="9">
        <f t="shared" ref="G468:O468" si="151">SUM(G469:G525)</f>
        <v>368719.2</v>
      </c>
      <c r="H468" s="9">
        <f t="shared" si="151"/>
        <v>310770.33</v>
      </c>
      <c r="I468" s="11">
        <f t="shared" si="151"/>
        <v>11198</v>
      </c>
      <c r="J468" s="9">
        <f t="shared" si="151"/>
        <v>284431356.67000002</v>
      </c>
      <c r="K468" s="9">
        <f t="shared" si="151"/>
        <v>0</v>
      </c>
      <c r="L468" s="9">
        <f t="shared" si="151"/>
        <v>0</v>
      </c>
      <c r="M468" s="9">
        <f t="shared" si="151"/>
        <v>0</v>
      </c>
      <c r="N468" s="9">
        <f t="shared" si="151"/>
        <v>279456873.81999999</v>
      </c>
      <c r="O468" s="9">
        <f t="shared" si="151"/>
        <v>4974482.8499999996</v>
      </c>
      <c r="P468" s="17" t="s">
        <v>13</v>
      </c>
      <c r="Q468" s="17" t="s">
        <v>13</v>
      </c>
      <c r="R468" s="17" t="s">
        <v>13</v>
      </c>
      <c r="S468" s="236" t="s">
        <v>13</v>
      </c>
    </row>
    <row r="469" spans="1:19" s="71" customFormat="1" ht="15.75" customHeight="1" x14ac:dyDescent="0.25">
      <c r="A469" s="236">
        <f>A467+1</f>
        <v>59</v>
      </c>
      <c r="B469" s="236">
        <v>3340</v>
      </c>
      <c r="C469" s="29" t="s">
        <v>372</v>
      </c>
      <c r="D469" s="13">
        <v>1986</v>
      </c>
      <c r="E469" s="13" t="s">
        <v>376</v>
      </c>
      <c r="F469" s="13" t="s">
        <v>82</v>
      </c>
      <c r="G469" s="9">
        <v>7280.46</v>
      </c>
      <c r="H469" s="9">
        <v>6156.86</v>
      </c>
      <c r="I469" s="11">
        <v>233</v>
      </c>
      <c r="J469" s="9">
        <f>'Форма 2'!I1719</f>
        <v>4597789.51</v>
      </c>
      <c r="K469" s="9">
        <v>0</v>
      </c>
      <c r="L469" s="9">
        <v>0</v>
      </c>
      <c r="M469" s="9">
        <v>0</v>
      </c>
      <c r="N469" s="9">
        <f t="shared" ref="N469:N525" si="152">J469-K469-L469-M469-O469</f>
        <v>4517377.75</v>
      </c>
      <c r="O469" s="9">
        <v>80411.759999999995</v>
      </c>
      <c r="P469" s="9">
        <f t="shared" ref="P469:P525" si="153">J469/H469</f>
        <v>746.78</v>
      </c>
      <c r="Q469" s="9">
        <f>'Форма 2'!K1719</f>
        <v>1573</v>
      </c>
      <c r="R469" s="37" t="s">
        <v>375</v>
      </c>
      <c r="S469" s="168">
        <v>1</v>
      </c>
    </row>
    <row r="470" spans="1:19" s="71" customFormat="1" ht="15" customHeight="1" x14ac:dyDescent="0.25">
      <c r="A470" s="236">
        <f>A469+1</f>
        <v>60</v>
      </c>
      <c r="B470" s="236">
        <v>3345</v>
      </c>
      <c r="C470" s="233" t="s">
        <v>584</v>
      </c>
      <c r="D470" s="13">
        <v>1993</v>
      </c>
      <c r="E470" s="13" t="s">
        <v>86</v>
      </c>
      <c r="F470" s="13" t="s">
        <v>82</v>
      </c>
      <c r="G470" s="9">
        <v>5751.94</v>
      </c>
      <c r="H470" s="9">
        <v>4732.1899999999996</v>
      </c>
      <c r="I470" s="11">
        <v>179</v>
      </c>
      <c r="J470" s="9">
        <f>'Форма 2'!I1726</f>
        <v>2289618</v>
      </c>
      <c r="K470" s="9">
        <v>0</v>
      </c>
      <c r="L470" s="9">
        <v>0</v>
      </c>
      <c r="M470" s="9">
        <v>0</v>
      </c>
      <c r="N470" s="9">
        <f t="shared" si="152"/>
        <v>2249574.36</v>
      </c>
      <c r="O470" s="9">
        <v>40043.64</v>
      </c>
      <c r="P470" s="9">
        <f t="shared" si="153"/>
        <v>483.84</v>
      </c>
      <c r="Q470" s="9">
        <f>'Форма 2'!K1726</f>
        <v>483.84</v>
      </c>
      <c r="R470" s="37" t="s">
        <v>375</v>
      </c>
      <c r="S470" s="168">
        <v>1</v>
      </c>
    </row>
    <row r="471" spans="1:19" s="71" customFormat="1" ht="15" customHeight="1" x14ac:dyDescent="0.25">
      <c r="A471" s="236">
        <f t="shared" ref="A471" si="154">A470+1</f>
        <v>61</v>
      </c>
      <c r="B471" s="236">
        <v>3130</v>
      </c>
      <c r="C471" s="233" t="s">
        <v>742</v>
      </c>
      <c r="D471" s="13">
        <v>1969</v>
      </c>
      <c r="E471" s="13" t="s">
        <v>68</v>
      </c>
      <c r="F471" s="13" t="s">
        <v>81</v>
      </c>
      <c r="G471" s="9">
        <v>3981.3</v>
      </c>
      <c r="H471" s="9">
        <v>3111.2</v>
      </c>
      <c r="I471" s="11">
        <v>108</v>
      </c>
      <c r="J471" s="9">
        <f>'Форма 2'!I1729</f>
        <v>525792.80000000005</v>
      </c>
      <c r="K471" s="9">
        <v>0</v>
      </c>
      <c r="L471" s="9">
        <v>0</v>
      </c>
      <c r="M471" s="9">
        <v>0</v>
      </c>
      <c r="N471" s="9">
        <f>J471-K471-L471-M471-O471</f>
        <v>516597.09</v>
      </c>
      <c r="O471" s="9">
        <v>9195.7099999999991</v>
      </c>
      <c r="P471" s="9">
        <f>J471/H471</f>
        <v>169</v>
      </c>
      <c r="Q471" s="9">
        <f>'Форма 2'!K1729</f>
        <v>169</v>
      </c>
      <c r="R471" s="37" t="s">
        <v>375</v>
      </c>
      <c r="S471" s="168">
        <v>1</v>
      </c>
    </row>
    <row r="472" spans="1:19" s="71" customFormat="1" ht="15" customHeight="1" x14ac:dyDescent="0.25">
      <c r="A472" s="236">
        <f t="shared" ref="A472" si="155">A471+1</f>
        <v>62</v>
      </c>
      <c r="B472" s="236">
        <v>3379</v>
      </c>
      <c r="C472" s="233" t="s">
        <v>633</v>
      </c>
      <c r="D472" s="13">
        <v>1956</v>
      </c>
      <c r="E472" s="13" t="s">
        <v>68</v>
      </c>
      <c r="F472" s="13" t="s">
        <v>81</v>
      </c>
      <c r="G472" s="9">
        <v>2034.36</v>
      </c>
      <c r="H472" s="9">
        <v>1879.46</v>
      </c>
      <c r="I472" s="11">
        <v>77</v>
      </c>
      <c r="J472" s="9">
        <f>'Форма 2'!I1731</f>
        <v>365133.05</v>
      </c>
      <c r="K472" s="9">
        <v>0</v>
      </c>
      <c r="L472" s="9">
        <v>0</v>
      </c>
      <c r="M472" s="9">
        <v>0</v>
      </c>
      <c r="N472" s="9">
        <f>J472-K472-L472-M472-O472</f>
        <v>358747.16</v>
      </c>
      <c r="O472" s="9">
        <v>6385.89</v>
      </c>
      <c r="P472" s="9">
        <f>J472/H472</f>
        <v>194.28</v>
      </c>
      <c r="Q472" s="9">
        <f>'Форма 2'!K1731</f>
        <v>252</v>
      </c>
      <c r="R472" s="37" t="s">
        <v>375</v>
      </c>
      <c r="S472" s="168">
        <v>1</v>
      </c>
    </row>
    <row r="473" spans="1:19" s="71" customFormat="1" ht="15.75" customHeight="1" x14ac:dyDescent="0.25">
      <c r="A473" s="236">
        <f t="shared" ref="A473:A525" si="156">A472+1</f>
        <v>63</v>
      </c>
      <c r="B473" s="236">
        <v>4290</v>
      </c>
      <c r="C473" s="29" t="s">
        <v>202</v>
      </c>
      <c r="D473" s="13">
        <v>1979</v>
      </c>
      <c r="E473" s="13" t="s">
        <v>68</v>
      </c>
      <c r="F473" s="13" t="s">
        <v>82</v>
      </c>
      <c r="G473" s="9">
        <v>4201.2</v>
      </c>
      <c r="H473" s="9">
        <v>3374.1</v>
      </c>
      <c r="I473" s="11">
        <v>122</v>
      </c>
      <c r="J473" s="9">
        <f>'Форма 2'!I1733</f>
        <v>7180978.9699999997</v>
      </c>
      <c r="K473" s="9">
        <v>0</v>
      </c>
      <c r="L473" s="9">
        <v>0</v>
      </c>
      <c r="M473" s="9">
        <v>0</v>
      </c>
      <c r="N473" s="9">
        <f t="shared" si="152"/>
        <v>7055389.2400000002</v>
      </c>
      <c r="O473" s="9">
        <v>125589.73</v>
      </c>
      <c r="P473" s="9">
        <f t="shared" si="153"/>
        <v>2128.27</v>
      </c>
      <c r="Q473" s="9">
        <f>'Форма 2'!K1733</f>
        <v>2492</v>
      </c>
      <c r="R473" s="37" t="s">
        <v>375</v>
      </c>
      <c r="S473" s="168">
        <v>1</v>
      </c>
    </row>
    <row r="474" spans="1:19" s="71" customFormat="1" ht="15.75" customHeight="1" x14ac:dyDescent="0.25">
      <c r="A474" s="236">
        <f t="shared" si="156"/>
        <v>64</v>
      </c>
      <c r="B474" s="236">
        <v>3304</v>
      </c>
      <c r="C474" s="29" t="s">
        <v>249</v>
      </c>
      <c r="D474" s="13">
        <v>1993</v>
      </c>
      <c r="E474" s="13" t="s">
        <v>656</v>
      </c>
      <c r="F474" s="13" t="s">
        <v>82</v>
      </c>
      <c r="G474" s="9">
        <v>5107.1000000000004</v>
      </c>
      <c r="H474" s="9">
        <v>4426.3999999999996</v>
      </c>
      <c r="I474" s="11">
        <v>167</v>
      </c>
      <c r="J474" s="9">
        <f>'Форма 2'!I1736</f>
        <v>31465445.16</v>
      </c>
      <c r="K474" s="9">
        <v>0</v>
      </c>
      <c r="L474" s="9">
        <v>0</v>
      </c>
      <c r="M474" s="9">
        <v>0</v>
      </c>
      <c r="N474" s="9">
        <f t="shared" si="152"/>
        <v>30915139.050000001</v>
      </c>
      <c r="O474" s="9">
        <v>550306.11</v>
      </c>
      <c r="P474" s="9">
        <f t="shared" si="153"/>
        <v>7108.59</v>
      </c>
      <c r="Q474" s="9">
        <f>'Форма 2'!K1736</f>
        <v>8765.74</v>
      </c>
      <c r="R474" s="37" t="s">
        <v>375</v>
      </c>
      <c r="S474" s="168">
        <v>1</v>
      </c>
    </row>
    <row r="475" spans="1:19" s="71" customFormat="1" ht="15.75" customHeight="1" x14ac:dyDescent="0.25">
      <c r="A475" s="236">
        <f t="shared" si="156"/>
        <v>65</v>
      </c>
      <c r="B475" s="236">
        <v>3305</v>
      </c>
      <c r="C475" s="29" t="s">
        <v>251</v>
      </c>
      <c r="D475" s="13">
        <v>1972</v>
      </c>
      <c r="E475" s="13" t="s">
        <v>68</v>
      </c>
      <c r="F475" s="13" t="s">
        <v>114</v>
      </c>
      <c r="G475" s="9">
        <v>3101.4</v>
      </c>
      <c r="H475" s="9">
        <v>2891.1</v>
      </c>
      <c r="I475" s="11">
        <v>124</v>
      </c>
      <c r="J475" s="9">
        <f>'Форма 2'!I1745</f>
        <v>5698131.5700000003</v>
      </c>
      <c r="K475" s="9">
        <v>0</v>
      </c>
      <c r="L475" s="9">
        <v>0</v>
      </c>
      <c r="M475" s="9">
        <v>0</v>
      </c>
      <c r="N475" s="9">
        <f t="shared" si="152"/>
        <v>5598475.6900000004</v>
      </c>
      <c r="O475" s="9">
        <v>99655.88</v>
      </c>
      <c r="P475" s="9">
        <f t="shared" si="153"/>
        <v>1970.92</v>
      </c>
      <c r="Q475" s="9">
        <f>'Форма 2'!K1745</f>
        <v>3878</v>
      </c>
      <c r="R475" s="37" t="s">
        <v>375</v>
      </c>
      <c r="S475" s="168">
        <v>1</v>
      </c>
    </row>
    <row r="476" spans="1:19" s="71" customFormat="1" ht="15.75" customHeight="1" x14ac:dyDescent="0.25">
      <c r="A476" s="236">
        <f t="shared" si="156"/>
        <v>66</v>
      </c>
      <c r="B476" s="236">
        <v>3309</v>
      </c>
      <c r="C476" s="29" t="s">
        <v>252</v>
      </c>
      <c r="D476" s="13">
        <v>1974</v>
      </c>
      <c r="E476" s="13" t="s">
        <v>89</v>
      </c>
      <c r="F476" s="13" t="s">
        <v>82</v>
      </c>
      <c r="G476" s="9">
        <v>8625.4</v>
      </c>
      <c r="H476" s="9">
        <v>7883.8</v>
      </c>
      <c r="I476" s="11">
        <v>298</v>
      </c>
      <c r="J476" s="9">
        <f>'Форма 2'!I1748</f>
        <v>13472173.75</v>
      </c>
      <c r="K476" s="9">
        <v>0</v>
      </c>
      <c r="L476" s="9">
        <v>0</v>
      </c>
      <c r="M476" s="9">
        <v>0</v>
      </c>
      <c r="N476" s="9">
        <f t="shared" si="152"/>
        <v>13236555.93</v>
      </c>
      <c r="O476" s="9">
        <v>235617.82</v>
      </c>
      <c r="P476" s="9">
        <f t="shared" si="153"/>
        <v>1708.84</v>
      </c>
      <c r="Q476" s="9">
        <f>'Форма 2'!K1748</f>
        <v>2341</v>
      </c>
      <c r="R476" s="37" t="s">
        <v>375</v>
      </c>
      <c r="S476" s="168">
        <v>1</v>
      </c>
    </row>
    <row r="477" spans="1:19" s="71" customFormat="1" ht="15.75" customHeight="1" x14ac:dyDescent="0.25">
      <c r="A477" s="236">
        <f t="shared" si="156"/>
        <v>67</v>
      </c>
      <c r="B477" s="236">
        <v>3053</v>
      </c>
      <c r="C477" s="233" t="s">
        <v>743</v>
      </c>
      <c r="D477" s="13">
        <v>1968</v>
      </c>
      <c r="E477" s="13" t="s">
        <v>68</v>
      </c>
      <c r="F477" s="13" t="s">
        <v>81</v>
      </c>
      <c r="G477" s="9">
        <v>3910.58</v>
      </c>
      <c r="H477" s="9">
        <v>3625.88</v>
      </c>
      <c r="I477" s="11">
        <v>137</v>
      </c>
      <c r="J477" s="9">
        <f>'Форма 2'!I1751</f>
        <v>612773.72</v>
      </c>
      <c r="K477" s="9">
        <v>0</v>
      </c>
      <c r="L477" s="9">
        <v>0</v>
      </c>
      <c r="M477" s="9">
        <v>0</v>
      </c>
      <c r="N477" s="9">
        <f t="shared" si="152"/>
        <v>602056.78</v>
      </c>
      <c r="O477" s="9">
        <v>10716.94</v>
      </c>
      <c r="P477" s="9">
        <f t="shared" si="153"/>
        <v>169</v>
      </c>
      <c r="Q477" s="9">
        <f>'Форма 2'!K1751</f>
        <v>169</v>
      </c>
      <c r="R477" s="37" t="s">
        <v>375</v>
      </c>
      <c r="S477" s="168">
        <v>1</v>
      </c>
    </row>
    <row r="478" spans="1:19" s="71" customFormat="1" ht="30" customHeight="1" x14ac:dyDescent="0.25">
      <c r="A478" s="236">
        <f t="shared" si="156"/>
        <v>68</v>
      </c>
      <c r="B478" s="236">
        <v>3877</v>
      </c>
      <c r="C478" s="27" t="s">
        <v>585</v>
      </c>
      <c r="D478" s="251" t="s">
        <v>638</v>
      </c>
      <c r="E478" s="251" t="s">
        <v>86</v>
      </c>
      <c r="F478" s="251" t="s">
        <v>82</v>
      </c>
      <c r="G478" s="22">
        <v>15313.39</v>
      </c>
      <c r="H478" s="22">
        <v>14684.6</v>
      </c>
      <c r="I478" s="15">
        <v>425</v>
      </c>
      <c r="J478" s="22">
        <f>'Форма 2'!I1753</f>
        <v>3545551.14</v>
      </c>
      <c r="K478" s="22">
        <v>0</v>
      </c>
      <c r="L478" s="22">
        <v>0</v>
      </c>
      <c r="M478" s="22">
        <v>0</v>
      </c>
      <c r="N478" s="22">
        <f t="shared" si="152"/>
        <v>3483542.21</v>
      </c>
      <c r="O478" s="22">
        <v>62008.93</v>
      </c>
      <c r="P478" s="22">
        <f t="shared" si="153"/>
        <v>241.45</v>
      </c>
      <c r="Q478" s="22">
        <f>'Форма 2'!K1753</f>
        <v>342.04</v>
      </c>
      <c r="R478" s="206" t="s">
        <v>375</v>
      </c>
      <c r="S478" s="168">
        <v>1</v>
      </c>
    </row>
    <row r="479" spans="1:19" s="71" customFormat="1" ht="15" customHeight="1" x14ac:dyDescent="0.25">
      <c r="A479" s="236">
        <f t="shared" si="156"/>
        <v>69</v>
      </c>
      <c r="B479" s="236">
        <v>3081</v>
      </c>
      <c r="C479" s="233" t="s">
        <v>634</v>
      </c>
      <c r="D479" s="13">
        <v>1990</v>
      </c>
      <c r="E479" s="13" t="s">
        <v>86</v>
      </c>
      <c r="F479" s="13" t="s">
        <v>81</v>
      </c>
      <c r="G479" s="9">
        <v>15156.7</v>
      </c>
      <c r="H479" s="9">
        <v>12256.9</v>
      </c>
      <c r="I479" s="11">
        <v>379</v>
      </c>
      <c r="J479" s="9">
        <f>'Форма 2'!I1758</f>
        <v>96843</v>
      </c>
      <c r="K479" s="9">
        <v>0</v>
      </c>
      <c r="L479" s="9">
        <v>0</v>
      </c>
      <c r="M479" s="9">
        <v>0</v>
      </c>
      <c r="N479" s="9">
        <f>J479-K479-L479-M479-O479</f>
        <v>95149.29</v>
      </c>
      <c r="O479" s="9">
        <v>1693.71</v>
      </c>
      <c r="P479" s="9">
        <f>J479/H479</f>
        <v>7.9</v>
      </c>
      <c r="Q479" s="9">
        <f>'Форма 2'!K1758</f>
        <v>7.9</v>
      </c>
      <c r="R479" s="37" t="s">
        <v>375</v>
      </c>
      <c r="S479" s="168">
        <v>1</v>
      </c>
    </row>
    <row r="480" spans="1:19" s="71" customFormat="1" ht="15" customHeight="1" x14ac:dyDescent="0.25">
      <c r="A480" s="236">
        <f t="shared" si="156"/>
        <v>70</v>
      </c>
      <c r="B480" s="236">
        <v>3162</v>
      </c>
      <c r="C480" s="233" t="s">
        <v>744</v>
      </c>
      <c r="D480" s="13">
        <v>1973</v>
      </c>
      <c r="E480" s="13" t="s">
        <v>68</v>
      </c>
      <c r="F480" s="13" t="s">
        <v>81</v>
      </c>
      <c r="G480" s="9">
        <v>2906</v>
      </c>
      <c r="H480" s="9">
        <v>2639.6</v>
      </c>
      <c r="I480" s="11">
        <v>100</v>
      </c>
      <c r="J480" s="9">
        <f>'Форма 2'!I1762</f>
        <v>446092.4</v>
      </c>
      <c r="K480" s="9">
        <v>0</v>
      </c>
      <c r="L480" s="9">
        <v>0</v>
      </c>
      <c r="M480" s="9">
        <v>0</v>
      </c>
      <c r="N480" s="9">
        <f>J480-K480-L480-M480-O480</f>
        <v>438290.59</v>
      </c>
      <c r="O480" s="9">
        <v>7801.81</v>
      </c>
      <c r="P480" s="9">
        <f>J480/H480</f>
        <v>169</v>
      </c>
      <c r="Q480" s="9">
        <f>'Форма 2'!K1762</f>
        <v>169</v>
      </c>
      <c r="R480" s="37" t="s">
        <v>375</v>
      </c>
      <c r="S480" s="168">
        <v>1</v>
      </c>
    </row>
    <row r="481" spans="1:19" s="71" customFormat="1" ht="15.75" customHeight="1" x14ac:dyDescent="0.25">
      <c r="A481" s="236">
        <f t="shared" si="156"/>
        <v>71</v>
      </c>
      <c r="B481" s="236">
        <v>3166</v>
      </c>
      <c r="C481" s="29" t="s">
        <v>204</v>
      </c>
      <c r="D481" s="13">
        <v>1987</v>
      </c>
      <c r="E481" s="13" t="s">
        <v>68</v>
      </c>
      <c r="F481" s="13" t="s">
        <v>82</v>
      </c>
      <c r="G481" s="9">
        <v>5628.2</v>
      </c>
      <c r="H481" s="9">
        <v>5017.7</v>
      </c>
      <c r="I481" s="11">
        <v>190</v>
      </c>
      <c r="J481" s="9">
        <f>'Форма 2'!I1764</f>
        <v>7677191.2400000002</v>
      </c>
      <c r="K481" s="9">
        <v>0</v>
      </c>
      <c r="L481" s="9">
        <v>0</v>
      </c>
      <c r="M481" s="9">
        <v>0</v>
      </c>
      <c r="N481" s="9">
        <f t="shared" si="152"/>
        <v>7542923.1500000004</v>
      </c>
      <c r="O481" s="9">
        <v>134268.09</v>
      </c>
      <c r="P481" s="9">
        <f t="shared" si="153"/>
        <v>1530.02</v>
      </c>
      <c r="Q481" s="9">
        <f>'Форма 2'!K1764</f>
        <v>2492</v>
      </c>
      <c r="R481" s="37" t="s">
        <v>375</v>
      </c>
      <c r="S481" s="168">
        <v>1</v>
      </c>
    </row>
    <row r="482" spans="1:19" s="71" customFormat="1" ht="15" customHeight="1" x14ac:dyDescent="0.25">
      <c r="A482" s="236">
        <f t="shared" si="156"/>
        <v>72</v>
      </c>
      <c r="B482" s="236">
        <v>4374</v>
      </c>
      <c r="C482" s="233" t="s">
        <v>635</v>
      </c>
      <c r="D482" s="13">
        <v>1995</v>
      </c>
      <c r="E482" s="13" t="s">
        <v>86</v>
      </c>
      <c r="F482" s="13" t="s">
        <v>81</v>
      </c>
      <c r="G482" s="9">
        <v>8883.2999999999993</v>
      </c>
      <c r="H482" s="9">
        <v>6931.5</v>
      </c>
      <c r="I482" s="11">
        <v>262</v>
      </c>
      <c r="J482" s="9">
        <f>'Форма 2'!I1767</f>
        <v>96843</v>
      </c>
      <c r="K482" s="9">
        <v>0</v>
      </c>
      <c r="L482" s="9">
        <v>0</v>
      </c>
      <c r="M482" s="9">
        <v>0</v>
      </c>
      <c r="N482" s="9">
        <f>J482-K482-L482-M482-O482</f>
        <v>95149.29</v>
      </c>
      <c r="O482" s="9">
        <v>1693.71</v>
      </c>
      <c r="P482" s="9">
        <f>J482/H482</f>
        <v>13.97</v>
      </c>
      <c r="Q482" s="9">
        <f>'Форма 2'!K1767</f>
        <v>13.97</v>
      </c>
      <c r="R482" s="37" t="s">
        <v>375</v>
      </c>
      <c r="S482" s="168">
        <v>1</v>
      </c>
    </row>
    <row r="483" spans="1:19" s="71" customFormat="1" ht="15" customHeight="1" x14ac:dyDescent="0.25">
      <c r="A483" s="236">
        <f t="shared" si="156"/>
        <v>73</v>
      </c>
      <c r="B483" s="236">
        <v>4061</v>
      </c>
      <c r="C483" s="233" t="s">
        <v>587</v>
      </c>
      <c r="D483" s="13">
        <v>1994</v>
      </c>
      <c r="E483" s="13" t="s">
        <v>86</v>
      </c>
      <c r="F483" s="13" t="s">
        <v>82</v>
      </c>
      <c r="G483" s="9">
        <v>8770</v>
      </c>
      <c r="H483" s="9">
        <v>7554</v>
      </c>
      <c r="I483" s="11">
        <v>316</v>
      </c>
      <c r="J483" s="9">
        <f>'Форма 2'!I1771</f>
        <v>9158472</v>
      </c>
      <c r="K483" s="9">
        <v>0</v>
      </c>
      <c r="L483" s="9">
        <v>0</v>
      </c>
      <c r="M483" s="9">
        <v>0</v>
      </c>
      <c r="N483" s="9">
        <f>J483-K483-L483-M483-O483</f>
        <v>8998297.4600000009</v>
      </c>
      <c r="O483" s="9">
        <v>160174.54</v>
      </c>
      <c r="P483" s="9">
        <f>J483/H483</f>
        <v>1212.4000000000001</v>
      </c>
      <c r="Q483" s="9">
        <f>'Форма 2'!K1771</f>
        <v>1212.4000000000001</v>
      </c>
      <c r="R483" s="37" t="s">
        <v>375</v>
      </c>
      <c r="S483" s="168">
        <v>1</v>
      </c>
    </row>
    <row r="484" spans="1:19" s="71" customFormat="1" ht="15.75" customHeight="1" x14ac:dyDescent="0.25">
      <c r="A484" s="236">
        <f t="shared" si="156"/>
        <v>74</v>
      </c>
      <c r="B484" s="236">
        <v>4240</v>
      </c>
      <c r="C484" s="29" t="s">
        <v>205</v>
      </c>
      <c r="D484" s="13" t="s">
        <v>163</v>
      </c>
      <c r="E484" s="13" t="s">
        <v>657</v>
      </c>
      <c r="F484" s="13" t="s">
        <v>82</v>
      </c>
      <c r="G484" s="9">
        <v>18666.39</v>
      </c>
      <c r="H484" s="9">
        <v>16244.29</v>
      </c>
      <c r="I484" s="11">
        <v>614</v>
      </c>
      <c r="J484" s="9">
        <f>'Форма 2'!I1780</f>
        <v>32808511.550000001</v>
      </c>
      <c r="K484" s="9">
        <v>0</v>
      </c>
      <c r="L484" s="9">
        <v>0</v>
      </c>
      <c r="M484" s="9">
        <v>0</v>
      </c>
      <c r="N484" s="9">
        <f t="shared" si="152"/>
        <v>32234716.25</v>
      </c>
      <c r="O484" s="9">
        <v>573795.30000000005</v>
      </c>
      <c r="P484" s="9">
        <f t="shared" si="153"/>
        <v>2019.7</v>
      </c>
      <c r="Q484" s="9">
        <f>'Форма 2'!K1780</f>
        <v>3196.74</v>
      </c>
      <c r="R484" s="37" t="s">
        <v>375</v>
      </c>
      <c r="S484" s="168">
        <v>1</v>
      </c>
    </row>
    <row r="485" spans="1:19" s="71" customFormat="1" ht="15.75" customHeight="1" x14ac:dyDescent="0.25">
      <c r="A485" s="236">
        <f t="shared" si="156"/>
        <v>75</v>
      </c>
      <c r="B485" s="236">
        <v>4334</v>
      </c>
      <c r="C485" s="29" t="s">
        <v>206</v>
      </c>
      <c r="D485" s="13">
        <v>1993</v>
      </c>
      <c r="E485" s="13" t="s">
        <v>68</v>
      </c>
      <c r="F485" s="13" t="s">
        <v>82</v>
      </c>
      <c r="G485" s="9">
        <v>11323.6</v>
      </c>
      <c r="H485" s="9">
        <v>8925.1</v>
      </c>
      <c r="I485" s="11">
        <v>337</v>
      </c>
      <c r="J485" s="9">
        <f>'Форма 2'!I1793</f>
        <v>14425451.369999999</v>
      </c>
      <c r="K485" s="9">
        <v>0</v>
      </c>
      <c r="L485" s="9">
        <v>0</v>
      </c>
      <c r="M485" s="9">
        <v>0</v>
      </c>
      <c r="N485" s="9">
        <f t="shared" si="152"/>
        <v>14173161.460000001</v>
      </c>
      <c r="O485" s="9">
        <v>252289.91</v>
      </c>
      <c r="P485" s="9">
        <f t="shared" si="153"/>
        <v>1616.28</v>
      </c>
      <c r="Q485" s="9">
        <f>'Форма 2'!K1793</f>
        <v>2492</v>
      </c>
      <c r="R485" s="37" t="s">
        <v>375</v>
      </c>
      <c r="S485" s="168">
        <v>1</v>
      </c>
    </row>
    <row r="486" spans="1:19" s="71" customFormat="1" ht="15.75" customHeight="1" x14ac:dyDescent="0.25">
      <c r="A486" s="236">
        <f t="shared" si="156"/>
        <v>76</v>
      </c>
      <c r="B486" s="236">
        <v>4093</v>
      </c>
      <c r="C486" s="233" t="s">
        <v>483</v>
      </c>
      <c r="D486" s="13" t="s">
        <v>486</v>
      </c>
      <c r="E486" s="13" t="s">
        <v>86</v>
      </c>
      <c r="F486" s="13" t="s">
        <v>82</v>
      </c>
      <c r="G486" s="9">
        <v>23779.8</v>
      </c>
      <c r="H486" s="9">
        <v>18536.900000000001</v>
      </c>
      <c r="I486" s="11">
        <v>519</v>
      </c>
      <c r="J486" s="9">
        <f>'Форма 2'!I1796</f>
        <v>4461790.63</v>
      </c>
      <c r="K486" s="9">
        <v>0</v>
      </c>
      <c r="L486" s="9">
        <v>0</v>
      </c>
      <c r="M486" s="9">
        <v>0</v>
      </c>
      <c r="N486" s="9">
        <f t="shared" si="152"/>
        <v>4383757.3899999997</v>
      </c>
      <c r="O486" s="9">
        <v>78033.240000000005</v>
      </c>
      <c r="P486" s="9">
        <f t="shared" si="153"/>
        <v>240.7</v>
      </c>
      <c r="Q486" s="9">
        <f>'Форма 2'!K1796</f>
        <v>247.03</v>
      </c>
      <c r="R486" s="37" t="s">
        <v>375</v>
      </c>
      <c r="S486" s="168">
        <v>1</v>
      </c>
    </row>
    <row r="487" spans="1:19" s="71" customFormat="1" ht="15.75" customHeight="1" x14ac:dyDescent="0.25">
      <c r="A487" s="236">
        <f>A486+1</f>
        <v>77</v>
      </c>
      <c r="B487" s="236">
        <v>3112</v>
      </c>
      <c r="C487" s="29" t="s">
        <v>373</v>
      </c>
      <c r="D487" s="13">
        <v>1983</v>
      </c>
      <c r="E487" s="13" t="s">
        <v>68</v>
      </c>
      <c r="F487" s="13" t="s">
        <v>81</v>
      </c>
      <c r="G487" s="9">
        <v>21446.799999999999</v>
      </c>
      <c r="H487" s="9">
        <v>16849.099999999999</v>
      </c>
      <c r="I487" s="11">
        <v>546</v>
      </c>
      <c r="J487" s="9">
        <f>'Форма 2'!I1801</f>
        <v>1277782.8999999999</v>
      </c>
      <c r="K487" s="9">
        <v>0</v>
      </c>
      <c r="L487" s="9">
        <v>0</v>
      </c>
      <c r="M487" s="9">
        <v>0</v>
      </c>
      <c r="N487" s="9">
        <f t="shared" si="152"/>
        <v>1255435.47</v>
      </c>
      <c r="O487" s="9">
        <v>22347.43</v>
      </c>
      <c r="P487" s="9">
        <f t="shared" si="153"/>
        <v>75.84</v>
      </c>
      <c r="Q487" s="9">
        <f>'Форма 2'!K1801</f>
        <v>164</v>
      </c>
      <c r="R487" s="37" t="s">
        <v>375</v>
      </c>
      <c r="S487" s="168">
        <v>1</v>
      </c>
    </row>
    <row r="488" spans="1:19" s="71" customFormat="1" ht="15" customHeight="1" x14ac:dyDescent="0.25">
      <c r="A488" s="236">
        <f t="shared" si="156"/>
        <v>78</v>
      </c>
      <c r="B488" s="236">
        <v>3103</v>
      </c>
      <c r="C488" s="233" t="s">
        <v>636</v>
      </c>
      <c r="D488" s="13">
        <v>1960</v>
      </c>
      <c r="E488" s="13" t="s">
        <v>95</v>
      </c>
      <c r="F488" s="13" t="s">
        <v>81</v>
      </c>
      <c r="G488" s="9">
        <v>3257.1</v>
      </c>
      <c r="H488" s="9">
        <v>2533.89</v>
      </c>
      <c r="I488" s="11">
        <v>109</v>
      </c>
      <c r="J488" s="9">
        <f>'Форма 2'!I1803</f>
        <v>119092.83</v>
      </c>
      <c r="K488" s="9">
        <v>0</v>
      </c>
      <c r="L488" s="9">
        <v>0</v>
      </c>
      <c r="M488" s="9">
        <v>0</v>
      </c>
      <c r="N488" s="9">
        <f>J488-K488-L488-M488-O488</f>
        <v>117009.99</v>
      </c>
      <c r="O488" s="9">
        <v>2082.84</v>
      </c>
      <c r="P488" s="9">
        <f>J488/H488</f>
        <v>47</v>
      </c>
      <c r="Q488" s="9">
        <f>'Форма 2'!K1803</f>
        <v>47</v>
      </c>
      <c r="R488" s="37" t="s">
        <v>375</v>
      </c>
      <c r="S488" s="168">
        <v>1</v>
      </c>
    </row>
    <row r="489" spans="1:19" s="71" customFormat="1" ht="15.75" customHeight="1" x14ac:dyDescent="0.25">
      <c r="A489" s="236">
        <f t="shared" si="156"/>
        <v>79</v>
      </c>
      <c r="B489" s="236">
        <v>3105</v>
      </c>
      <c r="C489" s="29" t="s">
        <v>208</v>
      </c>
      <c r="D489" s="13">
        <v>1995</v>
      </c>
      <c r="E489" s="13" t="s">
        <v>657</v>
      </c>
      <c r="F489" s="13" t="s">
        <v>87</v>
      </c>
      <c r="G489" s="9">
        <v>14149.1</v>
      </c>
      <c r="H489" s="9">
        <v>11658.1</v>
      </c>
      <c r="I489" s="11">
        <v>440</v>
      </c>
      <c r="J489" s="9">
        <f>'Форма 2'!I1805</f>
        <v>14355919.6</v>
      </c>
      <c r="K489" s="9">
        <v>0</v>
      </c>
      <c r="L489" s="9">
        <v>0</v>
      </c>
      <c r="M489" s="9">
        <v>0</v>
      </c>
      <c r="N489" s="9">
        <f t="shared" si="152"/>
        <v>14104845.75</v>
      </c>
      <c r="O489" s="9">
        <v>251073.85</v>
      </c>
      <c r="P489" s="9">
        <f t="shared" si="153"/>
        <v>1231.4100000000001</v>
      </c>
      <c r="Q489" s="9">
        <f>'Форма 2'!K1805</f>
        <v>2505.85</v>
      </c>
      <c r="R489" s="37" t="s">
        <v>375</v>
      </c>
      <c r="S489" s="168">
        <v>1</v>
      </c>
    </row>
    <row r="490" spans="1:19" s="71" customFormat="1" ht="15" customHeight="1" x14ac:dyDescent="0.25">
      <c r="A490" s="236">
        <f t="shared" si="156"/>
        <v>80</v>
      </c>
      <c r="B490" s="236">
        <v>4261</v>
      </c>
      <c r="C490" s="233" t="s">
        <v>588</v>
      </c>
      <c r="D490" s="13">
        <v>1995</v>
      </c>
      <c r="E490" s="13" t="s">
        <v>86</v>
      </c>
      <c r="F490" s="13" t="s">
        <v>82</v>
      </c>
      <c r="G490" s="9">
        <v>3560.1</v>
      </c>
      <c r="H490" s="9">
        <v>3106.9</v>
      </c>
      <c r="I490" s="11">
        <v>117</v>
      </c>
      <c r="J490" s="9">
        <f>'Форма 2'!I1813</f>
        <v>5022746</v>
      </c>
      <c r="K490" s="9">
        <v>0</v>
      </c>
      <c r="L490" s="9">
        <v>0</v>
      </c>
      <c r="M490" s="9">
        <v>0</v>
      </c>
      <c r="N490" s="9">
        <f t="shared" si="152"/>
        <v>4934902.09</v>
      </c>
      <c r="O490" s="9">
        <v>87843.91</v>
      </c>
      <c r="P490" s="9">
        <f t="shared" si="153"/>
        <v>1616.64</v>
      </c>
      <c r="Q490" s="9">
        <f>'Форма 2'!K1813</f>
        <v>1616.64</v>
      </c>
      <c r="R490" s="37" t="s">
        <v>375</v>
      </c>
      <c r="S490" s="168">
        <v>1</v>
      </c>
    </row>
    <row r="491" spans="1:19" s="71" customFormat="1" ht="15" customHeight="1" x14ac:dyDescent="0.25">
      <c r="A491" s="236">
        <f t="shared" si="156"/>
        <v>81</v>
      </c>
      <c r="B491" s="236">
        <v>4378</v>
      </c>
      <c r="C491" s="233" t="s">
        <v>589</v>
      </c>
      <c r="D491" s="13">
        <v>1994</v>
      </c>
      <c r="E491" s="13" t="s">
        <v>86</v>
      </c>
      <c r="F491" s="13" t="s">
        <v>82</v>
      </c>
      <c r="G491" s="9">
        <v>4584</v>
      </c>
      <c r="H491" s="9">
        <v>3900.4</v>
      </c>
      <c r="I491" s="11">
        <v>147</v>
      </c>
      <c r="J491" s="9">
        <f>'Форма 2'!I1818</f>
        <v>2398348.61</v>
      </c>
      <c r="K491" s="9">
        <v>0</v>
      </c>
      <c r="L491" s="9">
        <v>0</v>
      </c>
      <c r="M491" s="9">
        <v>0</v>
      </c>
      <c r="N491" s="9">
        <f t="shared" si="152"/>
        <v>2356403.36</v>
      </c>
      <c r="O491" s="9">
        <v>41945.25</v>
      </c>
      <c r="P491" s="9">
        <f t="shared" si="153"/>
        <v>614.9</v>
      </c>
      <c r="Q491" s="9">
        <f>'Форма 2'!K1818</f>
        <v>643.88</v>
      </c>
      <c r="R491" s="37" t="s">
        <v>375</v>
      </c>
      <c r="S491" s="168">
        <v>1</v>
      </c>
    </row>
    <row r="492" spans="1:19" s="71" customFormat="1" ht="15" customHeight="1" x14ac:dyDescent="0.25">
      <c r="A492" s="236">
        <f t="shared" si="156"/>
        <v>82</v>
      </c>
      <c r="B492" s="236">
        <v>4243</v>
      </c>
      <c r="C492" s="233" t="s">
        <v>590</v>
      </c>
      <c r="D492" s="13">
        <v>1994</v>
      </c>
      <c r="E492" s="13" t="s">
        <v>86</v>
      </c>
      <c r="F492" s="13" t="s">
        <v>82</v>
      </c>
      <c r="G492" s="9">
        <v>4356.18</v>
      </c>
      <c r="H492" s="9">
        <v>3950.38</v>
      </c>
      <c r="I492" s="11">
        <v>151</v>
      </c>
      <c r="J492" s="9">
        <f>'Форма 2'!I1821</f>
        <v>3458820.68</v>
      </c>
      <c r="K492" s="9">
        <v>0</v>
      </c>
      <c r="L492" s="9">
        <v>0</v>
      </c>
      <c r="M492" s="9">
        <v>0</v>
      </c>
      <c r="N492" s="9">
        <f>J492-K492-L492-M492-O492</f>
        <v>3398328.6</v>
      </c>
      <c r="O492" s="9">
        <v>60492.08</v>
      </c>
      <c r="P492" s="9">
        <f>J492/H492</f>
        <v>875.57</v>
      </c>
      <c r="Q492" s="9">
        <f>'Форма 2'!K1821</f>
        <v>1159.19</v>
      </c>
      <c r="R492" s="37" t="s">
        <v>375</v>
      </c>
      <c r="S492" s="168">
        <v>1</v>
      </c>
    </row>
    <row r="493" spans="1:19" s="71" customFormat="1" ht="15" customHeight="1" x14ac:dyDescent="0.25">
      <c r="A493" s="236">
        <f t="shared" si="156"/>
        <v>83</v>
      </c>
      <c r="B493" s="236">
        <v>4379</v>
      </c>
      <c r="C493" s="233" t="s">
        <v>591</v>
      </c>
      <c r="D493" s="13">
        <v>1994</v>
      </c>
      <c r="E493" s="13" t="s">
        <v>86</v>
      </c>
      <c r="F493" s="13" t="s">
        <v>82</v>
      </c>
      <c r="G493" s="9">
        <v>4563.1000000000004</v>
      </c>
      <c r="H493" s="9">
        <v>3914.2</v>
      </c>
      <c r="I493" s="11">
        <v>148</v>
      </c>
      <c r="J493" s="9">
        <f>'Форма 2'!I1826</f>
        <v>2398781.58</v>
      </c>
      <c r="K493" s="9">
        <v>0</v>
      </c>
      <c r="L493" s="9">
        <v>0</v>
      </c>
      <c r="M493" s="9">
        <v>0</v>
      </c>
      <c r="N493" s="9">
        <f t="shared" si="152"/>
        <v>2356828.7599999998</v>
      </c>
      <c r="O493" s="9">
        <v>41952.82</v>
      </c>
      <c r="P493" s="9">
        <f t="shared" si="153"/>
        <v>612.84</v>
      </c>
      <c r="Q493" s="9">
        <f>'Форма 2'!K1826</f>
        <v>641.6</v>
      </c>
      <c r="R493" s="37" t="s">
        <v>375</v>
      </c>
      <c r="S493" s="168">
        <v>1</v>
      </c>
    </row>
    <row r="494" spans="1:19" s="71" customFormat="1" ht="31.5" customHeight="1" x14ac:dyDescent="0.25">
      <c r="A494" s="236">
        <f t="shared" si="156"/>
        <v>84</v>
      </c>
      <c r="B494" s="236">
        <v>3131</v>
      </c>
      <c r="C494" s="27" t="s">
        <v>209</v>
      </c>
      <c r="D494" s="251" t="s">
        <v>246</v>
      </c>
      <c r="E494" s="251" t="s">
        <v>89</v>
      </c>
      <c r="F494" s="251" t="s">
        <v>82</v>
      </c>
      <c r="G494" s="22">
        <v>16198.1</v>
      </c>
      <c r="H494" s="22">
        <v>12715.9</v>
      </c>
      <c r="I494" s="15">
        <v>410</v>
      </c>
      <c r="J494" s="22">
        <f>'Форма 2'!I1829</f>
        <v>20701485.199999999</v>
      </c>
      <c r="K494" s="22">
        <v>0</v>
      </c>
      <c r="L494" s="22">
        <v>0</v>
      </c>
      <c r="M494" s="22">
        <v>0</v>
      </c>
      <c r="N494" s="22">
        <f t="shared" si="152"/>
        <v>20339432.350000001</v>
      </c>
      <c r="O494" s="22">
        <v>362052.85</v>
      </c>
      <c r="P494" s="22">
        <f t="shared" si="153"/>
        <v>1628</v>
      </c>
      <c r="Q494" s="22">
        <f>'Форма 2'!K1829</f>
        <v>1628</v>
      </c>
      <c r="R494" s="206" t="s">
        <v>375</v>
      </c>
      <c r="S494" s="251">
        <v>1</v>
      </c>
    </row>
    <row r="495" spans="1:19" s="71" customFormat="1" ht="15.75" customHeight="1" x14ac:dyDescent="0.25">
      <c r="A495" s="236">
        <f t="shared" si="156"/>
        <v>85</v>
      </c>
      <c r="B495" s="236">
        <v>4343</v>
      </c>
      <c r="C495" s="29" t="s">
        <v>210</v>
      </c>
      <c r="D495" s="13">
        <v>1981</v>
      </c>
      <c r="E495" s="13" t="s">
        <v>68</v>
      </c>
      <c r="F495" s="13" t="s">
        <v>114</v>
      </c>
      <c r="G495" s="9">
        <v>3624.8</v>
      </c>
      <c r="H495" s="9">
        <v>2708.3</v>
      </c>
      <c r="I495" s="11">
        <v>102</v>
      </c>
      <c r="J495" s="9">
        <f>'Форма 2'!I1832</f>
        <v>5682203.7000000002</v>
      </c>
      <c r="K495" s="9">
        <v>0</v>
      </c>
      <c r="L495" s="9">
        <v>0</v>
      </c>
      <c r="M495" s="9">
        <v>0</v>
      </c>
      <c r="N495" s="9">
        <f t="shared" si="152"/>
        <v>5582826.3799999999</v>
      </c>
      <c r="O495" s="9">
        <v>99377.32</v>
      </c>
      <c r="P495" s="9">
        <f t="shared" si="153"/>
        <v>2098.0700000000002</v>
      </c>
      <c r="Q495" s="9">
        <f>'Форма 2'!K1832</f>
        <v>3749</v>
      </c>
      <c r="R495" s="37" t="s">
        <v>375</v>
      </c>
      <c r="S495" s="168">
        <v>1</v>
      </c>
    </row>
    <row r="496" spans="1:19" s="71" customFormat="1" ht="15.75" customHeight="1" x14ac:dyDescent="0.25">
      <c r="A496" s="236">
        <f t="shared" si="156"/>
        <v>86</v>
      </c>
      <c r="B496" s="236">
        <v>3317</v>
      </c>
      <c r="C496" s="233" t="s">
        <v>745</v>
      </c>
      <c r="D496" s="13">
        <v>1971</v>
      </c>
      <c r="E496" s="13" t="s">
        <v>68</v>
      </c>
      <c r="F496" s="13" t="s">
        <v>81</v>
      </c>
      <c r="G496" s="9">
        <v>3788.65</v>
      </c>
      <c r="H496" s="9">
        <v>3508.25</v>
      </c>
      <c r="I496" s="11">
        <v>133</v>
      </c>
      <c r="J496" s="9">
        <f>'Форма 2'!I1835</f>
        <v>631485</v>
      </c>
      <c r="K496" s="9">
        <v>0</v>
      </c>
      <c r="L496" s="9">
        <v>0</v>
      </c>
      <c r="M496" s="9">
        <v>0</v>
      </c>
      <c r="N496" s="9">
        <f t="shared" si="152"/>
        <v>620440.81999999995</v>
      </c>
      <c r="O496" s="9">
        <v>11044.18</v>
      </c>
      <c r="P496" s="9">
        <f t="shared" si="153"/>
        <v>180</v>
      </c>
      <c r="Q496" s="9">
        <f>'Форма 2'!K1835</f>
        <v>180</v>
      </c>
      <c r="R496" s="37" t="s">
        <v>375</v>
      </c>
      <c r="S496" s="168">
        <v>1</v>
      </c>
    </row>
    <row r="497" spans="1:19" s="71" customFormat="1" ht="15" customHeight="1" x14ac:dyDescent="0.25">
      <c r="A497" s="236">
        <f t="shared" si="156"/>
        <v>87</v>
      </c>
      <c r="B497" s="236">
        <v>3172</v>
      </c>
      <c r="C497" s="233" t="s">
        <v>592</v>
      </c>
      <c r="D497" s="13">
        <v>1994</v>
      </c>
      <c r="E497" s="13" t="s">
        <v>86</v>
      </c>
      <c r="F497" s="13" t="s">
        <v>82</v>
      </c>
      <c r="G497" s="9">
        <v>11811.72</v>
      </c>
      <c r="H497" s="9">
        <v>9843.1</v>
      </c>
      <c r="I497" s="11">
        <v>347</v>
      </c>
      <c r="J497" s="9">
        <f>'Форма 2'!I1837</f>
        <v>3641266.1</v>
      </c>
      <c r="K497" s="9">
        <v>0</v>
      </c>
      <c r="L497" s="9">
        <v>0</v>
      </c>
      <c r="M497" s="9">
        <v>0</v>
      </c>
      <c r="N497" s="9">
        <f t="shared" si="152"/>
        <v>3577583.19</v>
      </c>
      <c r="O497" s="9">
        <v>63682.91</v>
      </c>
      <c r="P497" s="9">
        <f t="shared" si="153"/>
        <v>369.93</v>
      </c>
      <c r="Q497" s="9">
        <f>'Форма 2'!K1837</f>
        <v>510.28</v>
      </c>
      <c r="R497" s="37" t="s">
        <v>375</v>
      </c>
      <c r="S497" s="168">
        <v>1</v>
      </c>
    </row>
    <row r="498" spans="1:19" s="71" customFormat="1" ht="15.75" customHeight="1" x14ac:dyDescent="0.25">
      <c r="A498" s="236">
        <f t="shared" si="156"/>
        <v>88</v>
      </c>
      <c r="B498" s="236">
        <v>4360</v>
      </c>
      <c r="C498" s="29" t="s">
        <v>211</v>
      </c>
      <c r="D498" s="13" t="s">
        <v>88</v>
      </c>
      <c r="E498" s="13" t="s">
        <v>68</v>
      </c>
      <c r="F498" s="13" t="s">
        <v>82</v>
      </c>
      <c r="G498" s="9">
        <v>14794.05</v>
      </c>
      <c r="H498" s="9">
        <v>11758.85</v>
      </c>
      <c r="I498" s="11">
        <v>474</v>
      </c>
      <c r="J498" s="9">
        <f>'Форма 2'!I1842</f>
        <v>24353354.449999999</v>
      </c>
      <c r="K498" s="9">
        <v>0</v>
      </c>
      <c r="L498" s="9">
        <v>0</v>
      </c>
      <c r="M498" s="9">
        <v>0</v>
      </c>
      <c r="N498" s="9">
        <f t="shared" si="152"/>
        <v>23927433.260000002</v>
      </c>
      <c r="O498" s="9">
        <v>425921.19</v>
      </c>
      <c r="P498" s="9">
        <f t="shared" si="153"/>
        <v>2071.0700000000002</v>
      </c>
      <c r="Q498" s="9">
        <f>'Форма 2'!K1842</f>
        <v>2492</v>
      </c>
      <c r="R498" s="37" t="s">
        <v>375</v>
      </c>
      <c r="S498" s="168">
        <v>1</v>
      </c>
    </row>
    <row r="499" spans="1:19" s="71" customFormat="1" ht="15.75" customHeight="1" x14ac:dyDescent="0.25">
      <c r="A499" s="236">
        <f t="shared" si="156"/>
        <v>89</v>
      </c>
      <c r="B499" s="236">
        <v>3433</v>
      </c>
      <c r="C499" s="29" t="s">
        <v>361</v>
      </c>
      <c r="D499" s="13">
        <v>1992</v>
      </c>
      <c r="E499" s="13" t="s">
        <v>368</v>
      </c>
      <c r="F499" s="13" t="s">
        <v>82</v>
      </c>
      <c r="G499" s="9">
        <v>4578.6000000000004</v>
      </c>
      <c r="H499" s="9">
        <v>3939</v>
      </c>
      <c r="I499" s="11">
        <v>149</v>
      </c>
      <c r="J499" s="9">
        <f>'Форма 2'!I1845</f>
        <v>13490350.77</v>
      </c>
      <c r="K499" s="9">
        <v>0</v>
      </c>
      <c r="L499" s="9">
        <v>0</v>
      </c>
      <c r="M499" s="9">
        <v>0</v>
      </c>
      <c r="N499" s="9">
        <f t="shared" si="152"/>
        <v>13254415.039999999</v>
      </c>
      <c r="O499" s="9">
        <v>235935.73</v>
      </c>
      <c r="P499" s="9">
        <f t="shared" si="153"/>
        <v>3424.82</v>
      </c>
      <c r="Q499" s="9">
        <f>'Форма 2'!K1845</f>
        <v>4074</v>
      </c>
      <c r="R499" s="37" t="s">
        <v>375</v>
      </c>
      <c r="S499" s="168">
        <v>1</v>
      </c>
    </row>
    <row r="500" spans="1:19" s="71" customFormat="1" ht="15.75" customHeight="1" x14ac:dyDescent="0.25">
      <c r="A500" s="236">
        <f t="shared" si="156"/>
        <v>90</v>
      </c>
      <c r="B500" s="236">
        <v>3184</v>
      </c>
      <c r="C500" s="233" t="s">
        <v>746</v>
      </c>
      <c r="D500" s="13">
        <v>1970</v>
      </c>
      <c r="E500" s="13" t="s">
        <v>68</v>
      </c>
      <c r="F500" s="13" t="s">
        <v>81</v>
      </c>
      <c r="G500" s="9">
        <v>3103</v>
      </c>
      <c r="H500" s="9">
        <v>2888.5</v>
      </c>
      <c r="I500" s="11">
        <v>109</v>
      </c>
      <c r="J500" s="9">
        <f>'Форма 2'!I1854</f>
        <v>519930</v>
      </c>
      <c r="K500" s="9">
        <v>0</v>
      </c>
      <c r="L500" s="9">
        <v>0</v>
      </c>
      <c r="M500" s="9">
        <v>0</v>
      </c>
      <c r="N500" s="9">
        <f t="shared" si="152"/>
        <v>510836.83</v>
      </c>
      <c r="O500" s="9">
        <v>9093.17</v>
      </c>
      <c r="P500" s="9">
        <f t="shared" si="153"/>
        <v>180</v>
      </c>
      <c r="Q500" s="9">
        <f>'Форма 2'!K1854</f>
        <v>180</v>
      </c>
      <c r="R500" s="37" t="s">
        <v>375</v>
      </c>
      <c r="S500" s="168">
        <v>1</v>
      </c>
    </row>
    <row r="501" spans="1:19" s="71" customFormat="1" ht="15.75" customHeight="1" x14ac:dyDescent="0.25">
      <c r="A501" s="236">
        <f t="shared" si="156"/>
        <v>91</v>
      </c>
      <c r="B501" s="236">
        <v>4250</v>
      </c>
      <c r="C501" s="29" t="s">
        <v>536</v>
      </c>
      <c r="D501" s="13">
        <v>1969</v>
      </c>
      <c r="E501" s="13" t="s">
        <v>95</v>
      </c>
      <c r="F501" s="13" t="s">
        <v>82</v>
      </c>
      <c r="G501" s="9">
        <v>6170</v>
      </c>
      <c r="H501" s="9">
        <v>5742.5</v>
      </c>
      <c r="I501" s="11">
        <v>217</v>
      </c>
      <c r="J501" s="9">
        <f>'Форма 2'!I1856</f>
        <v>1378587.4</v>
      </c>
      <c r="K501" s="9">
        <v>0</v>
      </c>
      <c r="L501" s="9">
        <v>0</v>
      </c>
      <c r="M501" s="9">
        <v>0</v>
      </c>
      <c r="N501" s="9">
        <f t="shared" si="152"/>
        <v>1354476.98</v>
      </c>
      <c r="O501" s="9">
        <v>24110.42</v>
      </c>
      <c r="P501" s="9">
        <f t="shared" si="153"/>
        <v>240.07</v>
      </c>
      <c r="Q501" s="9">
        <f>'Форма 2'!K1856</f>
        <v>407</v>
      </c>
      <c r="R501" s="37" t="s">
        <v>375</v>
      </c>
      <c r="S501" s="168">
        <v>1</v>
      </c>
    </row>
    <row r="502" spans="1:19" s="71" customFormat="1" ht="15" customHeight="1" x14ac:dyDescent="0.25">
      <c r="A502" s="236">
        <f t="shared" si="156"/>
        <v>92</v>
      </c>
      <c r="B502" s="236">
        <v>3141</v>
      </c>
      <c r="C502" s="233" t="s">
        <v>212</v>
      </c>
      <c r="D502" s="13" t="s">
        <v>378</v>
      </c>
      <c r="E502" s="13" t="s">
        <v>86</v>
      </c>
      <c r="F502" s="13" t="s">
        <v>82</v>
      </c>
      <c r="G502" s="9">
        <v>11490.4</v>
      </c>
      <c r="H502" s="9">
        <v>8978.6</v>
      </c>
      <c r="I502" s="11">
        <v>271</v>
      </c>
      <c r="J502" s="9">
        <f>'Форма 2'!I1859</f>
        <v>4579236</v>
      </c>
      <c r="K502" s="9">
        <v>0</v>
      </c>
      <c r="L502" s="9">
        <v>0</v>
      </c>
      <c r="M502" s="9">
        <v>0</v>
      </c>
      <c r="N502" s="9">
        <f t="shared" si="152"/>
        <v>4499148.7300000004</v>
      </c>
      <c r="O502" s="9">
        <v>80087.27</v>
      </c>
      <c r="P502" s="9">
        <f t="shared" si="153"/>
        <v>510.02</v>
      </c>
      <c r="Q502" s="9">
        <f>'Форма 2'!K1859</f>
        <v>510.02</v>
      </c>
      <c r="R502" s="37" t="s">
        <v>375</v>
      </c>
      <c r="S502" s="168">
        <v>1</v>
      </c>
    </row>
    <row r="503" spans="1:19" s="71" customFormat="1" ht="15" customHeight="1" x14ac:dyDescent="0.25">
      <c r="A503" s="236">
        <f t="shared" si="156"/>
        <v>93</v>
      </c>
      <c r="B503" s="236">
        <v>4375</v>
      </c>
      <c r="C503" s="233" t="s">
        <v>639</v>
      </c>
      <c r="D503" s="13" t="s">
        <v>658</v>
      </c>
      <c r="E503" s="13" t="s">
        <v>86</v>
      </c>
      <c r="F503" s="13" t="s">
        <v>81</v>
      </c>
      <c r="G503" s="9">
        <v>14326.5</v>
      </c>
      <c r="H503" s="9">
        <v>11594.1</v>
      </c>
      <c r="I503" s="11">
        <v>438</v>
      </c>
      <c r="J503" s="9">
        <f>'Форма 2'!I1864</f>
        <v>96843</v>
      </c>
      <c r="K503" s="9">
        <v>0</v>
      </c>
      <c r="L503" s="9">
        <v>0</v>
      </c>
      <c r="M503" s="9">
        <v>0</v>
      </c>
      <c r="N503" s="9">
        <f>J503-K503-L503-M503-O503</f>
        <v>95149.29</v>
      </c>
      <c r="O503" s="9">
        <v>1693.71</v>
      </c>
      <c r="P503" s="9">
        <f>J503/H503</f>
        <v>8.35</v>
      </c>
      <c r="Q503" s="9">
        <f>'Форма 2'!K1864</f>
        <v>8.35</v>
      </c>
      <c r="R503" s="37" t="s">
        <v>375</v>
      </c>
      <c r="S503" s="168">
        <v>1</v>
      </c>
    </row>
    <row r="504" spans="1:19" s="71" customFormat="1" ht="15" customHeight="1" x14ac:dyDescent="0.25">
      <c r="A504" s="236">
        <f t="shared" si="156"/>
        <v>94</v>
      </c>
      <c r="B504" s="236">
        <v>4376</v>
      </c>
      <c r="C504" s="233" t="s">
        <v>640</v>
      </c>
      <c r="D504" s="13">
        <v>1994</v>
      </c>
      <c r="E504" s="13" t="s">
        <v>86</v>
      </c>
      <c r="F504" s="13" t="s">
        <v>81</v>
      </c>
      <c r="G504" s="9">
        <v>4860.7</v>
      </c>
      <c r="H504" s="9">
        <v>3878.2</v>
      </c>
      <c r="I504" s="11">
        <v>147</v>
      </c>
      <c r="J504" s="9">
        <f>'Форма 2'!I1868</f>
        <v>64562</v>
      </c>
      <c r="K504" s="9">
        <v>0</v>
      </c>
      <c r="L504" s="9">
        <v>0</v>
      </c>
      <c r="M504" s="9">
        <v>0</v>
      </c>
      <c r="N504" s="9">
        <f>J504-K504-L504-M504-O504</f>
        <v>63432.86</v>
      </c>
      <c r="O504" s="9">
        <v>1129.1400000000001</v>
      </c>
      <c r="P504" s="9">
        <f>J504/H504</f>
        <v>16.649999999999999</v>
      </c>
      <c r="Q504" s="9">
        <f>'Форма 2'!K1868</f>
        <v>16.649999999999999</v>
      </c>
      <c r="R504" s="37" t="s">
        <v>375</v>
      </c>
      <c r="S504" s="168">
        <v>1</v>
      </c>
    </row>
    <row r="505" spans="1:19" s="71" customFormat="1" ht="15" customHeight="1" x14ac:dyDescent="0.25">
      <c r="A505" s="236">
        <f>A504+1</f>
        <v>95</v>
      </c>
      <c r="B505" s="236">
        <v>4122</v>
      </c>
      <c r="C505" s="233" t="s">
        <v>593</v>
      </c>
      <c r="D505" s="13">
        <v>1994</v>
      </c>
      <c r="E505" s="13" t="s">
        <v>86</v>
      </c>
      <c r="F505" s="13" t="s">
        <v>82</v>
      </c>
      <c r="G505" s="9">
        <v>3846</v>
      </c>
      <c r="H505" s="9">
        <v>3489.9</v>
      </c>
      <c r="I505" s="11">
        <v>143</v>
      </c>
      <c r="J505" s="9">
        <f>'Форма 2'!I1871</f>
        <v>4350205.16</v>
      </c>
      <c r="K505" s="9">
        <v>0</v>
      </c>
      <c r="L505" s="9">
        <v>0</v>
      </c>
      <c r="M505" s="9">
        <v>0</v>
      </c>
      <c r="N505" s="9">
        <f>J505-K505-L505-M505-O505</f>
        <v>4274123.46</v>
      </c>
      <c r="O505" s="9">
        <v>76081.7</v>
      </c>
      <c r="P505" s="9">
        <f>J505/H505</f>
        <v>1246.51</v>
      </c>
      <c r="Q505" s="9">
        <f>'Форма 2'!K1871</f>
        <v>1312.14</v>
      </c>
      <c r="R505" s="37" t="s">
        <v>375</v>
      </c>
      <c r="S505" s="168">
        <v>1</v>
      </c>
    </row>
    <row r="506" spans="1:19" s="71" customFormat="1" ht="15" customHeight="1" x14ac:dyDescent="0.25">
      <c r="A506" s="236">
        <f>A505+1</f>
        <v>96</v>
      </c>
      <c r="B506" s="236">
        <v>3403</v>
      </c>
      <c r="C506" s="233" t="s">
        <v>594</v>
      </c>
      <c r="D506" s="13">
        <v>1940</v>
      </c>
      <c r="E506" s="13" t="s">
        <v>95</v>
      </c>
      <c r="F506" s="13" t="s">
        <v>82</v>
      </c>
      <c r="G506" s="9">
        <v>902.03</v>
      </c>
      <c r="H506" s="9">
        <v>812.03</v>
      </c>
      <c r="I506" s="11">
        <v>31</v>
      </c>
      <c r="J506" s="9">
        <f>'Форма 2'!I1876</f>
        <v>293954.86</v>
      </c>
      <c r="K506" s="9">
        <v>0</v>
      </c>
      <c r="L506" s="9">
        <v>0</v>
      </c>
      <c r="M506" s="9">
        <v>0</v>
      </c>
      <c r="N506" s="9">
        <f t="shared" si="152"/>
        <v>288813.82</v>
      </c>
      <c r="O506" s="9">
        <v>5141.04</v>
      </c>
      <c r="P506" s="9">
        <f t="shared" si="153"/>
        <v>362</v>
      </c>
      <c r="Q506" s="9">
        <f>'Форма 2'!K1876</f>
        <v>362</v>
      </c>
      <c r="R506" s="37" t="s">
        <v>375</v>
      </c>
      <c r="S506" s="168">
        <v>1</v>
      </c>
    </row>
    <row r="507" spans="1:19" s="71" customFormat="1" ht="15" customHeight="1" x14ac:dyDescent="0.25">
      <c r="A507" s="236">
        <f t="shared" si="156"/>
        <v>97</v>
      </c>
      <c r="B507" s="236">
        <v>3404</v>
      </c>
      <c r="C507" s="233" t="s">
        <v>595</v>
      </c>
      <c r="D507" s="13">
        <v>1951</v>
      </c>
      <c r="E507" s="13" t="s">
        <v>95</v>
      </c>
      <c r="F507" s="13" t="s">
        <v>82</v>
      </c>
      <c r="G507" s="9">
        <v>1279.28</v>
      </c>
      <c r="H507" s="9">
        <v>1165.78</v>
      </c>
      <c r="I507" s="11">
        <v>52</v>
      </c>
      <c r="J507" s="9">
        <f>'Форма 2'!I1879</f>
        <v>422012.36</v>
      </c>
      <c r="K507" s="9">
        <v>0</v>
      </c>
      <c r="L507" s="9">
        <v>0</v>
      </c>
      <c r="M507" s="9">
        <v>0</v>
      </c>
      <c r="N507" s="9">
        <f t="shared" si="152"/>
        <v>414631.69</v>
      </c>
      <c r="O507" s="9">
        <v>7380.67</v>
      </c>
      <c r="P507" s="9">
        <f t="shared" si="153"/>
        <v>362</v>
      </c>
      <c r="Q507" s="9">
        <f>'Форма 2'!K1879</f>
        <v>362</v>
      </c>
      <c r="R507" s="37" t="s">
        <v>375</v>
      </c>
      <c r="S507" s="168">
        <v>1</v>
      </c>
    </row>
    <row r="508" spans="1:19" s="71" customFormat="1" ht="15" customHeight="1" x14ac:dyDescent="0.25">
      <c r="A508" s="236">
        <f t="shared" si="156"/>
        <v>98</v>
      </c>
      <c r="B508" s="236">
        <v>3406</v>
      </c>
      <c r="C508" s="233" t="s">
        <v>528</v>
      </c>
      <c r="D508" s="13">
        <v>1956</v>
      </c>
      <c r="E508" s="13" t="s">
        <v>95</v>
      </c>
      <c r="F508" s="13" t="s">
        <v>81</v>
      </c>
      <c r="G508" s="9">
        <v>1344.96</v>
      </c>
      <c r="H508" s="9">
        <v>1229.96</v>
      </c>
      <c r="I508" s="11">
        <v>46</v>
      </c>
      <c r="J508" s="9">
        <f>'Форма 2'!I1882</f>
        <v>57808.12</v>
      </c>
      <c r="K508" s="9">
        <v>0</v>
      </c>
      <c r="L508" s="9">
        <v>0</v>
      </c>
      <c r="M508" s="9">
        <v>0</v>
      </c>
      <c r="N508" s="9">
        <f t="shared" si="152"/>
        <v>56797.1</v>
      </c>
      <c r="O508" s="9">
        <v>1011.02</v>
      </c>
      <c r="P508" s="9">
        <f t="shared" si="153"/>
        <v>47</v>
      </c>
      <c r="Q508" s="9">
        <f>'Форма 2'!K1882</f>
        <v>47</v>
      </c>
      <c r="R508" s="37" t="s">
        <v>375</v>
      </c>
      <c r="S508" s="168">
        <v>1</v>
      </c>
    </row>
    <row r="509" spans="1:19" s="71" customFormat="1" ht="15" customHeight="1" x14ac:dyDescent="0.25">
      <c r="A509" s="236">
        <f t="shared" si="156"/>
        <v>99</v>
      </c>
      <c r="B509" s="236">
        <v>3407</v>
      </c>
      <c r="C509" s="233" t="s">
        <v>641</v>
      </c>
      <c r="D509" s="13">
        <v>1957</v>
      </c>
      <c r="E509" s="13" t="s">
        <v>95</v>
      </c>
      <c r="F509" s="13" t="s">
        <v>81</v>
      </c>
      <c r="G509" s="9">
        <v>2119.12</v>
      </c>
      <c r="H509" s="9">
        <v>2004.12</v>
      </c>
      <c r="I509" s="11">
        <v>76</v>
      </c>
      <c r="J509" s="9">
        <f>'Форма 2'!I1884</f>
        <v>94193.64</v>
      </c>
      <c r="K509" s="9">
        <v>0</v>
      </c>
      <c r="L509" s="9">
        <v>0</v>
      </c>
      <c r="M509" s="9">
        <v>0</v>
      </c>
      <c r="N509" s="9">
        <f t="shared" si="152"/>
        <v>92546.27</v>
      </c>
      <c r="O509" s="9">
        <v>1647.37</v>
      </c>
      <c r="P509" s="9">
        <f t="shared" si="153"/>
        <v>47</v>
      </c>
      <c r="Q509" s="9">
        <f>'Форма 2'!K1884</f>
        <v>47</v>
      </c>
      <c r="R509" s="37" t="s">
        <v>375</v>
      </c>
      <c r="S509" s="168">
        <v>1</v>
      </c>
    </row>
    <row r="510" spans="1:19" s="71" customFormat="1" ht="15" customHeight="1" x14ac:dyDescent="0.25">
      <c r="A510" s="236">
        <f t="shared" si="156"/>
        <v>100</v>
      </c>
      <c r="B510" s="236">
        <v>3408</v>
      </c>
      <c r="C510" s="233" t="s">
        <v>642</v>
      </c>
      <c r="D510" s="13">
        <v>1959</v>
      </c>
      <c r="E510" s="13" t="s">
        <v>95</v>
      </c>
      <c r="F510" s="13" t="s">
        <v>81</v>
      </c>
      <c r="G510" s="9">
        <v>3389.51</v>
      </c>
      <c r="H510" s="9">
        <v>3143.51</v>
      </c>
      <c r="I510" s="11">
        <v>119</v>
      </c>
      <c r="J510" s="9">
        <f>'Форма 2'!I1886</f>
        <v>75444.240000000005</v>
      </c>
      <c r="K510" s="9">
        <v>0</v>
      </c>
      <c r="L510" s="9">
        <v>0</v>
      </c>
      <c r="M510" s="9">
        <v>0</v>
      </c>
      <c r="N510" s="9">
        <f t="shared" si="152"/>
        <v>74124.78</v>
      </c>
      <c r="O510" s="9">
        <v>1319.46</v>
      </c>
      <c r="P510" s="9">
        <f t="shared" si="153"/>
        <v>24</v>
      </c>
      <c r="Q510" s="9">
        <f>'Форма 2'!K1886</f>
        <v>24</v>
      </c>
      <c r="R510" s="37" t="s">
        <v>375</v>
      </c>
      <c r="S510" s="168">
        <v>1</v>
      </c>
    </row>
    <row r="511" spans="1:19" s="71" customFormat="1" ht="15" customHeight="1" x14ac:dyDescent="0.25">
      <c r="A511" s="236">
        <f t="shared" si="156"/>
        <v>101</v>
      </c>
      <c r="B511" s="236">
        <v>3409</v>
      </c>
      <c r="C511" s="233" t="s">
        <v>596</v>
      </c>
      <c r="D511" s="13">
        <v>1939</v>
      </c>
      <c r="E511" s="13" t="s">
        <v>95</v>
      </c>
      <c r="F511" s="13" t="s">
        <v>82</v>
      </c>
      <c r="G511" s="9">
        <v>1900.24</v>
      </c>
      <c r="H511" s="9">
        <v>1702.64</v>
      </c>
      <c r="I511" s="11">
        <v>64</v>
      </c>
      <c r="J511" s="9">
        <f>'Форма 2'!I1888</f>
        <v>616355.68000000005</v>
      </c>
      <c r="K511" s="9">
        <v>0</v>
      </c>
      <c r="L511" s="9">
        <v>0</v>
      </c>
      <c r="M511" s="9">
        <v>0</v>
      </c>
      <c r="N511" s="9">
        <f t="shared" si="152"/>
        <v>605576.1</v>
      </c>
      <c r="O511" s="9">
        <v>10779.58</v>
      </c>
      <c r="P511" s="9">
        <f t="shared" si="153"/>
        <v>362</v>
      </c>
      <c r="Q511" s="9">
        <f>'Форма 2'!K1888</f>
        <v>362</v>
      </c>
      <c r="R511" s="37" t="s">
        <v>375</v>
      </c>
      <c r="S511" s="168">
        <v>1</v>
      </c>
    </row>
    <row r="512" spans="1:19" s="71" customFormat="1" ht="15" customHeight="1" x14ac:dyDescent="0.25">
      <c r="A512" s="236">
        <f t="shared" si="156"/>
        <v>102</v>
      </c>
      <c r="B512" s="236">
        <v>3410</v>
      </c>
      <c r="C512" s="233" t="s">
        <v>643</v>
      </c>
      <c r="D512" s="13">
        <v>1959</v>
      </c>
      <c r="E512" s="13" t="s">
        <v>95</v>
      </c>
      <c r="F512" s="13" t="s">
        <v>81</v>
      </c>
      <c r="G512" s="9">
        <v>3418.61</v>
      </c>
      <c r="H512" s="9">
        <v>3172.61</v>
      </c>
      <c r="I512" s="11">
        <v>138</v>
      </c>
      <c r="J512" s="9">
        <f>'Форма 2'!I1891</f>
        <v>76142.64</v>
      </c>
      <c r="K512" s="9">
        <v>0</v>
      </c>
      <c r="L512" s="9">
        <v>0</v>
      </c>
      <c r="M512" s="9">
        <v>0</v>
      </c>
      <c r="N512" s="9">
        <f t="shared" si="152"/>
        <v>74810.960000000006</v>
      </c>
      <c r="O512" s="9">
        <v>1331.68</v>
      </c>
      <c r="P512" s="9">
        <f t="shared" si="153"/>
        <v>24</v>
      </c>
      <c r="Q512" s="9">
        <f>'Форма 2'!K1891</f>
        <v>24</v>
      </c>
      <c r="R512" s="37" t="s">
        <v>375</v>
      </c>
      <c r="S512" s="168">
        <v>1</v>
      </c>
    </row>
    <row r="513" spans="1:19" s="71" customFormat="1" ht="15" customHeight="1" x14ac:dyDescent="0.25">
      <c r="A513" s="236">
        <f t="shared" si="156"/>
        <v>103</v>
      </c>
      <c r="B513" s="236">
        <v>3411</v>
      </c>
      <c r="C513" s="233" t="s">
        <v>597</v>
      </c>
      <c r="D513" s="13">
        <v>1939</v>
      </c>
      <c r="E513" s="13" t="s">
        <v>95</v>
      </c>
      <c r="F513" s="13" t="s">
        <v>82</v>
      </c>
      <c r="G513" s="9">
        <v>2227</v>
      </c>
      <c r="H513" s="9">
        <v>1713.6</v>
      </c>
      <c r="I513" s="11">
        <v>62</v>
      </c>
      <c r="J513" s="9">
        <f>'Форма 2'!I1893</f>
        <v>620323.19999999995</v>
      </c>
      <c r="K513" s="9">
        <v>0</v>
      </c>
      <c r="L513" s="9">
        <v>0</v>
      </c>
      <c r="M513" s="9">
        <v>0</v>
      </c>
      <c r="N513" s="9">
        <f t="shared" si="152"/>
        <v>609474.23</v>
      </c>
      <c r="O513" s="9">
        <v>10848.97</v>
      </c>
      <c r="P513" s="9">
        <f t="shared" si="153"/>
        <v>362</v>
      </c>
      <c r="Q513" s="9">
        <f>'Форма 2'!K1893</f>
        <v>362</v>
      </c>
      <c r="R513" s="37" t="s">
        <v>375</v>
      </c>
      <c r="S513" s="168">
        <v>1</v>
      </c>
    </row>
    <row r="514" spans="1:19" s="71" customFormat="1" ht="15" customHeight="1" x14ac:dyDescent="0.25">
      <c r="A514" s="236">
        <f t="shared" si="156"/>
        <v>104</v>
      </c>
      <c r="B514" s="236">
        <v>3413</v>
      </c>
      <c r="C514" s="233" t="s">
        <v>644</v>
      </c>
      <c r="D514" s="13">
        <v>1917</v>
      </c>
      <c r="E514" s="13" t="s">
        <v>95</v>
      </c>
      <c r="F514" s="13" t="s">
        <v>81</v>
      </c>
      <c r="G514" s="9">
        <v>1289.3800000000001</v>
      </c>
      <c r="H514" s="9">
        <v>1249.18</v>
      </c>
      <c r="I514" s="11">
        <v>47</v>
      </c>
      <c r="J514" s="9">
        <f>'Форма 2'!I1896</f>
        <v>58711.46</v>
      </c>
      <c r="K514" s="9">
        <v>0</v>
      </c>
      <c r="L514" s="9">
        <v>0</v>
      </c>
      <c r="M514" s="9">
        <v>0</v>
      </c>
      <c r="N514" s="9">
        <f t="shared" si="152"/>
        <v>57684.639999999999</v>
      </c>
      <c r="O514" s="9">
        <v>1026.82</v>
      </c>
      <c r="P514" s="9">
        <f t="shared" si="153"/>
        <v>47</v>
      </c>
      <c r="Q514" s="9">
        <f>'Форма 2'!K1896</f>
        <v>47</v>
      </c>
      <c r="R514" s="37" t="s">
        <v>375</v>
      </c>
      <c r="S514" s="168">
        <v>1</v>
      </c>
    </row>
    <row r="515" spans="1:19" s="71" customFormat="1" ht="15" customHeight="1" x14ac:dyDescent="0.25">
      <c r="A515" s="236">
        <f t="shared" si="156"/>
        <v>105</v>
      </c>
      <c r="B515" s="236">
        <v>4365</v>
      </c>
      <c r="C515" s="233" t="s">
        <v>645</v>
      </c>
      <c r="D515" s="13">
        <v>1904</v>
      </c>
      <c r="E515" s="13" t="s">
        <v>95</v>
      </c>
      <c r="F515" s="13" t="s">
        <v>81</v>
      </c>
      <c r="G515" s="9">
        <v>1569</v>
      </c>
      <c r="H515" s="9">
        <v>1319.4</v>
      </c>
      <c r="I515" s="11">
        <v>51</v>
      </c>
      <c r="J515" s="9">
        <f>'Форма 2'!I1898</f>
        <v>62011.8</v>
      </c>
      <c r="K515" s="9">
        <v>0</v>
      </c>
      <c r="L515" s="9">
        <v>0</v>
      </c>
      <c r="M515" s="9">
        <v>0</v>
      </c>
      <c r="N515" s="9">
        <f t="shared" si="152"/>
        <v>60927.26</v>
      </c>
      <c r="O515" s="9">
        <v>1084.54</v>
      </c>
      <c r="P515" s="9">
        <f t="shared" si="153"/>
        <v>47</v>
      </c>
      <c r="Q515" s="9">
        <f>'Форма 2'!K1898</f>
        <v>47</v>
      </c>
      <c r="R515" s="37" t="s">
        <v>375</v>
      </c>
      <c r="S515" s="168">
        <v>1</v>
      </c>
    </row>
    <row r="516" spans="1:19" s="71" customFormat="1" ht="15" customHeight="1" x14ac:dyDescent="0.25">
      <c r="A516" s="236">
        <f t="shared" si="156"/>
        <v>106</v>
      </c>
      <c r="B516" s="236">
        <v>3414</v>
      </c>
      <c r="C516" s="233" t="s">
        <v>646</v>
      </c>
      <c r="D516" s="13">
        <v>1917</v>
      </c>
      <c r="E516" s="13" t="s">
        <v>95</v>
      </c>
      <c r="F516" s="13" t="s">
        <v>81</v>
      </c>
      <c r="G516" s="9">
        <v>959.11</v>
      </c>
      <c r="H516" s="9">
        <v>905.11</v>
      </c>
      <c r="I516" s="11">
        <v>34</v>
      </c>
      <c r="J516" s="9">
        <f>'Форма 2'!I1900</f>
        <v>66073.03</v>
      </c>
      <c r="K516" s="9">
        <v>0</v>
      </c>
      <c r="L516" s="9">
        <v>0</v>
      </c>
      <c r="M516" s="9">
        <v>0</v>
      </c>
      <c r="N516" s="9">
        <f t="shared" si="152"/>
        <v>64917.46</v>
      </c>
      <c r="O516" s="9">
        <v>1155.57</v>
      </c>
      <c r="P516" s="9">
        <f t="shared" si="153"/>
        <v>73</v>
      </c>
      <c r="Q516" s="9">
        <f>'Форма 2'!K1900</f>
        <v>73</v>
      </c>
      <c r="R516" s="37" t="s">
        <v>375</v>
      </c>
      <c r="S516" s="168">
        <v>1</v>
      </c>
    </row>
    <row r="517" spans="1:19" s="71" customFormat="1" ht="15" customHeight="1" x14ac:dyDescent="0.25">
      <c r="A517" s="236">
        <f t="shared" si="156"/>
        <v>107</v>
      </c>
      <c r="B517" s="236">
        <v>3415</v>
      </c>
      <c r="C517" s="233" t="s">
        <v>647</v>
      </c>
      <c r="D517" s="13">
        <v>1917</v>
      </c>
      <c r="E517" s="13" t="s">
        <v>95</v>
      </c>
      <c r="F517" s="13" t="s">
        <v>81</v>
      </c>
      <c r="G517" s="9">
        <v>721.9</v>
      </c>
      <c r="H517" s="9">
        <v>667.9</v>
      </c>
      <c r="I517" s="11">
        <v>25</v>
      </c>
      <c r="J517" s="9">
        <f>'Форма 2'!I1902</f>
        <v>48756.7</v>
      </c>
      <c r="K517" s="9">
        <v>0</v>
      </c>
      <c r="L517" s="9">
        <v>0</v>
      </c>
      <c r="M517" s="9">
        <v>0</v>
      </c>
      <c r="N517" s="9">
        <f t="shared" si="152"/>
        <v>47903.98</v>
      </c>
      <c r="O517" s="9">
        <v>852.72</v>
      </c>
      <c r="P517" s="9">
        <f t="shared" si="153"/>
        <v>73</v>
      </c>
      <c r="Q517" s="9">
        <f>'Форма 2'!K1902</f>
        <v>73</v>
      </c>
      <c r="R517" s="37" t="s">
        <v>375</v>
      </c>
      <c r="S517" s="168">
        <v>1</v>
      </c>
    </row>
    <row r="518" spans="1:19" s="71" customFormat="1" ht="15" customHeight="1" x14ac:dyDescent="0.25">
      <c r="A518" s="236">
        <f t="shared" si="156"/>
        <v>108</v>
      </c>
      <c r="B518" s="236">
        <v>3416</v>
      </c>
      <c r="C518" s="233" t="s">
        <v>484</v>
      </c>
      <c r="D518" s="13">
        <v>1917</v>
      </c>
      <c r="E518" s="13" t="s">
        <v>95</v>
      </c>
      <c r="F518" s="13" t="s">
        <v>81</v>
      </c>
      <c r="G518" s="9">
        <v>941</v>
      </c>
      <c r="H518" s="9">
        <v>887</v>
      </c>
      <c r="I518" s="11">
        <v>34</v>
      </c>
      <c r="J518" s="9">
        <f>'Форма 2'!I1904</f>
        <v>64751</v>
      </c>
      <c r="K518" s="9">
        <v>0</v>
      </c>
      <c r="L518" s="9">
        <v>0</v>
      </c>
      <c r="M518" s="9">
        <v>0</v>
      </c>
      <c r="N518" s="9">
        <f t="shared" si="152"/>
        <v>63618.559999999998</v>
      </c>
      <c r="O518" s="9">
        <v>1132.44</v>
      </c>
      <c r="P518" s="9">
        <f t="shared" si="153"/>
        <v>73</v>
      </c>
      <c r="Q518" s="9">
        <f>'Форма 2'!K1904</f>
        <v>73</v>
      </c>
      <c r="R518" s="37" t="s">
        <v>375</v>
      </c>
      <c r="S518" s="168">
        <v>1</v>
      </c>
    </row>
    <row r="519" spans="1:19" s="71" customFormat="1" ht="15" customHeight="1" x14ac:dyDescent="0.25">
      <c r="A519" s="236">
        <f t="shared" si="156"/>
        <v>109</v>
      </c>
      <c r="B519" s="236">
        <v>3417</v>
      </c>
      <c r="C519" s="233" t="s">
        <v>485</v>
      </c>
      <c r="D519" s="13">
        <v>1917</v>
      </c>
      <c r="E519" s="13" t="s">
        <v>95</v>
      </c>
      <c r="F519" s="13" t="s">
        <v>81</v>
      </c>
      <c r="G519" s="9">
        <v>975.5</v>
      </c>
      <c r="H519" s="9">
        <v>921.5</v>
      </c>
      <c r="I519" s="11">
        <v>35</v>
      </c>
      <c r="J519" s="9">
        <f>'Форма 2'!I1906</f>
        <v>67269.5</v>
      </c>
      <c r="K519" s="9">
        <v>0</v>
      </c>
      <c r="L519" s="9">
        <v>0</v>
      </c>
      <c r="M519" s="9">
        <v>0</v>
      </c>
      <c r="N519" s="9">
        <f t="shared" si="152"/>
        <v>66093.009999999995</v>
      </c>
      <c r="O519" s="9">
        <v>1176.49</v>
      </c>
      <c r="P519" s="9">
        <f t="shared" si="153"/>
        <v>73</v>
      </c>
      <c r="Q519" s="9">
        <f>'Форма 2'!K1906</f>
        <v>73</v>
      </c>
      <c r="R519" s="37" t="s">
        <v>375</v>
      </c>
      <c r="S519" s="168">
        <v>1</v>
      </c>
    </row>
    <row r="520" spans="1:19" s="71" customFormat="1" ht="15" customHeight="1" x14ac:dyDescent="0.25">
      <c r="A520" s="236">
        <f t="shared" si="156"/>
        <v>110</v>
      </c>
      <c r="B520" s="236">
        <v>4314</v>
      </c>
      <c r="C520" s="233" t="s">
        <v>598</v>
      </c>
      <c r="D520" s="13">
        <v>1995</v>
      </c>
      <c r="E520" s="13" t="s">
        <v>86</v>
      </c>
      <c r="F520" s="13" t="s">
        <v>82</v>
      </c>
      <c r="G520" s="9">
        <v>5431.51</v>
      </c>
      <c r="H520" s="9">
        <v>4047.51</v>
      </c>
      <c r="I520" s="11">
        <v>182</v>
      </c>
      <c r="J520" s="9">
        <f>'Форма 2'!I1908</f>
        <v>1808237.9</v>
      </c>
      <c r="K520" s="9">
        <v>0</v>
      </c>
      <c r="L520" s="9">
        <v>0</v>
      </c>
      <c r="M520" s="9">
        <v>0</v>
      </c>
      <c r="N520" s="9">
        <f>J520-K520-L520-M520-O520</f>
        <v>1776613.23</v>
      </c>
      <c r="O520" s="9">
        <v>31624.67</v>
      </c>
      <c r="P520" s="9">
        <f>J520/H520</f>
        <v>446.75</v>
      </c>
      <c r="Q520" s="9">
        <f>'Форма 2'!K1908</f>
        <v>565.67999999999995</v>
      </c>
      <c r="R520" s="37" t="s">
        <v>375</v>
      </c>
      <c r="S520" s="168">
        <v>1</v>
      </c>
    </row>
    <row r="521" spans="1:19" s="71" customFormat="1" ht="15" customHeight="1" x14ac:dyDescent="0.25">
      <c r="A521" s="236">
        <f>A520+1</f>
        <v>111</v>
      </c>
      <c r="B521" s="236">
        <v>4105</v>
      </c>
      <c r="C521" s="233" t="s">
        <v>599</v>
      </c>
      <c r="D521" s="13">
        <v>1994</v>
      </c>
      <c r="E521" s="13" t="s">
        <v>86</v>
      </c>
      <c r="F521" s="13" t="s">
        <v>82</v>
      </c>
      <c r="G521" s="9">
        <v>6081.4</v>
      </c>
      <c r="H521" s="9">
        <v>5483.6</v>
      </c>
      <c r="I521" s="11">
        <v>167</v>
      </c>
      <c r="J521" s="9">
        <f>'Форма 2'!I1911</f>
        <v>1870335.57</v>
      </c>
      <c r="K521" s="9">
        <v>0</v>
      </c>
      <c r="L521" s="9">
        <v>0</v>
      </c>
      <c r="M521" s="9">
        <v>0</v>
      </c>
      <c r="N521" s="9">
        <f>J521-K521-L521-M521-O521</f>
        <v>1837624.86</v>
      </c>
      <c r="O521" s="9">
        <v>32710.71</v>
      </c>
      <c r="P521" s="9">
        <f>J521/H521</f>
        <v>341.08</v>
      </c>
      <c r="Q521" s="9">
        <f>'Форма 2'!K1911</f>
        <v>457.98</v>
      </c>
      <c r="R521" s="37" t="s">
        <v>375</v>
      </c>
      <c r="S521" s="168">
        <v>1</v>
      </c>
    </row>
    <row r="522" spans="1:19" s="71" customFormat="1" ht="15.75" customHeight="1" x14ac:dyDescent="0.25">
      <c r="A522" s="236">
        <f>A521+1</f>
        <v>112</v>
      </c>
      <c r="B522" s="236">
        <v>8156</v>
      </c>
      <c r="C522" s="29" t="s">
        <v>215</v>
      </c>
      <c r="D522" s="13">
        <v>1983</v>
      </c>
      <c r="E522" s="13" t="s">
        <v>68</v>
      </c>
      <c r="F522" s="13" t="s">
        <v>82</v>
      </c>
      <c r="G522" s="9">
        <v>4327.3999999999996</v>
      </c>
      <c r="H522" s="9">
        <v>3902.7</v>
      </c>
      <c r="I522" s="11">
        <v>148</v>
      </c>
      <c r="J522" s="9">
        <f>'Форма 2'!I1914</f>
        <v>11610964.23</v>
      </c>
      <c r="K522" s="9">
        <v>0</v>
      </c>
      <c r="L522" s="9">
        <v>0</v>
      </c>
      <c r="M522" s="9">
        <v>0</v>
      </c>
      <c r="N522" s="9">
        <f t="shared" si="152"/>
        <v>11407897.51</v>
      </c>
      <c r="O522" s="9">
        <v>203066.72</v>
      </c>
      <c r="P522" s="9">
        <f t="shared" si="153"/>
        <v>2975.11</v>
      </c>
      <c r="Q522" s="9">
        <f>'Форма 2'!K1914</f>
        <v>3878</v>
      </c>
      <c r="R522" s="37" t="s">
        <v>375</v>
      </c>
      <c r="S522" s="168">
        <v>1</v>
      </c>
    </row>
    <row r="523" spans="1:19" s="71" customFormat="1" ht="15.75" customHeight="1" x14ac:dyDescent="0.25">
      <c r="A523" s="236">
        <f t="shared" si="156"/>
        <v>113</v>
      </c>
      <c r="B523" s="236">
        <v>3438</v>
      </c>
      <c r="C523" s="29" t="s">
        <v>216</v>
      </c>
      <c r="D523" s="13">
        <v>1980</v>
      </c>
      <c r="E523" s="13" t="s">
        <v>68</v>
      </c>
      <c r="F523" s="13" t="s">
        <v>82</v>
      </c>
      <c r="G523" s="9">
        <v>11134.22</v>
      </c>
      <c r="H523" s="9">
        <v>10071.02</v>
      </c>
      <c r="I523" s="11">
        <v>380</v>
      </c>
      <c r="J523" s="9">
        <f>'Форма 2'!I1917</f>
        <v>18517782.129999999</v>
      </c>
      <c r="K523" s="9">
        <v>0</v>
      </c>
      <c r="L523" s="9">
        <v>0</v>
      </c>
      <c r="M523" s="9">
        <v>0</v>
      </c>
      <c r="N523" s="9">
        <f t="shared" si="152"/>
        <v>18193920.550000001</v>
      </c>
      <c r="O523" s="9">
        <v>323861.58</v>
      </c>
      <c r="P523" s="9">
        <f t="shared" si="153"/>
        <v>1838.72</v>
      </c>
      <c r="Q523" s="9">
        <f>'Форма 2'!K1917</f>
        <v>2492</v>
      </c>
      <c r="R523" s="37" t="s">
        <v>375</v>
      </c>
      <c r="S523" s="168">
        <v>1</v>
      </c>
    </row>
    <row r="524" spans="1:19" s="71" customFormat="1" ht="15" customHeight="1" x14ac:dyDescent="0.25">
      <c r="A524" s="236">
        <f t="shared" si="156"/>
        <v>114</v>
      </c>
      <c r="B524" s="236">
        <v>4256</v>
      </c>
      <c r="C524" s="233" t="s">
        <v>648</v>
      </c>
      <c r="D524" s="13" t="s">
        <v>659</v>
      </c>
      <c r="E524" s="13" t="s">
        <v>86</v>
      </c>
      <c r="F524" s="13" t="s">
        <v>81</v>
      </c>
      <c r="G524" s="9">
        <v>5910.2</v>
      </c>
      <c r="H524" s="9">
        <v>5120</v>
      </c>
      <c r="I524" s="11">
        <v>193</v>
      </c>
      <c r="J524" s="9">
        <f>'Форма 2'!I1920</f>
        <v>32281</v>
      </c>
      <c r="K524" s="9">
        <v>0</v>
      </c>
      <c r="L524" s="9">
        <v>0</v>
      </c>
      <c r="M524" s="9">
        <v>0</v>
      </c>
      <c r="N524" s="9">
        <f t="shared" si="152"/>
        <v>31716.43</v>
      </c>
      <c r="O524" s="9">
        <v>564.57000000000005</v>
      </c>
      <c r="P524" s="9">
        <f t="shared" si="153"/>
        <v>6.3</v>
      </c>
      <c r="Q524" s="9">
        <f>'Форма 2'!K1920</f>
        <v>6.3</v>
      </c>
      <c r="R524" s="37" t="s">
        <v>375</v>
      </c>
      <c r="S524" s="168">
        <v>1</v>
      </c>
    </row>
    <row r="525" spans="1:19" s="71" customFormat="1" ht="15.75" customHeight="1" x14ac:dyDescent="0.25">
      <c r="A525" s="236">
        <f t="shared" si="156"/>
        <v>115</v>
      </c>
      <c r="B525" s="236">
        <v>3423</v>
      </c>
      <c r="C525" s="29" t="s">
        <v>374</v>
      </c>
      <c r="D525" s="13">
        <v>1997</v>
      </c>
      <c r="E525" s="13" t="s">
        <v>68</v>
      </c>
      <c r="F525" s="13" t="s">
        <v>81</v>
      </c>
      <c r="G525" s="9">
        <v>3867.81</v>
      </c>
      <c r="H525" s="9">
        <v>3421.41</v>
      </c>
      <c r="I525" s="11">
        <v>129</v>
      </c>
      <c r="J525" s="9">
        <f>'Форма 2'!I1922</f>
        <v>522363.77</v>
      </c>
      <c r="K525" s="9">
        <v>0</v>
      </c>
      <c r="L525" s="9">
        <v>0</v>
      </c>
      <c r="M525" s="9">
        <v>0</v>
      </c>
      <c r="N525" s="9">
        <f t="shared" si="152"/>
        <v>513228.03</v>
      </c>
      <c r="O525" s="9">
        <v>9135.74</v>
      </c>
      <c r="P525" s="9">
        <f t="shared" si="153"/>
        <v>152.66999999999999</v>
      </c>
      <c r="Q525" s="9">
        <f>'Форма 2'!K1922</f>
        <v>164</v>
      </c>
      <c r="R525" s="37" t="s">
        <v>375</v>
      </c>
      <c r="S525" s="168">
        <v>1</v>
      </c>
    </row>
    <row r="526" spans="1:19" s="71" customFormat="1" ht="15.75" customHeight="1" x14ac:dyDescent="0.25">
      <c r="A526" s="282" t="s">
        <v>111</v>
      </c>
      <c r="B526" s="282"/>
      <c r="C526" s="282"/>
      <c r="D526" s="13" t="s">
        <v>13</v>
      </c>
      <c r="E526" s="17" t="s">
        <v>13</v>
      </c>
      <c r="F526" s="17" t="s">
        <v>13</v>
      </c>
      <c r="G526" s="9">
        <f t="shared" ref="G526:O526" si="157">SUM(G527:G561)</f>
        <v>267035.24</v>
      </c>
      <c r="H526" s="9">
        <f t="shared" si="157"/>
        <v>221381.33</v>
      </c>
      <c r="I526" s="11">
        <f t="shared" si="157"/>
        <v>8063</v>
      </c>
      <c r="J526" s="9">
        <f t="shared" si="157"/>
        <v>209297073.44</v>
      </c>
      <c r="K526" s="9">
        <f t="shared" si="157"/>
        <v>0</v>
      </c>
      <c r="L526" s="9">
        <f t="shared" si="157"/>
        <v>0</v>
      </c>
      <c r="M526" s="9">
        <f t="shared" si="157"/>
        <v>0</v>
      </c>
      <c r="N526" s="9">
        <f t="shared" si="157"/>
        <v>205636630.66999999</v>
      </c>
      <c r="O526" s="9">
        <f t="shared" si="157"/>
        <v>3660442.77</v>
      </c>
      <c r="P526" s="17" t="s">
        <v>13</v>
      </c>
      <c r="Q526" s="17" t="s">
        <v>13</v>
      </c>
      <c r="R526" s="17" t="s">
        <v>13</v>
      </c>
      <c r="S526" s="236" t="s">
        <v>13</v>
      </c>
    </row>
    <row r="527" spans="1:19" s="71" customFormat="1" ht="15" customHeight="1" x14ac:dyDescent="0.25">
      <c r="A527" s="236">
        <f>A525+1</f>
        <v>116</v>
      </c>
      <c r="B527" s="236">
        <v>2292</v>
      </c>
      <c r="C527" s="233" t="s">
        <v>649</v>
      </c>
      <c r="D527" s="13">
        <v>1993</v>
      </c>
      <c r="E527" s="13" t="s">
        <v>68</v>
      </c>
      <c r="F527" s="13" t="s">
        <v>81</v>
      </c>
      <c r="G527" s="9">
        <v>2801.2</v>
      </c>
      <c r="H527" s="9">
        <v>2567.1999999999998</v>
      </c>
      <c r="I527" s="11">
        <v>97</v>
      </c>
      <c r="J527" s="9">
        <f>'Форма 2'!I1924</f>
        <v>302584.57</v>
      </c>
      <c r="K527" s="9">
        <v>0</v>
      </c>
      <c r="L527" s="9">
        <v>0</v>
      </c>
      <c r="M527" s="9">
        <v>0</v>
      </c>
      <c r="N527" s="9">
        <f t="shared" ref="N527" si="158">J527-K527-L527-M527-O527</f>
        <v>297292.59999999998</v>
      </c>
      <c r="O527" s="9">
        <v>5291.97</v>
      </c>
      <c r="P527" s="9">
        <f t="shared" ref="P527" si="159">J527/H527</f>
        <v>117.87</v>
      </c>
      <c r="Q527" s="9">
        <f>'Форма 2'!K1924</f>
        <v>169</v>
      </c>
      <c r="R527" s="37" t="s">
        <v>375</v>
      </c>
      <c r="S527" s="168">
        <v>1</v>
      </c>
    </row>
    <row r="528" spans="1:19" s="71" customFormat="1" ht="15.75" customHeight="1" x14ac:dyDescent="0.25">
      <c r="A528" s="236">
        <f>A527+1</f>
        <v>117</v>
      </c>
      <c r="B528" s="236">
        <v>2466</v>
      </c>
      <c r="C528" s="29" t="s">
        <v>537</v>
      </c>
      <c r="D528" s="13">
        <v>1966</v>
      </c>
      <c r="E528" s="13" t="s">
        <v>95</v>
      </c>
      <c r="F528" s="13" t="s">
        <v>82</v>
      </c>
      <c r="G528" s="9">
        <v>3317.9</v>
      </c>
      <c r="H528" s="9">
        <v>2580.6999999999998</v>
      </c>
      <c r="I528" s="11">
        <v>94</v>
      </c>
      <c r="J528" s="9">
        <f>'Форма 2'!I1926</f>
        <v>728837.19</v>
      </c>
      <c r="K528" s="9">
        <v>0</v>
      </c>
      <c r="L528" s="9">
        <v>0</v>
      </c>
      <c r="M528" s="9">
        <v>0</v>
      </c>
      <c r="N528" s="9">
        <f>J528-K528-L528-M528-O528</f>
        <v>716090.4</v>
      </c>
      <c r="O528" s="9">
        <v>12746.79</v>
      </c>
      <c r="P528" s="9">
        <f>J528/H528</f>
        <v>282.42</v>
      </c>
      <c r="Q528" s="9">
        <f>'Форма 2'!K1926</f>
        <v>362</v>
      </c>
      <c r="R528" s="37" t="s">
        <v>375</v>
      </c>
      <c r="S528" s="168">
        <v>1</v>
      </c>
    </row>
    <row r="529" spans="1:19" s="71" customFormat="1" ht="15.75" customHeight="1" x14ac:dyDescent="0.25">
      <c r="A529" s="236">
        <f>A528+1</f>
        <v>118</v>
      </c>
      <c r="B529" s="236">
        <v>2255</v>
      </c>
      <c r="C529" s="233" t="s">
        <v>600</v>
      </c>
      <c r="D529" s="13">
        <v>1994</v>
      </c>
      <c r="E529" s="13" t="s">
        <v>86</v>
      </c>
      <c r="F529" s="13" t="s">
        <v>82</v>
      </c>
      <c r="G529" s="9">
        <v>5784</v>
      </c>
      <c r="H529" s="9">
        <v>4870</v>
      </c>
      <c r="I529" s="11">
        <v>184</v>
      </c>
      <c r="J529" s="9">
        <f>'Форма 2'!I1929</f>
        <v>3622071.99</v>
      </c>
      <c r="K529" s="9">
        <v>0</v>
      </c>
      <c r="L529" s="9">
        <v>0</v>
      </c>
      <c r="M529" s="9">
        <v>0</v>
      </c>
      <c r="N529" s="9">
        <f t="shared" ref="N529" si="160">J529-K529-L529-M529-O529</f>
        <v>3558724.77</v>
      </c>
      <c r="O529" s="9">
        <v>63347.22</v>
      </c>
      <c r="P529" s="9">
        <f t="shared" ref="P529" si="161">J529/H529</f>
        <v>743.75</v>
      </c>
      <c r="Q529" s="9">
        <f>'Форма 2'!K1929</f>
        <v>940.29</v>
      </c>
      <c r="R529" s="37" t="s">
        <v>375</v>
      </c>
      <c r="S529" s="168">
        <v>1</v>
      </c>
    </row>
    <row r="530" spans="1:19" s="71" customFormat="1" ht="30" customHeight="1" x14ac:dyDescent="0.25">
      <c r="A530" s="236">
        <f>A529+1</f>
        <v>119</v>
      </c>
      <c r="B530" s="236">
        <v>2475</v>
      </c>
      <c r="C530" s="27" t="s">
        <v>650</v>
      </c>
      <c r="D530" s="251" t="s">
        <v>660</v>
      </c>
      <c r="E530" s="251" t="s">
        <v>86</v>
      </c>
      <c r="F530" s="251" t="s">
        <v>81</v>
      </c>
      <c r="G530" s="22">
        <v>20736.3</v>
      </c>
      <c r="H530" s="22">
        <v>16514.59</v>
      </c>
      <c r="I530" s="15">
        <v>604</v>
      </c>
      <c r="J530" s="22">
        <f>'Форма 2'!I1934</f>
        <v>96843</v>
      </c>
      <c r="K530" s="22">
        <v>0</v>
      </c>
      <c r="L530" s="22">
        <v>0</v>
      </c>
      <c r="M530" s="22">
        <v>0</v>
      </c>
      <c r="N530" s="22">
        <f t="shared" ref="N530:N533" si="162">J530-K530-L530-M530-O530</f>
        <v>95149.29</v>
      </c>
      <c r="O530" s="22">
        <v>1693.71</v>
      </c>
      <c r="P530" s="22">
        <f t="shared" ref="P530:P533" si="163">J530/H530</f>
        <v>5.86</v>
      </c>
      <c r="Q530" s="22">
        <f>'Форма 2'!K1934</f>
        <v>5.86</v>
      </c>
      <c r="R530" s="206" t="s">
        <v>375</v>
      </c>
      <c r="S530" s="168">
        <v>1</v>
      </c>
    </row>
    <row r="531" spans="1:19" s="71" customFormat="1" ht="15" customHeight="1" x14ac:dyDescent="0.25">
      <c r="A531" s="236">
        <f t="shared" ref="A531:A561" si="164">A530+1</f>
        <v>120</v>
      </c>
      <c r="B531" s="236">
        <v>3048</v>
      </c>
      <c r="C531" s="233" t="s">
        <v>601</v>
      </c>
      <c r="D531" s="13">
        <v>1991</v>
      </c>
      <c r="E531" s="13" t="s">
        <v>86</v>
      </c>
      <c r="F531" s="13" t="s">
        <v>82</v>
      </c>
      <c r="G531" s="9">
        <v>12899.3</v>
      </c>
      <c r="H531" s="9">
        <v>11324.3</v>
      </c>
      <c r="I531" s="11">
        <v>436</v>
      </c>
      <c r="J531" s="9">
        <f>'Форма 2'!I1938</f>
        <v>4579236</v>
      </c>
      <c r="K531" s="9">
        <v>0</v>
      </c>
      <c r="L531" s="9">
        <v>0</v>
      </c>
      <c r="M531" s="9">
        <v>0</v>
      </c>
      <c r="N531" s="9">
        <f t="shared" si="162"/>
        <v>4499148.7300000004</v>
      </c>
      <c r="O531" s="9">
        <v>80087.27</v>
      </c>
      <c r="P531" s="9">
        <f t="shared" si="163"/>
        <v>404.37</v>
      </c>
      <c r="Q531" s="9">
        <f>'Форма 2'!K1938</f>
        <v>404.37</v>
      </c>
      <c r="R531" s="37" t="s">
        <v>375</v>
      </c>
      <c r="S531" s="168">
        <v>1</v>
      </c>
    </row>
    <row r="532" spans="1:19" s="71" customFormat="1" ht="15" customHeight="1" x14ac:dyDescent="0.25">
      <c r="A532" s="236">
        <f t="shared" si="164"/>
        <v>121</v>
      </c>
      <c r="B532" s="236">
        <v>2405</v>
      </c>
      <c r="C532" s="233" t="s">
        <v>747</v>
      </c>
      <c r="D532" s="13">
        <v>1972</v>
      </c>
      <c r="E532" s="13" t="s">
        <v>68</v>
      </c>
      <c r="F532" s="13" t="s">
        <v>81</v>
      </c>
      <c r="G532" s="9">
        <v>4374.7</v>
      </c>
      <c r="H532" s="9">
        <v>3319.7</v>
      </c>
      <c r="I532" s="11">
        <v>126</v>
      </c>
      <c r="J532" s="9">
        <f>'Форма 2'!I1943</f>
        <v>597546</v>
      </c>
      <c r="K532" s="9">
        <v>0</v>
      </c>
      <c r="L532" s="9">
        <v>0</v>
      </c>
      <c r="M532" s="9">
        <v>0</v>
      </c>
      <c r="N532" s="9">
        <f t="shared" si="162"/>
        <v>587095.39</v>
      </c>
      <c r="O532" s="9">
        <v>10450.61</v>
      </c>
      <c r="P532" s="9">
        <f t="shared" si="163"/>
        <v>180</v>
      </c>
      <c r="Q532" s="9">
        <f>'Форма 2'!K1943</f>
        <v>180</v>
      </c>
      <c r="R532" s="37" t="s">
        <v>375</v>
      </c>
      <c r="S532" s="168">
        <v>1</v>
      </c>
    </row>
    <row r="533" spans="1:19" s="71" customFormat="1" ht="15" customHeight="1" x14ac:dyDescent="0.25">
      <c r="A533" s="236">
        <f t="shared" si="164"/>
        <v>122</v>
      </c>
      <c r="B533" s="236">
        <v>2406</v>
      </c>
      <c r="C533" s="233" t="s">
        <v>602</v>
      </c>
      <c r="D533" s="13">
        <v>1994</v>
      </c>
      <c r="E533" s="13" t="s">
        <v>86</v>
      </c>
      <c r="F533" s="13" t="s">
        <v>82</v>
      </c>
      <c r="G533" s="9">
        <v>4598</v>
      </c>
      <c r="H533" s="9">
        <v>3371</v>
      </c>
      <c r="I533" s="11">
        <v>104</v>
      </c>
      <c r="J533" s="9">
        <f>'Форма 2'!I1945</f>
        <v>1818725.35</v>
      </c>
      <c r="K533" s="9">
        <v>0</v>
      </c>
      <c r="L533" s="9">
        <v>0</v>
      </c>
      <c r="M533" s="9">
        <v>0</v>
      </c>
      <c r="N533" s="9">
        <f t="shared" si="162"/>
        <v>1786917.26</v>
      </c>
      <c r="O533" s="9">
        <v>31808.09</v>
      </c>
      <c r="P533" s="9">
        <f t="shared" si="163"/>
        <v>539.52</v>
      </c>
      <c r="Q533" s="9">
        <f>'Форма 2'!K1945</f>
        <v>679.21</v>
      </c>
      <c r="R533" s="37" t="s">
        <v>375</v>
      </c>
      <c r="S533" s="168">
        <v>1</v>
      </c>
    </row>
    <row r="534" spans="1:19" s="71" customFormat="1" ht="15.75" customHeight="1" x14ac:dyDescent="0.25">
      <c r="A534" s="236">
        <f t="shared" si="164"/>
        <v>123</v>
      </c>
      <c r="B534" s="236">
        <v>2235</v>
      </c>
      <c r="C534" s="29" t="s">
        <v>80</v>
      </c>
      <c r="D534" s="13">
        <v>1985</v>
      </c>
      <c r="E534" s="13" t="s">
        <v>112</v>
      </c>
      <c r="F534" s="13" t="s">
        <v>82</v>
      </c>
      <c r="G534" s="9">
        <v>4453.7</v>
      </c>
      <c r="H534" s="9">
        <v>4058.1</v>
      </c>
      <c r="I534" s="11">
        <v>131</v>
      </c>
      <c r="J534" s="9">
        <f>'Форма 2'!I1948</f>
        <v>23889155.219999999</v>
      </c>
      <c r="K534" s="9">
        <v>0</v>
      </c>
      <c r="L534" s="9">
        <v>0</v>
      </c>
      <c r="M534" s="9">
        <v>0</v>
      </c>
      <c r="N534" s="9">
        <f t="shared" ref="N534:N561" si="165">J534-K534-L534-M534-O534</f>
        <v>23471352.5</v>
      </c>
      <c r="O534" s="9">
        <v>417802.72</v>
      </c>
      <c r="P534" s="9">
        <f t="shared" ref="P534:P561" si="166">J534/H534</f>
        <v>5886.78</v>
      </c>
      <c r="Q534" s="9">
        <f>'Форма 2'!K1948</f>
        <v>7631</v>
      </c>
      <c r="R534" s="37" t="s">
        <v>375</v>
      </c>
      <c r="S534" s="168">
        <v>1</v>
      </c>
    </row>
    <row r="535" spans="1:19" s="71" customFormat="1" ht="15.75" customHeight="1" x14ac:dyDescent="0.25">
      <c r="A535" s="236">
        <f t="shared" si="164"/>
        <v>124</v>
      </c>
      <c r="B535" s="236">
        <v>2237</v>
      </c>
      <c r="C535" s="29" t="s">
        <v>541</v>
      </c>
      <c r="D535" s="13">
        <v>1971</v>
      </c>
      <c r="E535" s="13" t="s">
        <v>95</v>
      </c>
      <c r="F535" s="13" t="s">
        <v>82</v>
      </c>
      <c r="G535" s="9">
        <v>3617.3</v>
      </c>
      <c r="H535" s="9">
        <v>3373.3</v>
      </c>
      <c r="I535" s="11">
        <v>132</v>
      </c>
      <c r="J535" s="9">
        <f>'Форма 2'!I1953</f>
        <v>885487.64</v>
      </c>
      <c r="K535" s="9">
        <v>0</v>
      </c>
      <c r="L535" s="9">
        <v>0</v>
      </c>
      <c r="M535" s="9">
        <v>0</v>
      </c>
      <c r="N535" s="9">
        <f>J535-K535-L535-M535-O535</f>
        <v>870001.15</v>
      </c>
      <c r="O535" s="9">
        <v>15486.49</v>
      </c>
      <c r="P535" s="9">
        <f>J535/H535</f>
        <v>262.5</v>
      </c>
      <c r="Q535" s="9">
        <f>'Форма 2'!K1953</f>
        <v>407</v>
      </c>
      <c r="R535" s="37" t="s">
        <v>375</v>
      </c>
      <c r="S535" s="168">
        <v>1</v>
      </c>
    </row>
    <row r="536" spans="1:19" s="71" customFormat="1" ht="15.75" customHeight="1" x14ac:dyDescent="0.25">
      <c r="A536" s="236">
        <f t="shared" si="164"/>
        <v>125</v>
      </c>
      <c r="B536" s="236">
        <v>2414</v>
      </c>
      <c r="C536" s="29" t="s">
        <v>531</v>
      </c>
      <c r="D536" s="13">
        <v>1965</v>
      </c>
      <c r="E536" s="13" t="s">
        <v>95</v>
      </c>
      <c r="F536" s="13" t="s">
        <v>82</v>
      </c>
      <c r="G536" s="9">
        <v>4119.5</v>
      </c>
      <c r="H536" s="9">
        <v>3170.6</v>
      </c>
      <c r="I536" s="11">
        <v>111</v>
      </c>
      <c r="J536" s="9">
        <f>'Форма 2'!I1956</f>
        <v>876109.93</v>
      </c>
      <c r="K536" s="9">
        <v>0</v>
      </c>
      <c r="L536" s="9">
        <v>0</v>
      </c>
      <c r="M536" s="9">
        <v>0</v>
      </c>
      <c r="N536" s="9">
        <f t="shared" ref="N536" si="167">J536-K536-L536-M536-O536</f>
        <v>860787.45</v>
      </c>
      <c r="O536" s="9">
        <v>15322.48</v>
      </c>
      <c r="P536" s="9">
        <f t="shared" ref="P536" si="168">J536/H536</f>
        <v>276.32</v>
      </c>
      <c r="Q536" s="9">
        <f>'Форма 2'!K1956</f>
        <v>362</v>
      </c>
      <c r="R536" s="37" t="s">
        <v>375</v>
      </c>
      <c r="S536" s="168">
        <v>1</v>
      </c>
    </row>
    <row r="537" spans="1:19" s="71" customFormat="1" ht="15.75" customHeight="1" x14ac:dyDescent="0.25">
      <c r="A537" s="236">
        <f t="shared" si="164"/>
        <v>126</v>
      </c>
      <c r="B537" s="236">
        <v>2489</v>
      </c>
      <c r="C537" s="29" t="s">
        <v>217</v>
      </c>
      <c r="D537" s="13">
        <v>1984</v>
      </c>
      <c r="E537" s="13" t="s">
        <v>68</v>
      </c>
      <c r="F537" s="13" t="s">
        <v>82</v>
      </c>
      <c r="G537" s="9">
        <v>6623.8</v>
      </c>
      <c r="H537" s="9">
        <v>4971.3999999999996</v>
      </c>
      <c r="I537" s="11">
        <v>153</v>
      </c>
      <c r="J537" s="9">
        <f>'Форма 2'!I1959</f>
        <v>8972618.7899999991</v>
      </c>
      <c r="K537" s="9">
        <v>0</v>
      </c>
      <c r="L537" s="9">
        <v>0</v>
      </c>
      <c r="M537" s="9">
        <v>0</v>
      </c>
      <c r="N537" s="9">
        <f t="shared" si="165"/>
        <v>8815694.6799999997</v>
      </c>
      <c r="O537" s="9">
        <v>156924.10999999999</v>
      </c>
      <c r="P537" s="9">
        <f t="shared" si="166"/>
        <v>1804.85</v>
      </c>
      <c r="Q537" s="9">
        <f>'Форма 2'!K1959</f>
        <v>2492</v>
      </c>
      <c r="R537" s="37" t="s">
        <v>375</v>
      </c>
      <c r="S537" s="168">
        <v>1</v>
      </c>
    </row>
    <row r="538" spans="1:19" s="71" customFormat="1" ht="15.75" customHeight="1" x14ac:dyDescent="0.25">
      <c r="A538" s="236">
        <f t="shared" si="164"/>
        <v>127</v>
      </c>
      <c r="B538" s="236">
        <v>2239</v>
      </c>
      <c r="C538" s="29" t="s">
        <v>218</v>
      </c>
      <c r="D538" s="13">
        <v>1989</v>
      </c>
      <c r="E538" s="13" t="s">
        <v>363</v>
      </c>
      <c r="F538" s="13" t="s">
        <v>82</v>
      </c>
      <c r="G538" s="9">
        <v>5087.6000000000004</v>
      </c>
      <c r="H538" s="9">
        <v>4698.6000000000004</v>
      </c>
      <c r="I538" s="11">
        <v>178</v>
      </c>
      <c r="J538" s="9">
        <f>'Форма 2'!I1962</f>
        <v>38222905.960000001</v>
      </c>
      <c r="K538" s="9">
        <v>0</v>
      </c>
      <c r="L538" s="9">
        <v>0</v>
      </c>
      <c r="M538" s="9">
        <v>0</v>
      </c>
      <c r="N538" s="9">
        <f t="shared" si="165"/>
        <v>37554417.119999997</v>
      </c>
      <c r="O538" s="9">
        <v>668488.84</v>
      </c>
      <c r="P538" s="9">
        <f t="shared" si="166"/>
        <v>8134.96</v>
      </c>
      <c r="Q538" s="9">
        <f>'Форма 2'!K1962</f>
        <v>11509</v>
      </c>
      <c r="R538" s="37" t="s">
        <v>375</v>
      </c>
      <c r="S538" s="168">
        <v>1</v>
      </c>
    </row>
    <row r="539" spans="1:19" s="71" customFormat="1" ht="15.75" customHeight="1" x14ac:dyDescent="0.25">
      <c r="A539" s="236">
        <f t="shared" si="164"/>
        <v>128</v>
      </c>
      <c r="B539" s="236">
        <v>2422</v>
      </c>
      <c r="C539" s="29" t="s">
        <v>219</v>
      </c>
      <c r="D539" s="13">
        <v>1987</v>
      </c>
      <c r="E539" s="13" t="s">
        <v>89</v>
      </c>
      <c r="F539" s="13" t="s">
        <v>82</v>
      </c>
      <c r="G539" s="9">
        <v>7977.9</v>
      </c>
      <c r="H539" s="9">
        <v>6824.1</v>
      </c>
      <c r="I539" s="11">
        <v>297</v>
      </c>
      <c r="J539" s="9">
        <f>'Форма 2'!I1969</f>
        <v>14035558.970000001</v>
      </c>
      <c r="K539" s="9">
        <v>0</v>
      </c>
      <c r="L539" s="9">
        <v>0</v>
      </c>
      <c r="M539" s="9">
        <v>0</v>
      </c>
      <c r="N539" s="9">
        <f t="shared" si="165"/>
        <v>13790087.98</v>
      </c>
      <c r="O539" s="9">
        <v>245470.99</v>
      </c>
      <c r="P539" s="9">
        <f t="shared" si="166"/>
        <v>2056.7600000000002</v>
      </c>
      <c r="Q539" s="9">
        <f>'Форма 2'!K1969</f>
        <v>2341</v>
      </c>
      <c r="R539" s="37" t="s">
        <v>375</v>
      </c>
      <c r="S539" s="168">
        <v>1</v>
      </c>
    </row>
    <row r="540" spans="1:19" s="71" customFormat="1" ht="15" customHeight="1" x14ac:dyDescent="0.25">
      <c r="A540" s="236">
        <f t="shared" si="164"/>
        <v>129</v>
      </c>
      <c r="B540" s="236">
        <v>2243</v>
      </c>
      <c r="C540" s="233" t="s">
        <v>651</v>
      </c>
      <c r="D540" s="13">
        <v>1996</v>
      </c>
      <c r="E540" s="13" t="s">
        <v>86</v>
      </c>
      <c r="F540" s="13" t="s">
        <v>81</v>
      </c>
      <c r="G540" s="9">
        <v>13863</v>
      </c>
      <c r="H540" s="9">
        <v>13145.2</v>
      </c>
      <c r="I540" s="11">
        <v>344</v>
      </c>
      <c r="J540" s="9">
        <f>'Форма 2'!I1972</f>
        <v>193686</v>
      </c>
      <c r="K540" s="9">
        <v>0</v>
      </c>
      <c r="L540" s="9">
        <v>0</v>
      </c>
      <c r="M540" s="9">
        <v>0</v>
      </c>
      <c r="N540" s="9">
        <f>J540-K540-L540-M540-O540</f>
        <v>190298.58</v>
      </c>
      <c r="O540" s="9">
        <v>3387.42</v>
      </c>
      <c r="P540" s="9">
        <f>J540/H540</f>
        <v>14.73</v>
      </c>
      <c r="Q540" s="9">
        <f>'Форма 2'!K1972</f>
        <v>14.73</v>
      </c>
      <c r="R540" s="37" t="s">
        <v>375</v>
      </c>
      <c r="S540" s="168">
        <v>1</v>
      </c>
    </row>
    <row r="541" spans="1:19" s="71" customFormat="1" ht="15" customHeight="1" x14ac:dyDescent="0.25">
      <c r="A541" s="236">
        <f>A540+1</f>
        <v>130</v>
      </c>
      <c r="B541" s="236">
        <v>2245</v>
      </c>
      <c r="C541" s="233" t="s">
        <v>603</v>
      </c>
      <c r="D541" s="13">
        <v>1994</v>
      </c>
      <c r="E541" s="13" t="s">
        <v>86</v>
      </c>
      <c r="F541" s="13" t="s">
        <v>82</v>
      </c>
      <c r="G541" s="9">
        <v>8632.7999999999993</v>
      </c>
      <c r="H541" s="9">
        <v>7261.8</v>
      </c>
      <c r="I541" s="11">
        <v>274</v>
      </c>
      <c r="J541" s="9">
        <f>'Форма 2'!I1979</f>
        <v>5060082.8600000003</v>
      </c>
      <c r="K541" s="9">
        <v>0</v>
      </c>
      <c r="L541" s="9">
        <v>0</v>
      </c>
      <c r="M541" s="9">
        <v>0</v>
      </c>
      <c r="N541" s="9">
        <f t="shared" ref="N541" si="169">J541-K541-L541-M541-O541</f>
        <v>4971585.95</v>
      </c>
      <c r="O541" s="9">
        <v>88496.91</v>
      </c>
      <c r="P541" s="9">
        <f t="shared" ref="P541" si="170">J541/H541</f>
        <v>696.81</v>
      </c>
      <c r="Q541" s="9">
        <f>'Форма 2'!K1979</f>
        <v>945.9</v>
      </c>
      <c r="R541" s="37" t="s">
        <v>375</v>
      </c>
      <c r="S541" s="168">
        <v>1</v>
      </c>
    </row>
    <row r="542" spans="1:19" s="71" customFormat="1" ht="15" customHeight="1" x14ac:dyDescent="0.25">
      <c r="A542" s="236">
        <f>A541+1</f>
        <v>131</v>
      </c>
      <c r="B542" s="236">
        <v>2276</v>
      </c>
      <c r="C542" s="233" t="s">
        <v>547</v>
      </c>
      <c r="D542" s="13">
        <v>1966</v>
      </c>
      <c r="E542" s="13" t="s">
        <v>68</v>
      </c>
      <c r="F542" s="13" t="s">
        <v>81</v>
      </c>
      <c r="G542" s="9">
        <v>3830.95</v>
      </c>
      <c r="H542" s="9">
        <v>3594.95</v>
      </c>
      <c r="I542" s="11">
        <v>136</v>
      </c>
      <c r="J542" s="9">
        <f>'Форма 2'!I1986</f>
        <v>647091</v>
      </c>
      <c r="K542" s="9">
        <v>0</v>
      </c>
      <c r="L542" s="9">
        <v>0</v>
      </c>
      <c r="M542" s="9">
        <v>0</v>
      </c>
      <c r="N542" s="9">
        <f>J542-K542-L542-M542-O542</f>
        <v>635773.88</v>
      </c>
      <c r="O542" s="9">
        <v>11317.12</v>
      </c>
      <c r="P542" s="9">
        <f>J542/H542</f>
        <v>180</v>
      </c>
      <c r="Q542" s="9">
        <f>'Форма 2'!K1986</f>
        <v>180</v>
      </c>
      <c r="R542" s="37" t="s">
        <v>375</v>
      </c>
      <c r="S542" s="168">
        <v>1</v>
      </c>
    </row>
    <row r="543" spans="1:19" s="71" customFormat="1" ht="15" customHeight="1" x14ac:dyDescent="0.25">
      <c r="A543" s="236">
        <f>A542+1</f>
        <v>132</v>
      </c>
      <c r="B543" s="236">
        <v>2289</v>
      </c>
      <c r="C543" s="233" t="s">
        <v>604</v>
      </c>
      <c r="D543" s="13">
        <v>1994</v>
      </c>
      <c r="E543" s="13" t="s">
        <v>86</v>
      </c>
      <c r="F543" s="13" t="s">
        <v>82</v>
      </c>
      <c r="G543" s="9">
        <v>4595.8999999999996</v>
      </c>
      <c r="H543" s="9">
        <v>3975.9</v>
      </c>
      <c r="I543" s="11">
        <v>150</v>
      </c>
      <c r="J543" s="9">
        <f>'Форма 2'!I1988</f>
        <v>3544098.4</v>
      </c>
      <c r="K543" s="9">
        <v>0</v>
      </c>
      <c r="L543" s="9">
        <v>0</v>
      </c>
      <c r="M543" s="9">
        <v>0</v>
      </c>
      <c r="N543" s="9">
        <f>J543-K543-L543-M543-O543</f>
        <v>3482114.88</v>
      </c>
      <c r="O543" s="9">
        <v>61983.519999999997</v>
      </c>
      <c r="P543" s="9">
        <f>J543/H543</f>
        <v>891.4</v>
      </c>
      <c r="Q543" s="9">
        <f>'Форма 2'!K1988</f>
        <v>1151.76</v>
      </c>
      <c r="R543" s="37" t="s">
        <v>375</v>
      </c>
      <c r="S543" s="168">
        <v>1</v>
      </c>
    </row>
    <row r="544" spans="1:19" s="71" customFormat="1" ht="31.5" customHeight="1" x14ac:dyDescent="0.25">
      <c r="A544" s="236">
        <f t="shared" si="164"/>
        <v>133</v>
      </c>
      <c r="B544" s="236">
        <v>2163</v>
      </c>
      <c r="C544" s="252" t="s">
        <v>221</v>
      </c>
      <c r="D544" s="251" t="s">
        <v>277</v>
      </c>
      <c r="E544" s="251" t="s">
        <v>661</v>
      </c>
      <c r="F544" s="251" t="s">
        <v>82</v>
      </c>
      <c r="G544" s="22">
        <v>14853.3</v>
      </c>
      <c r="H544" s="22">
        <v>13205.4</v>
      </c>
      <c r="I544" s="15">
        <v>689</v>
      </c>
      <c r="J544" s="22">
        <f>'Форма 2'!I1993</f>
        <v>18707576.390000001</v>
      </c>
      <c r="K544" s="22">
        <v>0</v>
      </c>
      <c r="L544" s="22">
        <v>0</v>
      </c>
      <c r="M544" s="22">
        <v>0</v>
      </c>
      <c r="N544" s="22">
        <f t="shared" si="165"/>
        <v>18380395.449999999</v>
      </c>
      <c r="O544" s="22">
        <v>327180.94</v>
      </c>
      <c r="P544" s="22">
        <f t="shared" si="166"/>
        <v>1416.66</v>
      </c>
      <c r="Q544" s="22">
        <f>'Форма 2'!K1993</f>
        <v>2008.35</v>
      </c>
      <c r="R544" s="206" t="s">
        <v>375</v>
      </c>
      <c r="S544" s="168">
        <v>1</v>
      </c>
    </row>
    <row r="545" spans="1:19" s="71" customFormat="1" ht="15.75" customHeight="1" x14ac:dyDescent="0.25">
      <c r="A545" s="236">
        <f t="shared" si="164"/>
        <v>134</v>
      </c>
      <c r="B545" s="236">
        <v>2438</v>
      </c>
      <c r="C545" s="29" t="s">
        <v>222</v>
      </c>
      <c r="D545" s="13">
        <v>1981</v>
      </c>
      <c r="E545" s="13" t="s">
        <v>68</v>
      </c>
      <c r="F545" s="13" t="s">
        <v>114</v>
      </c>
      <c r="G545" s="9">
        <v>2923.7</v>
      </c>
      <c r="H545" s="9">
        <v>2631.7</v>
      </c>
      <c r="I545" s="11">
        <v>90</v>
      </c>
      <c r="J545" s="9">
        <f>'Форма 2'!I2000</f>
        <v>4955616.49</v>
      </c>
      <c r="K545" s="9">
        <v>0</v>
      </c>
      <c r="L545" s="9">
        <v>0</v>
      </c>
      <c r="M545" s="9">
        <v>0</v>
      </c>
      <c r="N545" s="9">
        <f t="shared" si="165"/>
        <v>4868946.62</v>
      </c>
      <c r="O545" s="9">
        <v>86669.87</v>
      </c>
      <c r="P545" s="9">
        <f t="shared" si="166"/>
        <v>1883.05</v>
      </c>
      <c r="Q545" s="9">
        <f>'Форма 2'!K2000</f>
        <v>3749</v>
      </c>
      <c r="R545" s="37" t="s">
        <v>375</v>
      </c>
      <c r="S545" s="168">
        <v>1</v>
      </c>
    </row>
    <row r="546" spans="1:19" s="71" customFormat="1" ht="15.75" customHeight="1" x14ac:dyDescent="0.25">
      <c r="A546" s="236">
        <f t="shared" si="164"/>
        <v>135</v>
      </c>
      <c r="B546" s="236">
        <v>2772</v>
      </c>
      <c r="C546" s="233" t="s">
        <v>748</v>
      </c>
      <c r="D546" s="13">
        <v>1990</v>
      </c>
      <c r="E546" s="13" t="s">
        <v>89</v>
      </c>
      <c r="F546" s="13" t="s">
        <v>81</v>
      </c>
      <c r="G546" s="9">
        <v>1091.5999999999999</v>
      </c>
      <c r="H546" s="9">
        <v>986.6</v>
      </c>
      <c r="I546" s="11">
        <v>37</v>
      </c>
      <c r="J546" s="9">
        <f>'Форма 2'!I2003</f>
        <v>135164.20000000001</v>
      </c>
      <c r="K546" s="9">
        <v>0</v>
      </c>
      <c r="L546" s="9">
        <v>0</v>
      </c>
      <c r="M546" s="9">
        <v>0</v>
      </c>
      <c r="N546" s="9">
        <f t="shared" si="165"/>
        <v>132800.28</v>
      </c>
      <c r="O546" s="9">
        <v>2363.92</v>
      </c>
      <c r="P546" s="9">
        <f t="shared" si="166"/>
        <v>137</v>
      </c>
      <c r="Q546" s="9">
        <f>'Форма 2'!K2003</f>
        <v>137</v>
      </c>
      <c r="R546" s="37" t="s">
        <v>375</v>
      </c>
      <c r="S546" s="168">
        <v>1</v>
      </c>
    </row>
    <row r="547" spans="1:19" s="71" customFormat="1" ht="15.75" customHeight="1" x14ac:dyDescent="0.25">
      <c r="A547" s="236">
        <f t="shared" si="164"/>
        <v>136</v>
      </c>
      <c r="B547" s="236">
        <v>2297</v>
      </c>
      <c r="C547" s="233" t="s">
        <v>605</v>
      </c>
      <c r="D547" s="13">
        <v>1995</v>
      </c>
      <c r="E547" s="13" t="s">
        <v>86</v>
      </c>
      <c r="F547" s="13" t="s">
        <v>82</v>
      </c>
      <c r="G547" s="9">
        <v>6636.5</v>
      </c>
      <c r="H547" s="9">
        <v>6000.5</v>
      </c>
      <c r="I547" s="11">
        <v>227</v>
      </c>
      <c r="J547" s="9">
        <f>'Форма 2'!I2005</f>
        <v>3571996.09</v>
      </c>
      <c r="K547" s="9">
        <v>0</v>
      </c>
      <c r="L547" s="9">
        <v>0</v>
      </c>
      <c r="M547" s="9">
        <v>0</v>
      </c>
      <c r="N547" s="9">
        <f t="shared" si="165"/>
        <v>3509524.66</v>
      </c>
      <c r="O547" s="9">
        <v>62471.43</v>
      </c>
      <c r="P547" s="9">
        <f t="shared" si="166"/>
        <v>595.28</v>
      </c>
      <c r="Q547" s="9">
        <f>'Форма 2'!K2005</f>
        <v>763.14</v>
      </c>
      <c r="R547" s="37" t="s">
        <v>375</v>
      </c>
      <c r="S547" s="168">
        <v>1</v>
      </c>
    </row>
    <row r="548" spans="1:19" s="71" customFormat="1" ht="15.75" customHeight="1" x14ac:dyDescent="0.25">
      <c r="A548" s="236">
        <f t="shared" si="164"/>
        <v>137</v>
      </c>
      <c r="B548" s="236">
        <v>2450</v>
      </c>
      <c r="C548" s="233" t="s">
        <v>749</v>
      </c>
      <c r="D548" s="13">
        <v>1968</v>
      </c>
      <c r="E548" s="13" t="s">
        <v>95</v>
      </c>
      <c r="F548" s="13" t="s">
        <v>81</v>
      </c>
      <c r="G548" s="9">
        <v>4774.5</v>
      </c>
      <c r="H548" s="9">
        <v>3907</v>
      </c>
      <c r="I548" s="11">
        <v>105</v>
      </c>
      <c r="J548" s="9">
        <f>'Форма 2'!I2010</f>
        <v>93768</v>
      </c>
      <c r="K548" s="9">
        <v>0</v>
      </c>
      <c r="L548" s="9">
        <v>0</v>
      </c>
      <c r="M548" s="9">
        <v>0</v>
      </c>
      <c r="N548" s="9">
        <f t="shared" si="165"/>
        <v>92128.07</v>
      </c>
      <c r="O548" s="9">
        <v>1639.93</v>
      </c>
      <c r="P548" s="9">
        <f t="shared" si="166"/>
        <v>24</v>
      </c>
      <c r="Q548" s="9">
        <f>'Форма 2'!K2010</f>
        <v>24</v>
      </c>
      <c r="R548" s="37" t="s">
        <v>375</v>
      </c>
      <c r="S548" s="168">
        <v>1</v>
      </c>
    </row>
    <row r="549" spans="1:19" s="71" customFormat="1" ht="15.75" customHeight="1" x14ac:dyDescent="0.25">
      <c r="A549" s="236">
        <f t="shared" si="164"/>
        <v>138</v>
      </c>
      <c r="B549" s="236">
        <v>2454</v>
      </c>
      <c r="C549" s="29" t="s">
        <v>153</v>
      </c>
      <c r="D549" s="13">
        <v>1980</v>
      </c>
      <c r="E549" s="13" t="s">
        <v>68</v>
      </c>
      <c r="F549" s="13" t="s">
        <v>114</v>
      </c>
      <c r="G549" s="9">
        <v>5451.1</v>
      </c>
      <c r="H549" s="9">
        <v>3959.3</v>
      </c>
      <c r="I549" s="11">
        <v>178</v>
      </c>
      <c r="J549" s="9">
        <f>'Форма 2'!I2012</f>
        <v>7768792.21</v>
      </c>
      <c r="K549" s="9">
        <v>0</v>
      </c>
      <c r="L549" s="9">
        <v>0</v>
      </c>
      <c r="M549" s="9">
        <v>0</v>
      </c>
      <c r="N549" s="9">
        <f t="shared" si="165"/>
        <v>7632922.0899999999</v>
      </c>
      <c r="O549" s="9">
        <v>135870.12</v>
      </c>
      <c r="P549" s="9">
        <f t="shared" si="166"/>
        <v>1962.16</v>
      </c>
      <c r="Q549" s="9">
        <f>'Форма 2'!K2012</f>
        <v>3878</v>
      </c>
      <c r="R549" s="37" t="s">
        <v>375</v>
      </c>
      <c r="S549" s="168">
        <v>1</v>
      </c>
    </row>
    <row r="550" spans="1:19" s="71" customFormat="1" ht="15.75" customHeight="1" x14ac:dyDescent="0.25">
      <c r="A550" s="236">
        <f t="shared" si="164"/>
        <v>139</v>
      </c>
      <c r="B550" s="236">
        <v>2303</v>
      </c>
      <c r="C550" s="29" t="s">
        <v>156</v>
      </c>
      <c r="D550" s="13">
        <v>1976</v>
      </c>
      <c r="E550" s="13" t="s">
        <v>68</v>
      </c>
      <c r="F550" s="13" t="s">
        <v>82</v>
      </c>
      <c r="G550" s="9">
        <v>14384.1</v>
      </c>
      <c r="H550" s="9">
        <v>12308.1</v>
      </c>
      <c r="I550" s="11">
        <v>520</v>
      </c>
      <c r="J550" s="9">
        <f>'Форма 2'!I2015</f>
        <v>5412242.3799999999</v>
      </c>
      <c r="K550" s="9">
        <v>0</v>
      </c>
      <c r="L550" s="9">
        <v>0</v>
      </c>
      <c r="M550" s="9">
        <v>0</v>
      </c>
      <c r="N550" s="9">
        <f t="shared" si="165"/>
        <v>5317586.4800000004</v>
      </c>
      <c r="O550" s="9">
        <v>94655.9</v>
      </c>
      <c r="P550" s="9">
        <f t="shared" si="166"/>
        <v>439.73</v>
      </c>
      <c r="Q550" s="9">
        <f>'Форма 2'!K2015</f>
        <v>2492</v>
      </c>
      <c r="R550" s="37" t="s">
        <v>375</v>
      </c>
      <c r="S550" s="168">
        <v>1</v>
      </c>
    </row>
    <row r="551" spans="1:19" s="71" customFormat="1" ht="15.75" customHeight="1" x14ac:dyDescent="0.25">
      <c r="A551" s="236">
        <f t="shared" si="164"/>
        <v>140</v>
      </c>
      <c r="B551" s="236">
        <v>2983</v>
      </c>
      <c r="C551" s="29" t="s">
        <v>540</v>
      </c>
      <c r="D551" s="13">
        <v>1961</v>
      </c>
      <c r="E551" s="13" t="s">
        <v>95</v>
      </c>
      <c r="F551" s="13" t="s">
        <v>82</v>
      </c>
      <c r="G551" s="9">
        <v>974</v>
      </c>
      <c r="H551" s="9">
        <v>933.8</v>
      </c>
      <c r="I551" s="11">
        <v>37</v>
      </c>
      <c r="J551" s="9">
        <f>'Форма 2'!I2018</f>
        <v>338035.6</v>
      </c>
      <c r="K551" s="9">
        <v>0</v>
      </c>
      <c r="L551" s="9">
        <v>0</v>
      </c>
      <c r="M551" s="9">
        <v>0</v>
      </c>
      <c r="N551" s="9">
        <f t="shared" si="165"/>
        <v>332123.62</v>
      </c>
      <c r="O551" s="9">
        <v>5911.98</v>
      </c>
      <c r="P551" s="9">
        <f t="shared" si="166"/>
        <v>362</v>
      </c>
      <c r="Q551" s="9">
        <f>'Форма 2'!K2018</f>
        <v>362</v>
      </c>
      <c r="R551" s="37" t="s">
        <v>375</v>
      </c>
      <c r="S551" s="168">
        <v>1</v>
      </c>
    </row>
    <row r="552" spans="1:19" s="71" customFormat="1" ht="15" customHeight="1" x14ac:dyDescent="0.25">
      <c r="A552" s="236">
        <f t="shared" si="164"/>
        <v>141</v>
      </c>
      <c r="B552" s="236">
        <v>2374</v>
      </c>
      <c r="C552" s="233" t="s">
        <v>607</v>
      </c>
      <c r="D552" s="13">
        <v>1993</v>
      </c>
      <c r="E552" s="13" t="s">
        <v>86</v>
      </c>
      <c r="F552" s="13" t="s">
        <v>82</v>
      </c>
      <c r="G552" s="9">
        <v>19028.7</v>
      </c>
      <c r="H552" s="9">
        <v>16028.7</v>
      </c>
      <c r="I552" s="11">
        <v>568</v>
      </c>
      <c r="J552" s="9">
        <f>'Форма 2'!I2021</f>
        <v>16027326</v>
      </c>
      <c r="K552" s="9">
        <v>0</v>
      </c>
      <c r="L552" s="9">
        <v>0</v>
      </c>
      <c r="M552" s="9">
        <v>0</v>
      </c>
      <c r="N552" s="9">
        <f t="shared" si="165"/>
        <v>15747020.550000001</v>
      </c>
      <c r="O552" s="9">
        <v>280305.45</v>
      </c>
      <c r="P552" s="9">
        <f t="shared" si="166"/>
        <v>999.91</v>
      </c>
      <c r="Q552" s="9">
        <f>'Форма 2'!K2021</f>
        <v>999.91</v>
      </c>
      <c r="R552" s="37" t="s">
        <v>375</v>
      </c>
      <c r="S552" s="168">
        <v>1</v>
      </c>
    </row>
    <row r="553" spans="1:19" s="71" customFormat="1" ht="15" customHeight="1" x14ac:dyDescent="0.25">
      <c r="A553" s="236">
        <f t="shared" si="164"/>
        <v>142</v>
      </c>
      <c r="B553" s="236">
        <v>2389</v>
      </c>
      <c r="C553" s="233" t="s">
        <v>608</v>
      </c>
      <c r="D553" s="13">
        <v>1996</v>
      </c>
      <c r="E553" s="13" t="s">
        <v>86</v>
      </c>
      <c r="F553" s="13" t="s">
        <v>82</v>
      </c>
      <c r="G553" s="9">
        <v>13756.89</v>
      </c>
      <c r="H553" s="9">
        <v>11256.89</v>
      </c>
      <c r="I553" s="11">
        <v>298</v>
      </c>
      <c r="J553" s="9">
        <f>'Форма 2'!I2036</f>
        <v>11448090</v>
      </c>
      <c r="K553" s="9">
        <v>0</v>
      </c>
      <c r="L553" s="9">
        <v>0</v>
      </c>
      <c r="M553" s="9">
        <v>0</v>
      </c>
      <c r="N553" s="9">
        <f t="shared" si="165"/>
        <v>11247871.82</v>
      </c>
      <c r="O553" s="9">
        <v>200218.18</v>
      </c>
      <c r="P553" s="9">
        <f t="shared" si="166"/>
        <v>1016.99</v>
      </c>
      <c r="Q553" s="9">
        <f>'Форма 2'!K2036</f>
        <v>1016.99</v>
      </c>
      <c r="R553" s="37" t="s">
        <v>375</v>
      </c>
      <c r="S553" s="168">
        <v>1</v>
      </c>
    </row>
    <row r="554" spans="1:19" s="71" customFormat="1" ht="15" customHeight="1" x14ac:dyDescent="0.25">
      <c r="A554" s="236">
        <f t="shared" si="164"/>
        <v>143</v>
      </c>
      <c r="B554" s="236">
        <v>2375</v>
      </c>
      <c r="C554" s="233" t="s">
        <v>750</v>
      </c>
      <c r="D554" s="13">
        <v>2010</v>
      </c>
      <c r="E554" s="13" t="s">
        <v>68</v>
      </c>
      <c r="F554" s="13" t="s">
        <v>81</v>
      </c>
      <c r="G554" s="9">
        <v>4006.1</v>
      </c>
      <c r="H554" s="9">
        <v>3026.3</v>
      </c>
      <c r="I554" s="11">
        <v>114</v>
      </c>
      <c r="J554" s="9">
        <f>'Форма 2'!I2047</f>
        <v>550786.6</v>
      </c>
      <c r="K554" s="9">
        <v>0</v>
      </c>
      <c r="L554" s="9">
        <v>0</v>
      </c>
      <c r="M554" s="9">
        <v>0</v>
      </c>
      <c r="N554" s="9">
        <f t="shared" si="165"/>
        <v>541153.77</v>
      </c>
      <c r="O554" s="9">
        <v>9632.83</v>
      </c>
      <c r="P554" s="9">
        <f t="shared" si="166"/>
        <v>182</v>
      </c>
      <c r="Q554" s="9">
        <f>'Форма 2'!K2047</f>
        <v>182</v>
      </c>
      <c r="R554" s="37" t="s">
        <v>375</v>
      </c>
      <c r="S554" s="168">
        <v>1</v>
      </c>
    </row>
    <row r="555" spans="1:19" s="71" customFormat="1" ht="15" customHeight="1" x14ac:dyDescent="0.25">
      <c r="A555" s="236">
        <f t="shared" si="164"/>
        <v>144</v>
      </c>
      <c r="B555" s="236">
        <v>2392</v>
      </c>
      <c r="C555" s="233" t="s">
        <v>609</v>
      </c>
      <c r="D555" s="13">
        <v>1993</v>
      </c>
      <c r="E555" s="13" t="s">
        <v>86</v>
      </c>
      <c r="F555" s="13" t="s">
        <v>82</v>
      </c>
      <c r="G555" s="9">
        <v>31834.1</v>
      </c>
      <c r="H555" s="9">
        <v>24130</v>
      </c>
      <c r="I555" s="11">
        <v>853</v>
      </c>
      <c r="J555" s="9">
        <f>'Форма 2'!I2049</f>
        <v>25185798</v>
      </c>
      <c r="K555" s="9">
        <v>0</v>
      </c>
      <c r="L555" s="9">
        <v>0</v>
      </c>
      <c r="M555" s="9">
        <v>0</v>
      </c>
      <c r="N555" s="9">
        <f>J555-K555-L555-M555-O555</f>
        <v>24745318.02</v>
      </c>
      <c r="O555" s="9">
        <v>440479.98</v>
      </c>
      <c r="P555" s="9">
        <f>J555/H555</f>
        <v>1043.75</v>
      </c>
      <c r="Q555" s="9">
        <f>'Форма 2'!K2049</f>
        <v>1043.75</v>
      </c>
      <c r="R555" s="37" t="s">
        <v>375</v>
      </c>
      <c r="S555" s="168">
        <v>1</v>
      </c>
    </row>
    <row r="556" spans="1:19" s="71" customFormat="1" ht="15" customHeight="1" x14ac:dyDescent="0.25">
      <c r="A556" s="236">
        <f t="shared" si="164"/>
        <v>145</v>
      </c>
      <c r="B556" s="236">
        <v>2394</v>
      </c>
      <c r="C556" s="233" t="s">
        <v>613</v>
      </c>
      <c r="D556" s="13">
        <v>1994</v>
      </c>
      <c r="E556" s="13" t="s">
        <v>86</v>
      </c>
      <c r="F556" s="13" t="s">
        <v>82</v>
      </c>
      <c r="G556" s="9">
        <v>6001.5</v>
      </c>
      <c r="H556" s="9">
        <v>4486.8</v>
      </c>
      <c r="I556" s="11">
        <v>131</v>
      </c>
      <c r="J556" s="9">
        <f>'Форма 2'!I2072</f>
        <v>3360342.55</v>
      </c>
      <c r="K556" s="9">
        <v>0</v>
      </c>
      <c r="L556" s="9">
        <v>0</v>
      </c>
      <c r="M556" s="9">
        <v>0</v>
      </c>
      <c r="N556" s="9">
        <f>J556-K556-L556-M556-O556</f>
        <v>3301572.78</v>
      </c>
      <c r="O556" s="9">
        <v>58769.77</v>
      </c>
      <c r="P556" s="9">
        <f>J556/H556</f>
        <v>748.94</v>
      </c>
      <c r="Q556" s="9">
        <f>'Форма 2'!K2072</f>
        <v>1020.59</v>
      </c>
      <c r="R556" s="37" t="s">
        <v>375</v>
      </c>
      <c r="S556" s="168">
        <v>1</v>
      </c>
    </row>
    <row r="557" spans="1:19" s="71" customFormat="1" ht="15" customHeight="1" x14ac:dyDescent="0.25">
      <c r="A557" s="236">
        <f t="shared" si="164"/>
        <v>146</v>
      </c>
      <c r="B557" s="236">
        <v>2395</v>
      </c>
      <c r="C557" s="233" t="s">
        <v>614</v>
      </c>
      <c r="D557" s="13">
        <v>1994</v>
      </c>
      <c r="E557" s="13" t="s">
        <v>86</v>
      </c>
      <c r="F557" s="13" t="s">
        <v>82</v>
      </c>
      <c r="G557" s="9">
        <v>6108.8</v>
      </c>
      <c r="H557" s="9">
        <v>4784.8999999999996</v>
      </c>
      <c r="I557" s="11">
        <v>117</v>
      </c>
      <c r="J557" s="9">
        <f>'Форма 2'!I2077</f>
        <v>3398102.56</v>
      </c>
      <c r="K557" s="9">
        <v>0</v>
      </c>
      <c r="L557" s="9">
        <v>0</v>
      </c>
      <c r="M557" s="9">
        <v>0</v>
      </c>
      <c r="N557" s="9">
        <f>J557-K557-L557-M557-O557</f>
        <v>3338672.39</v>
      </c>
      <c r="O557" s="9">
        <v>59430.17</v>
      </c>
      <c r="P557" s="9">
        <f>J557/H557</f>
        <v>710.17</v>
      </c>
      <c r="Q557" s="9">
        <f>'Форма 2'!K2077</f>
        <v>957.01</v>
      </c>
      <c r="R557" s="37" t="s">
        <v>375</v>
      </c>
      <c r="S557" s="168">
        <v>1</v>
      </c>
    </row>
    <row r="558" spans="1:19" s="71" customFormat="1" ht="15" customHeight="1" x14ac:dyDescent="0.25">
      <c r="A558" s="236">
        <f t="shared" si="164"/>
        <v>147</v>
      </c>
      <c r="B558" s="236">
        <v>2397</v>
      </c>
      <c r="C558" s="233" t="s">
        <v>652</v>
      </c>
      <c r="D558" s="13">
        <v>1995</v>
      </c>
      <c r="E558" s="13" t="s">
        <v>86</v>
      </c>
      <c r="F558" s="13" t="s">
        <v>81</v>
      </c>
      <c r="G558" s="9">
        <v>6479.5</v>
      </c>
      <c r="H558" s="9">
        <v>4512.3999999999996</v>
      </c>
      <c r="I558" s="11">
        <v>135</v>
      </c>
      <c r="J558" s="9">
        <f>'Форма 2'!I2082</f>
        <v>64562</v>
      </c>
      <c r="K558" s="9">
        <v>0</v>
      </c>
      <c r="L558" s="9">
        <v>0</v>
      </c>
      <c r="M558" s="9">
        <v>0</v>
      </c>
      <c r="N558" s="9">
        <f>J558-K558-L558-M558-O558</f>
        <v>63432.86</v>
      </c>
      <c r="O558" s="9">
        <v>1129.1400000000001</v>
      </c>
      <c r="P558" s="9">
        <f>J558/H558</f>
        <v>14.31</v>
      </c>
      <c r="Q558" s="9">
        <f>'Форма 2'!K2082</f>
        <v>14.31</v>
      </c>
      <c r="R558" s="37" t="s">
        <v>375</v>
      </c>
      <c r="S558" s="168">
        <v>1</v>
      </c>
    </row>
    <row r="559" spans="1:19" s="71" customFormat="1" ht="15" customHeight="1" x14ac:dyDescent="0.25">
      <c r="A559" s="236">
        <f t="shared" si="164"/>
        <v>148</v>
      </c>
      <c r="B559" s="236">
        <v>2379</v>
      </c>
      <c r="C559" s="233" t="s">
        <v>653</v>
      </c>
      <c r="D559" s="13">
        <v>1997</v>
      </c>
      <c r="E559" s="13" t="s">
        <v>86</v>
      </c>
      <c r="F559" s="13" t="s">
        <v>81</v>
      </c>
      <c r="G559" s="9">
        <v>8774</v>
      </c>
      <c r="H559" s="9">
        <v>7274</v>
      </c>
      <c r="I559" s="11">
        <v>209</v>
      </c>
      <c r="J559" s="9">
        <f>'Форма 2'!I2085</f>
        <v>96843</v>
      </c>
      <c r="K559" s="9">
        <v>0</v>
      </c>
      <c r="L559" s="9">
        <v>0</v>
      </c>
      <c r="M559" s="9">
        <v>0</v>
      </c>
      <c r="N559" s="9">
        <f>J559-K559-L559-M559-O559</f>
        <v>95149.29</v>
      </c>
      <c r="O559" s="9">
        <v>1693.71</v>
      </c>
      <c r="P559" s="9">
        <f>J559/H559</f>
        <v>13.31</v>
      </c>
      <c r="Q559" s="9">
        <f>'Форма 2'!K2085</f>
        <v>13.31</v>
      </c>
      <c r="R559" s="37" t="s">
        <v>375</v>
      </c>
      <c r="S559" s="168">
        <v>1</v>
      </c>
    </row>
    <row r="560" spans="1:19" s="71" customFormat="1" ht="15" customHeight="1" x14ac:dyDescent="0.25">
      <c r="A560" s="236">
        <f t="shared" si="164"/>
        <v>149</v>
      </c>
      <c r="B560" s="236">
        <v>2954</v>
      </c>
      <c r="C560" s="233" t="s">
        <v>654</v>
      </c>
      <c r="D560" s="13">
        <v>1959</v>
      </c>
      <c r="E560" s="13" t="s">
        <v>95</v>
      </c>
      <c r="F560" s="13" t="s">
        <v>81</v>
      </c>
      <c r="G560" s="9">
        <v>1298.2</v>
      </c>
      <c r="H560" s="9">
        <v>1238.2</v>
      </c>
      <c r="I560" s="11">
        <v>107</v>
      </c>
      <c r="J560" s="9">
        <f>'Форма 2'!I2089</f>
        <v>58195.4</v>
      </c>
      <c r="K560" s="9">
        <v>0</v>
      </c>
      <c r="L560" s="9">
        <v>0</v>
      </c>
      <c r="M560" s="9">
        <v>0</v>
      </c>
      <c r="N560" s="9">
        <f t="shared" si="165"/>
        <v>57177.61</v>
      </c>
      <c r="O560" s="9">
        <v>1017.79</v>
      </c>
      <c r="P560" s="9">
        <f t="shared" si="166"/>
        <v>47</v>
      </c>
      <c r="Q560" s="9">
        <f>'Форма 2'!K2089</f>
        <v>47</v>
      </c>
      <c r="R560" s="37" t="s">
        <v>375</v>
      </c>
      <c r="S560" s="168">
        <v>1</v>
      </c>
    </row>
    <row r="561" spans="1:19" s="71" customFormat="1" ht="15" customHeight="1" x14ac:dyDescent="0.25">
      <c r="A561" s="236">
        <f t="shared" si="164"/>
        <v>150</v>
      </c>
      <c r="B561" s="236">
        <v>2955</v>
      </c>
      <c r="C561" s="233" t="s">
        <v>655</v>
      </c>
      <c r="D561" s="13">
        <v>1960</v>
      </c>
      <c r="E561" s="13" t="s">
        <v>95</v>
      </c>
      <c r="F561" s="13" t="s">
        <v>81</v>
      </c>
      <c r="G561" s="9">
        <v>1344.8</v>
      </c>
      <c r="H561" s="9">
        <v>1089.3</v>
      </c>
      <c r="I561" s="11">
        <v>97</v>
      </c>
      <c r="J561" s="9">
        <f>'Форма 2'!I2091</f>
        <v>51197.1</v>
      </c>
      <c r="K561" s="9">
        <v>0</v>
      </c>
      <c r="L561" s="9">
        <v>0</v>
      </c>
      <c r="M561" s="9">
        <v>0</v>
      </c>
      <c r="N561" s="9">
        <f t="shared" si="165"/>
        <v>50301.7</v>
      </c>
      <c r="O561" s="9">
        <v>895.4</v>
      </c>
      <c r="P561" s="9">
        <f t="shared" si="166"/>
        <v>47</v>
      </c>
      <c r="Q561" s="9">
        <f>'Форма 2'!K2091</f>
        <v>47</v>
      </c>
      <c r="R561" s="37" t="s">
        <v>375</v>
      </c>
      <c r="S561" s="168">
        <v>1</v>
      </c>
    </row>
    <row r="562" spans="1:19" ht="15.75" customHeight="1" x14ac:dyDescent="0.25">
      <c r="A562" s="279" t="s">
        <v>31</v>
      </c>
      <c r="B562" s="279"/>
      <c r="C562" s="279"/>
      <c r="D562" s="10" t="s">
        <v>13</v>
      </c>
      <c r="E562" s="9" t="s">
        <v>13</v>
      </c>
      <c r="F562" s="9" t="s">
        <v>13</v>
      </c>
      <c r="G562" s="9">
        <f t="shared" ref="G562:O562" si="171">SUM(G563:G565)</f>
        <v>1110.7</v>
      </c>
      <c r="H562" s="9">
        <f t="shared" si="171"/>
        <v>1056.7</v>
      </c>
      <c r="I562" s="11">
        <f t="shared" si="171"/>
        <v>36</v>
      </c>
      <c r="J562" s="9">
        <f t="shared" si="171"/>
        <v>2770421.42</v>
      </c>
      <c r="K562" s="9">
        <f t="shared" si="171"/>
        <v>0</v>
      </c>
      <c r="L562" s="9">
        <f t="shared" si="171"/>
        <v>0</v>
      </c>
      <c r="M562" s="9">
        <f t="shared" si="171"/>
        <v>0</v>
      </c>
      <c r="N562" s="9">
        <f t="shared" si="171"/>
        <v>2710493.71</v>
      </c>
      <c r="O562" s="9">
        <f t="shared" si="171"/>
        <v>59927.71</v>
      </c>
      <c r="P562" s="9" t="s">
        <v>13</v>
      </c>
      <c r="Q562" s="9" t="s">
        <v>13</v>
      </c>
      <c r="R562" s="9" t="s">
        <v>13</v>
      </c>
      <c r="S562" s="15" t="s">
        <v>13</v>
      </c>
    </row>
    <row r="563" spans="1:19" ht="15.75" customHeight="1" x14ac:dyDescent="0.25">
      <c r="A563" s="40">
        <v>1</v>
      </c>
      <c r="B563" s="40">
        <v>4859</v>
      </c>
      <c r="C563" s="41" t="s">
        <v>435</v>
      </c>
      <c r="D563" s="17">
        <v>1970</v>
      </c>
      <c r="E563" s="17" t="s">
        <v>232</v>
      </c>
      <c r="F563" s="17" t="s">
        <v>82</v>
      </c>
      <c r="G563" s="9">
        <v>360</v>
      </c>
      <c r="H563" s="9">
        <v>336</v>
      </c>
      <c r="I563" s="11">
        <v>12</v>
      </c>
      <c r="J563" s="9">
        <f>'Форма 2'!I2094</f>
        <v>174068.16</v>
      </c>
      <c r="K563" s="9">
        <v>0</v>
      </c>
      <c r="L563" s="9">
        <v>0</v>
      </c>
      <c r="M563" s="9">
        <v>0</v>
      </c>
      <c r="N563" s="9">
        <f>J563-O563</f>
        <v>170302.85</v>
      </c>
      <c r="O563" s="9">
        <v>3765.31</v>
      </c>
      <c r="P563" s="9">
        <f>J563/H563</f>
        <v>518.05999999999995</v>
      </c>
      <c r="Q563" s="9">
        <f>'Форма 2'!K2094</f>
        <v>524</v>
      </c>
      <c r="R563" s="16">
        <v>2021</v>
      </c>
      <c r="S563" s="168">
        <v>1</v>
      </c>
    </row>
    <row r="564" spans="1:19" ht="15.75" customHeight="1" x14ac:dyDescent="0.25">
      <c r="A564" s="40">
        <f>A563+1</f>
        <v>2</v>
      </c>
      <c r="B564" s="40">
        <v>8046</v>
      </c>
      <c r="C564" s="41" t="s">
        <v>288</v>
      </c>
      <c r="D564" s="17">
        <v>1960</v>
      </c>
      <c r="E564" s="17" t="s">
        <v>68</v>
      </c>
      <c r="F564" s="17" t="s">
        <v>82</v>
      </c>
      <c r="G564" s="9">
        <v>340</v>
      </c>
      <c r="H564" s="9">
        <v>325</v>
      </c>
      <c r="I564" s="11">
        <v>12</v>
      </c>
      <c r="J564" s="9">
        <f>'Форма 2'!I2097</f>
        <v>2498338.37</v>
      </c>
      <c r="K564" s="9">
        <v>0</v>
      </c>
      <c r="L564" s="9">
        <v>0</v>
      </c>
      <c r="M564" s="9">
        <v>0</v>
      </c>
      <c r="N564" s="9">
        <f>J564-O564</f>
        <v>2444296.16</v>
      </c>
      <c r="O564" s="9">
        <v>54042.21</v>
      </c>
      <c r="P564" s="9">
        <f>J564/H564</f>
        <v>7687.19</v>
      </c>
      <c r="Q564" s="9">
        <f>'Форма 2'!K2097</f>
        <v>7688</v>
      </c>
      <c r="R564" s="16">
        <v>2021</v>
      </c>
      <c r="S564" s="168">
        <v>1</v>
      </c>
    </row>
    <row r="565" spans="1:19" ht="15.75" customHeight="1" x14ac:dyDescent="0.25">
      <c r="A565" s="40">
        <f>A564+1</f>
        <v>3</v>
      </c>
      <c r="B565" s="40">
        <v>8047</v>
      </c>
      <c r="C565" s="41" t="s">
        <v>436</v>
      </c>
      <c r="D565" s="17">
        <v>1964</v>
      </c>
      <c r="E565" s="17" t="s">
        <v>68</v>
      </c>
      <c r="F565" s="17" t="s">
        <v>81</v>
      </c>
      <c r="G565" s="9">
        <v>410.7</v>
      </c>
      <c r="H565" s="9">
        <v>395.7</v>
      </c>
      <c r="I565" s="11">
        <v>12</v>
      </c>
      <c r="J565" s="9">
        <f>'Форма 2'!I2100</f>
        <v>98014.89</v>
      </c>
      <c r="K565" s="9">
        <v>0</v>
      </c>
      <c r="L565" s="9">
        <v>0</v>
      </c>
      <c r="M565" s="9">
        <v>0</v>
      </c>
      <c r="N565" s="9">
        <f>J565-O565</f>
        <v>95894.7</v>
      </c>
      <c r="O565" s="9">
        <v>2120.19</v>
      </c>
      <c r="P565" s="9">
        <f>J565/H565</f>
        <v>247.7</v>
      </c>
      <c r="Q565" s="9">
        <f>'Форма 2'!K2100</f>
        <v>260</v>
      </c>
      <c r="R565" s="16">
        <v>2021</v>
      </c>
      <c r="S565" s="168">
        <v>1</v>
      </c>
    </row>
    <row r="566" spans="1:19" s="71" customFormat="1" ht="15.75" customHeight="1" x14ac:dyDescent="0.25">
      <c r="A566" s="278" t="s">
        <v>32</v>
      </c>
      <c r="B566" s="278"/>
      <c r="C566" s="278"/>
      <c r="D566" s="17" t="s">
        <v>13</v>
      </c>
      <c r="E566" s="17" t="s">
        <v>13</v>
      </c>
      <c r="F566" s="17" t="s">
        <v>13</v>
      </c>
      <c r="G566" s="35">
        <f>SUM(G567:G572)</f>
        <v>2755.15</v>
      </c>
      <c r="H566" s="35">
        <f t="shared" ref="H566:O566" si="172">SUM(H567:H572)</f>
        <v>2478.04</v>
      </c>
      <c r="I566" s="39">
        <f t="shared" si="172"/>
        <v>92</v>
      </c>
      <c r="J566" s="35">
        <f t="shared" si="172"/>
        <v>10564625.18</v>
      </c>
      <c r="K566" s="35">
        <f t="shared" si="172"/>
        <v>0</v>
      </c>
      <c r="L566" s="35">
        <f t="shared" si="172"/>
        <v>0</v>
      </c>
      <c r="M566" s="35">
        <f t="shared" si="172"/>
        <v>0</v>
      </c>
      <c r="N566" s="35">
        <f t="shared" si="172"/>
        <v>10471445.789999999</v>
      </c>
      <c r="O566" s="35">
        <f t="shared" si="172"/>
        <v>93179.39</v>
      </c>
      <c r="P566" s="9" t="s">
        <v>13</v>
      </c>
      <c r="Q566" s="9" t="s">
        <v>13</v>
      </c>
      <c r="R566" s="9" t="s">
        <v>13</v>
      </c>
      <c r="S566" s="15" t="s">
        <v>13</v>
      </c>
    </row>
    <row r="567" spans="1:19" s="71" customFormat="1" ht="15.75" customHeight="1" x14ac:dyDescent="0.25">
      <c r="A567" s="242">
        <v>1</v>
      </c>
      <c r="B567" s="238">
        <v>7260</v>
      </c>
      <c r="C567" s="232" t="s">
        <v>450</v>
      </c>
      <c r="D567" s="34">
        <v>1969</v>
      </c>
      <c r="E567" s="34" t="s">
        <v>68</v>
      </c>
      <c r="F567" s="34" t="s">
        <v>82</v>
      </c>
      <c r="G567" s="35">
        <v>362.6</v>
      </c>
      <c r="H567" s="171">
        <v>335.8</v>
      </c>
      <c r="I567" s="39">
        <v>14</v>
      </c>
      <c r="J567" s="35">
        <f>'Форма 2'!I2103</f>
        <v>1980270.58</v>
      </c>
      <c r="K567" s="35">
        <v>0</v>
      </c>
      <c r="L567" s="35">
        <v>0</v>
      </c>
      <c r="M567" s="35">
        <v>0</v>
      </c>
      <c r="N567" s="35">
        <f>J567-K567-L567-M567-O567</f>
        <v>1962804.71</v>
      </c>
      <c r="O567" s="35">
        <v>17465.87</v>
      </c>
      <c r="P567" s="9">
        <f>J567/H567</f>
        <v>5897.17</v>
      </c>
      <c r="Q567" s="9">
        <f>'Форма 2'!K2103</f>
        <v>8203</v>
      </c>
      <c r="R567" s="37" t="s">
        <v>375</v>
      </c>
      <c r="S567" s="15">
        <v>1</v>
      </c>
    </row>
    <row r="568" spans="1:19" s="71" customFormat="1" ht="15.75" customHeight="1" x14ac:dyDescent="0.25">
      <c r="A568" s="40">
        <f t="shared" ref="A568:A572" si="173">A567+1</f>
        <v>2</v>
      </c>
      <c r="B568" s="238">
        <v>7261</v>
      </c>
      <c r="C568" s="232" t="s">
        <v>451</v>
      </c>
      <c r="D568" s="34">
        <v>1969</v>
      </c>
      <c r="E568" s="34" t="s">
        <v>68</v>
      </c>
      <c r="F568" s="34" t="s">
        <v>82</v>
      </c>
      <c r="G568" s="35">
        <v>376.32</v>
      </c>
      <c r="H568" s="171">
        <v>344.04</v>
      </c>
      <c r="I568" s="39">
        <v>12</v>
      </c>
      <c r="J568" s="35">
        <f>'Форма 2'!I2106</f>
        <v>1965701.91</v>
      </c>
      <c r="K568" s="35">
        <v>0</v>
      </c>
      <c r="L568" s="35">
        <v>0</v>
      </c>
      <c r="M568" s="35">
        <v>0</v>
      </c>
      <c r="N568" s="35">
        <f>J568-K568-L568-M568-O568</f>
        <v>1948364.53</v>
      </c>
      <c r="O568" s="35">
        <v>17337.38</v>
      </c>
      <c r="P568" s="9">
        <f>J568/H568</f>
        <v>5713.59</v>
      </c>
      <c r="Q568" s="9">
        <f>'Форма 2'!K2106</f>
        <v>8203</v>
      </c>
      <c r="R568" s="37" t="s">
        <v>375</v>
      </c>
      <c r="S568" s="15">
        <v>1</v>
      </c>
    </row>
    <row r="569" spans="1:19" s="71" customFormat="1" ht="15.75" customHeight="1" x14ac:dyDescent="0.25">
      <c r="A569" s="40">
        <f t="shared" si="173"/>
        <v>3</v>
      </c>
      <c r="B569" s="238">
        <v>7275</v>
      </c>
      <c r="C569" s="232" t="s">
        <v>487</v>
      </c>
      <c r="D569" s="34">
        <v>1971</v>
      </c>
      <c r="E569" s="34" t="s">
        <v>112</v>
      </c>
      <c r="F569" s="34" t="s">
        <v>82</v>
      </c>
      <c r="G569" s="35">
        <v>408.72</v>
      </c>
      <c r="H569" s="171">
        <v>365.5</v>
      </c>
      <c r="I569" s="39">
        <v>14</v>
      </c>
      <c r="J569" s="35">
        <f>'Форма 2'!I2109</f>
        <v>2628758.42</v>
      </c>
      <c r="K569" s="35">
        <v>0</v>
      </c>
      <c r="L569" s="35">
        <v>0</v>
      </c>
      <c r="M569" s="35">
        <v>0</v>
      </c>
      <c r="N569" s="35">
        <f>J569-K569-L569-M569-O569</f>
        <v>2605572.92</v>
      </c>
      <c r="O569" s="35">
        <v>23185.5</v>
      </c>
      <c r="P569" s="9">
        <f>J569/H569</f>
        <v>7192.23</v>
      </c>
      <c r="Q569" s="9">
        <f>'Форма 2'!K2109</f>
        <v>10447</v>
      </c>
      <c r="R569" s="37" t="s">
        <v>375</v>
      </c>
      <c r="S569" s="15">
        <v>1</v>
      </c>
    </row>
    <row r="570" spans="1:19" s="71" customFormat="1" ht="15.75" customHeight="1" x14ac:dyDescent="0.25">
      <c r="A570" s="40">
        <f t="shared" si="173"/>
        <v>4</v>
      </c>
      <c r="B570" s="238">
        <v>7317</v>
      </c>
      <c r="C570" s="232" t="s">
        <v>489</v>
      </c>
      <c r="D570" s="34">
        <v>1969</v>
      </c>
      <c r="E570" s="34" t="s">
        <v>68</v>
      </c>
      <c r="F570" s="34" t="s">
        <v>223</v>
      </c>
      <c r="G570" s="35">
        <v>585.54</v>
      </c>
      <c r="H570" s="239">
        <v>520.9</v>
      </c>
      <c r="I570" s="39">
        <v>19</v>
      </c>
      <c r="J570" s="35">
        <f>'Форма 2'!I2114</f>
        <v>1118505.3799999999</v>
      </c>
      <c r="K570" s="35">
        <v>0</v>
      </c>
      <c r="L570" s="35">
        <v>0</v>
      </c>
      <c r="M570" s="35">
        <v>0</v>
      </c>
      <c r="N570" s="35">
        <f>J570-K570-L570-M570-O570</f>
        <v>1108640.23</v>
      </c>
      <c r="O570" s="35">
        <v>9865.15</v>
      </c>
      <c r="P570" s="9">
        <f>J570/H570</f>
        <v>2147.2600000000002</v>
      </c>
      <c r="Q570" s="9">
        <f>'Форма 2'!K2114</f>
        <v>8031</v>
      </c>
      <c r="R570" s="37" t="s">
        <v>377</v>
      </c>
      <c r="S570" s="15">
        <v>1</v>
      </c>
    </row>
    <row r="571" spans="1:19" s="71" customFormat="1" ht="15.75" customHeight="1" x14ac:dyDescent="0.25">
      <c r="A571" s="176">
        <v>5</v>
      </c>
      <c r="B571" s="177">
        <v>7333</v>
      </c>
      <c r="C571" s="178" t="s">
        <v>692</v>
      </c>
      <c r="D571" s="179">
        <v>1968</v>
      </c>
      <c r="E571" s="179" t="s">
        <v>112</v>
      </c>
      <c r="F571" s="179" t="s">
        <v>81</v>
      </c>
      <c r="G571" s="171">
        <v>589.38</v>
      </c>
      <c r="H571" s="239">
        <v>526.6</v>
      </c>
      <c r="I571" s="137">
        <v>19</v>
      </c>
      <c r="J571" s="171">
        <f>'Форма 2'!I2116</f>
        <v>244342.39999999999</v>
      </c>
      <c r="K571" s="171">
        <v>0</v>
      </c>
      <c r="L571" s="171">
        <v>0</v>
      </c>
      <c r="M571" s="171">
        <v>0</v>
      </c>
      <c r="N571" s="171">
        <f t="shared" ref="N571" si="174">J571-K571-L571-M571-O571</f>
        <v>242187.31</v>
      </c>
      <c r="O571" s="171">
        <v>2155.09</v>
      </c>
      <c r="P571" s="180">
        <f t="shared" ref="P571" si="175">J571/H571</f>
        <v>464</v>
      </c>
      <c r="Q571" s="180">
        <f>'Форма 2'!K2116</f>
        <v>464</v>
      </c>
      <c r="R571" s="181" t="s">
        <v>375</v>
      </c>
      <c r="S571" s="270">
        <v>1</v>
      </c>
    </row>
    <row r="572" spans="1:19" s="71" customFormat="1" ht="15.75" customHeight="1" x14ac:dyDescent="0.25">
      <c r="A572" s="40">
        <f t="shared" si="173"/>
        <v>6</v>
      </c>
      <c r="B572" s="238">
        <v>7357</v>
      </c>
      <c r="C572" s="232" t="s">
        <v>490</v>
      </c>
      <c r="D572" s="34">
        <v>1968</v>
      </c>
      <c r="E572" s="34" t="s">
        <v>112</v>
      </c>
      <c r="F572" s="34" t="s">
        <v>82</v>
      </c>
      <c r="G572" s="35">
        <v>432.59</v>
      </c>
      <c r="H572" s="171">
        <v>385.2</v>
      </c>
      <c r="I572" s="39">
        <v>14</v>
      </c>
      <c r="J572" s="35">
        <f>'Форма 2'!I2119</f>
        <v>2627046.4900000002</v>
      </c>
      <c r="K572" s="35">
        <v>0</v>
      </c>
      <c r="L572" s="35">
        <v>0</v>
      </c>
      <c r="M572" s="35">
        <v>0</v>
      </c>
      <c r="N572" s="35">
        <f>J572-K572-L572-M572-O572</f>
        <v>2603876.09</v>
      </c>
      <c r="O572" s="35">
        <v>23170.400000000001</v>
      </c>
      <c r="P572" s="9">
        <f>J572/H572</f>
        <v>6819.95</v>
      </c>
      <c r="Q572" s="9">
        <f>'Форма 2'!K2119</f>
        <v>7493</v>
      </c>
      <c r="R572" s="37" t="s">
        <v>375</v>
      </c>
      <c r="S572" s="15">
        <v>1</v>
      </c>
    </row>
    <row r="573" spans="1:19" ht="15.75" customHeight="1" x14ac:dyDescent="0.25">
      <c r="A573" s="281" t="s">
        <v>34</v>
      </c>
      <c r="B573" s="281"/>
      <c r="C573" s="281"/>
      <c r="D573" s="10" t="s">
        <v>13</v>
      </c>
      <c r="E573" s="9" t="s">
        <v>13</v>
      </c>
      <c r="F573" s="9" t="s">
        <v>13</v>
      </c>
      <c r="G573" s="9">
        <f t="shared" ref="G573:O573" si="176">SUM(G574:G577)</f>
        <v>1984</v>
      </c>
      <c r="H573" s="9">
        <f t="shared" si="176"/>
        <v>1779</v>
      </c>
      <c r="I573" s="11">
        <f t="shared" si="176"/>
        <v>67</v>
      </c>
      <c r="J573" s="9">
        <f t="shared" si="176"/>
        <v>4158657.55</v>
      </c>
      <c r="K573" s="9">
        <f t="shared" si="176"/>
        <v>0</v>
      </c>
      <c r="L573" s="9">
        <f t="shared" si="176"/>
        <v>0</v>
      </c>
      <c r="M573" s="9">
        <f t="shared" si="176"/>
        <v>0</v>
      </c>
      <c r="N573" s="9">
        <f t="shared" si="176"/>
        <v>4106540.25</v>
      </c>
      <c r="O573" s="9">
        <f t="shared" si="176"/>
        <v>52117.3</v>
      </c>
      <c r="P573" s="9" t="s">
        <v>13</v>
      </c>
      <c r="Q573" s="9" t="s">
        <v>13</v>
      </c>
      <c r="R573" s="9" t="s">
        <v>13</v>
      </c>
      <c r="S573" s="15" t="s">
        <v>13</v>
      </c>
    </row>
    <row r="574" spans="1:19" ht="15.75" customHeight="1" x14ac:dyDescent="0.25">
      <c r="A574" s="34">
        <v>1</v>
      </c>
      <c r="B574" s="40">
        <v>6749</v>
      </c>
      <c r="C574" s="29" t="s">
        <v>291</v>
      </c>
      <c r="D574" s="13">
        <v>1966</v>
      </c>
      <c r="E574" s="255" t="s">
        <v>516</v>
      </c>
      <c r="F574" s="13" t="s">
        <v>82</v>
      </c>
      <c r="G574" s="44">
        <v>348.7</v>
      </c>
      <c r="H574" s="28">
        <v>288.7</v>
      </c>
      <c r="I574" s="21">
        <v>11</v>
      </c>
      <c r="J574" s="9">
        <f>'Форма 2'!I2125</f>
        <v>150990.1</v>
      </c>
      <c r="K574" s="9">
        <v>0</v>
      </c>
      <c r="L574" s="9">
        <v>0</v>
      </c>
      <c r="M574" s="9">
        <v>0</v>
      </c>
      <c r="N574" s="9">
        <f>J574-O574</f>
        <v>149097.85999999999</v>
      </c>
      <c r="O574" s="132">
        <v>1892.24</v>
      </c>
      <c r="P574" s="9">
        <f>J574/H574</f>
        <v>523</v>
      </c>
      <c r="Q574" s="9">
        <f>'Форма 2'!K2125</f>
        <v>524</v>
      </c>
      <c r="R574" s="43">
        <v>2021</v>
      </c>
      <c r="S574" s="168">
        <v>1</v>
      </c>
    </row>
    <row r="575" spans="1:19" ht="15.75" customHeight="1" x14ac:dyDescent="0.25">
      <c r="A575" s="34">
        <f>A574+1</f>
        <v>2</v>
      </c>
      <c r="B575" s="40">
        <v>6727</v>
      </c>
      <c r="C575" s="29" t="s">
        <v>292</v>
      </c>
      <c r="D575" s="13">
        <v>1966</v>
      </c>
      <c r="E575" s="13" t="s">
        <v>230</v>
      </c>
      <c r="F575" s="13" t="s">
        <v>82</v>
      </c>
      <c r="G575" s="44">
        <v>346.6</v>
      </c>
      <c r="H575" s="28">
        <v>316.60000000000002</v>
      </c>
      <c r="I575" s="21">
        <v>12</v>
      </c>
      <c r="J575" s="9">
        <f>'Форма 2'!I2128</f>
        <v>1018843.86</v>
      </c>
      <c r="K575" s="9">
        <v>0</v>
      </c>
      <c r="L575" s="9">
        <v>0</v>
      </c>
      <c r="M575" s="9">
        <v>0</v>
      </c>
      <c r="N575" s="9">
        <f>J575-O575</f>
        <v>1006075.46</v>
      </c>
      <c r="O575" s="132">
        <v>12768.4</v>
      </c>
      <c r="P575" s="9">
        <f>J575/H575</f>
        <v>3218.08</v>
      </c>
      <c r="Q575" s="9">
        <f>'Форма 2'!K2128</f>
        <v>3497</v>
      </c>
      <c r="R575" s="43">
        <v>2021</v>
      </c>
      <c r="S575" s="168">
        <v>1</v>
      </c>
    </row>
    <row r="576" spans="1:19" s="138" customFormat="1" ht="15" customHeight="1" x14ac:dyDescent="0.25">
      <c r="A576" s="182">
        <f>A575+1</f>
        <v>3</v>
      </c>
      <c r="B576" s="182">
        <v>6723</v>
      </c>
      <c r="C576" s="246" t="s">
        <v>693</v>
      </c>
      <c r="D576" s="244">
        <v>1967</v>
      </c>
      <c r="E576" s="244" t="s">
        <v>68</v>
      </c>
      <c r="F576" s="244" t="s">
        <v>694</v>
      </c>
      <c r="G576" s="183">
        <v>975.4</v>
      </c>
      <c r="H576" s="184">
        <v>900.4</v>
      </c>
      <c r="I576" s="245">
        <v>34</v>
      </c>
      <c r="J576" s="132">
        <f>'Форма 2'!I2133</f>
        <v>2033193.24</v>
      </c>
      <c r="K576" s="132">
        <v>0</v>
      </c>
      <c r="L576" s="132">
        <v>0</v>
      </c>
      <c r="M576" s="132">
        <v>0</v>
      </c>
      <c r="N576" s="132">
        <f>J576-O576</f>
        <v>2007712.77</v>
      </c>
      <c r="O576" s="132">
        <v>25480.47</v>
      </c>
      <c r="P576" s="132">
        <f>J576/H576</f>
        <v>2258.1</v>
      </c>
      <c r="Q576" s="173">
        <f>'Форма 2'!K2133</f>
        <v>7527</v>
      </c>
      <c r="R576" s="134">
        <v>2022</v>
      </c>
      <c r="S576" s="190">
        <v>1</v>
      </c>
    </row>
    <row r="577" spans="1:19" s="185" customFormat="1" ht="15.75" customHeight="1" x14ac:dyDescent="0.25">
      <c r="A577" s="34">
        <f>A576+1</f>
        <v>4</v>
      </c>
      <c r="B577" s="40">
        <v>6733</v>
      </c>
      <c r="C577" s="29" t="s">
        <v>294</v>
      </c>
      <c r="D577" s="13">
        <v>1969</v>
      </c>
      <c r="E577" s="13" t="s">
        <v>230</v>
      </c>
      <c r="F577" s="255" t="s">
        <v>82</v>
      </c>
      <c r="G577" s="44">
        <v>313.3</v>
      </c>
      <c r="H577" s="28">
        <v>273.3</v>
      </c>
      <c r="I577" s="21">
        <v>10</v>
      </c>
      <c r="J577" s="9">
        <f>'Форма 2'!I2135</f>
        <v>955630.35</v>
      </c>
      <c r="K577" s="9">
        <v>0</v>
      </c>
      <c r="L577" s="9">
        <v>0</v>
      </c>
      <c r="M577" s="9">
        <v>0</v>
      </c>
      <c r="N577" s="9">
        <f>J577-O577</f>
        <v>943654.16</v>
      </c>
      <c r="O577" s="132">
        <v>11976.19</v>
      </c>
      <c r="P577" s="9">
        <f>J577/H577</f>
        <v>3496.64</v>
      </c>
      <c r="Q577" s="9">
        <f>'Форма 2'!K2135</f>
        <v>3497</v>
      </c>
      <c r="R577" s="43">
        <v>2021</v>
      </c>
      <c r="S577" s="168">
        <v>1</v>
      </c>
    </row>
    <row r="578" spans="1:19" ht="15.75" customHeight="1" x14ac:dyDescent="0.25">
      <c r="A578" s="281" t="s">
        <v>35</v>
      </c>
      <c r="B578" s="281"/>
      <c r="C578" s="281"/>
      <c r="D578" s="10" t="s">
        <v>13</v>
      </c>
      <c r="E578" s="9" t="s">
        <v>13</v>
      </c>
      <c r="F578" s="9" t="s">
        <v>13</v>
      </c>
      <c r="G578" s="9">
        <f t="shared" ref="G578:O578" si="177">SUM(G579:G609)</f>
        <v>18367.3</v>
      </c>
      <c r="H578" s="9">
        <f t="shared" si="177"/>
        <v>16827.099999999999</v>
      </c>
      <c r="I578" s="11">
        <f t="shared" si="177"/>
        <v>655</v>
      </c>
      <c r="J578" s="9">
        <f t="shared" si="177"/>
        <v>44077789.009999998</v>
      </c>
      <c r="K578" s="9">
        <f t="shared" si="177"/>
        <v>0</v>
      </c>
      <c r="L578" s="9">
        <f t="shared" si="177"/>
        <v>0</v>
      </c>
      <c r="M578" s="9">
        <f t="shared" si="177"/>
        <v>0</v>
      </c>
      <c r="N578" s="9">
        <f t="shared" si="177"/>
        <v>43473387.609999999</v>
      </c>
      <c r="O578" s="9">
        <f t="shared" si="177"/>
        <v>604401.4</v>
      </c>
      <c r="P578" s="9" t="s">
        <v>13</v>
      </c>
      <c r="Q578" s="9" t="s">
        <v>13</v>
      </c>
      <c r="R578" s="9" t="s">
        <v>13</v>
      </c>
      <c r="S578" s="15" t="s">
        <v>13</v>
      </c>
    </row>
    <row r="579" spans="1:19" s="172" customFormat="1" ht="15.75" customHeight="1" x14ac:dyDescent="0.25">
      <c r="A579" s="242">
        <v>1</v>
      </c>
      <c r="B579" s="242">
        <v>5379</v>
      </c>
      <c r="C579" s="232" t="s">
        <v>517</v>
      </c>
      <c r="D579" s="40">
        <v>1966</v>
      </c>
      <c r="E579" s="40" t="s">
        <v>158</v>
      </c>
      <c r="F579" s="40" t="s">
        <v>81</v>
      </c>
      <c r="G579" s="48">
        <v>369.2</v>
      </c>
      <c r="H579" s="48">
        <v>327.39999999999998</v>
      </c>
      <c r="I579" s="57">
        <v>10</v>
      </c>
      <c r="J579" s="48">
        <f>'Форма 2'!I2141</f>
        <v>60896.4</v>
      </c>
      <c r="K579" s="48">
        <v>0</v>
      </c>
      <c r="L579" s="48">
        <v>0</v>
      </c>
      <c r="M579" s="48">
        <v>0</v>
      </c>
      <c r="N579" s="22">
        <f t="shared" ref="N579:N609" si="178">J579-K579-L579-M579-O579</f>
        <v>60061.38</v>
      </c>
      <c r="O579" s="48">
        <v>835.02</v>
      </c>
      <c r="P579" s="9">
        <f>J579/H579</f>
        <v>186</v>
      </c>
      <c r="Q579" s="48">
        <f>'Форма 2'!K2141</f>
        <v>186</v>
      </c>
      <c r="R579" s="31">
        <v>2021</v>
      </c>
      <c r="S579" s="168">
        <v>1</v>
      </c>
    </row>
    <row r="580" spans="1:19" s="172" customFormat="1" ht="15.75" customHeight="1" x14ac:dyDescent="0.25">
      <c r="A580" s="242">
        <f>A579+1</f>
        <v>2</v>
      </c>
      <c r="B580" s="242">
        <v>5672</v>
      </c>
      <c r="C580" s="231" t="s">
        <v>492</v>
      </c>
      <c r="D580" s="34">
        <v>1963</v>
      </c>
      <c r="E580" s="34" t="s">
        <v>478</v>
      </c>
      <c r="F580" s="34" t="s">
        <v>82</v>
      </c>
      <c r="G580" s="35">
        <v>340</v>
      </c>
      <c r="H580" s="35">
        <v>327.60000000000002</v>
      </c>
      <c r="I580" s="39">
        <v>18</v>
      </c>
      <c r="J580" s="35">
        <f>'Форма 2'!I2144</f>
        <v>1753971.61</v>
      </c>
      <c r="K580" s="35">
        <f>SUM(K590:K634)</f>
        <v>0</v>
      </c>
      <c r="L580" s="35">
        <f>SUM(L590:L634)</f>
        <v>0</v>
      </c>
      <c r="M580" s="35">
        <f>SUM(M590:M634)</f>
        <v>0</v>
      </c>
      <c r="N580" s="22">
        <f t="shared" si="178"/>
        <v>1729920.88</v>
      </c>
      <c r="O580" s="35">
        <v>24050.73</v>
      </c>
      <c r="P580" s="9">
        <f>J580/H580</f>
        <v>5354</v>
      </c>
      <c r="Q580" s="35">
        <f>'Форма 2'!K2144</f>
        <v>6299</v>
      </c>
      <c r="R580" s="31">
        <v>2021</v>
      </c>
      <c r="S580" s="168">
        <v>1</v>
      </c>
    </row>
    <row r="581" spans="1:19" s="172" customFormat="1" ht="15.75" customHeight="1" x14ac:dyDescent="0.25">
      <c r="A581" s="242">
        <f t="shared" ref="A581:A609" si="179">A580+1</f>
        <v>3</v>
      </c>
      <c r="B581" s="242">
        <v>5674</v>
      </c>
      <c r="C581" s="231" t="s">
        <v>493</v>
      </c>
      <c r="D581" s="34">
        <v>1963</v>
      </c>
      <c r="E581" s="34" t="s">
        <v>158</v>
      </c>
      <c r="F581" s="34" t="s">
        <v>82</v>
      </c>
      <c r="G581" s="35">
        <v>542.70000000000005</v>
      </c>
      <c r="H581" s="35">
        <v>519.4</v>
      </c>
      <c r="I581" s="39">
        <v>17</v>
      </c>
      <c r="J581" s="35">
        <f>'Форма 2'!I2147</f>
        <v>1901523.4</v>
      </c>
      <c r="K581" s="35">
        <f t="shared" ref="K581:M582" si="180">SUM(K590:K639)</f>
        <v>0</v>
      </c>
      <c r="L581" s="35">
        <f t="shared" si="180"/>
        <v>0</v>
      </c>
      <c r="M581" s="35">
        <f t="shared" si="180"/>
        <v>0</v>
      </c>
      <c r="N581" s="22">
        <f t="shared" si="178"/>
        <v>1875449.42</v>
      </c>
      <c r="O581" s="35">
        <v>26073.98</v>
      </c>
      <c r="P581" s="9">
        <f t="shared" ref="P581:P609" si="181">J581/H581</f>
        <v>3661</v>
      </c>
      <c r="Q581" s="35">
        <f>'Форма 2'!K2147</f>
        <v>3661</v>
      </c>
      <c r="R581" s="31">
        <v>2021</v>
      </c>
      <c r="S581" s="168">
        <v>1</v>
      </c>
    </row>
    <row r="582" spans="1:19" s="172" customFormat="1" ht="15.75" customHeight="1" x14ac:dyDescent="0.25">
      <c r="A582" s="242">
        <f t="shared" si="179"/>
        <v>4</v>
      </c>
      <c r="B582" s="242">
        <v>5584</v>
      </c>
      <c r="C582" s="231" t="s">
        <v>518</v>
      </c>
      <c r="D582" s="34">
        <v>1964</v>
      </c>
      <c r="E582" s="34" t="s">
        <v>68</v>
      </c>
      <c r="F582" s="34" t="s">
        <v>81</v>
      </c>
      <c r="G582" s="35">
        <v>313.7</v>
      </c>
      <c r="H582" s="35">
        <v>293.39999999999998</v>
      </c>
      <c r="I582" s="39">
        <v>16</v>
      </c>
      <c r="J582" s="35">
        <f>'Форма 2'!I2152</f>
        <v>75990.600000000006</v>
      </c>
      <c r="K582" s="35">
        <f t="shared" si="180"/>
        <v>0</v>
      </c>
      <c r="L582" s="35">
        <f t="shared" si="180"/>
        <v>0</v>
      </c>
      <c r="M582" s="35">
        <f t="shared" si="180"/>
        <v>0</v>
      </c>
      <c r="N582" s="22">
        <f t="shared" si="178"/>
        <v>74948.61</v>
      </c>
      <c r="O582" s="35">
        <v>1041.99</v>
      </c>
      <c r="P582" s="9">
        <f t="shared" si="181"/>
        <v>259</v>
      </c>
      <c r="Q582" s="35">
        <f>'Форма 2'!K2152</f>
        <v>259</v>
      </c>
      <c r="R582" s="31">
        <v>2021</v>
      </c>
      <c r="S582" s="168">
        <v>1</v>
      </c>
    </row>
    <row r="583" spans="1:19" s="172" customFormat="1" ht="15.75" customHeight="1" x14ac:dyDescent="0.25">
      <c r="A583" s="242">
        <f t="shared" si="179"/>
        <v>5</v>
      </c>
      <c r="B583" s="242">
        <v>5406</v>
      </c>
      <c r="C583" s="231" t="s">
        <v>494</v>
      </c>
      <c r="D583" s="34">
        <v>1963</v>
      </c>
      <c r="E583" s="34" t="s">
        <v>112</v>
      </c>
      <c r="F583" s="34" t="s">
        <v>81</v>
      </c>
      <c r="G583" s="35">
        <v>407.4</v>
      </c>
      <c r="H583" s="35">
        <v>380.2</v>
      </c>
      <c r="I583" s="39">
        <v>11</v>
      </c>
      <c r="J583" s="35">
        <f>'Форма 2'!I2154</f>
        <v>176412.79999999999</v>
      </c>
      <c r="K583" s="35">
        <f t="shared" ref="K583:M584" si="182">SUM(K591:K640)</f>
        <v>0</v>
      </c>
      <c r="L583" s="35">
        <f t="shared" si="182"/>
        <v>0</v>
      </c>
      <c r="M583" s="35">
        <f t="shared" si="182"/>
        <v>0</v>
      </c>
      <c r="N583" s="22">
        <f t="shared" si="178"/>
        <v>173993.8</v>
      </c>
      <c r="O583" s="35">
        <v>2419</v>
      </c>
      <c r="P583" s="9">
        <f t="shared" si="181"/>
        <v>464</v>
      </c>
      <c r="Q583" s="35">
        <f>'Форма 2'!K2154</f>
        <v>464</v>
      </c>
      <c r="R583" s="31">
        <v>2021</v>
      </c>
      <c r="S583" s="168">
        <v>1</v>
      </c>
    </row>
    <row r="584" spans="1:19" s="172" customFormat="1" ht="15.75" customHeight="1" x14ac:dyDescent="0.25">
      <c r="A584" s="242">
        <f t="shared" si="179"/>
        <v>6</v>
      </c>
      <c r="B584" s="242">
        <v>5590</v>
      </c>
      <c r="C584" s="231" t="s">
        <v>495</v>
      </c>
      <c r="D584" s="34">
        <v>1963</v>
      </c>
      <c r="E584" s="34" t="s">
        <v>68</v>
      </c>
      <c r="F584" s="34" t="s">
        <v>81</v>
      </c>
      <c r="G584" s="35">
        <v>615.79999999999995</v>
      </c>
      <c r="H584" s="35">
        <v>542.9</v>
      </c>
      <c r="I584" s="39">
        <v>19</v>
      </c>
      <c r="J584" s="35">
        <f>'Форма 2'!I2157</f>
        <v>138489.95000000001</v>
      </c>
      <c r="K584" s="35">
        <f t="shared" si="182"/>
        <v>0</v>
      </c>
      <c r="L584" s="35">
        <f t="shared" si="182"/>
        <v>0</v>
      </c>
      <c r="M584" s="35">
        <f t="shared" si="182"/>
        <v>0</v>
      </c>
      <c r="N584" s="22">
        <f t="shared" si="178"/>
        <v>136590.95000000001</v>
      </c>
      <c r="O584" s="35">
        <v>1899</v>
      </c>
      <c r="P584" s="9">
        <f t="shared" si="181"/>
        <v>255.09</v>
      </c>
      <c r="Q584" s="35">
        <f>'Форма 2'!K2157</f>
        <v>259</v>
      </c>
      <c r="R584" s="31">
        <v>2021</v>
      </c>
      <c r="S584" s="168">
        <v>1</v>
      </c>
    </row>
    <row r="585" spans="1:19" s="172" customFormat="1" ht="15.75" customHeight="1" x14ac:dyDescent="0.25">
      <c r="A585" s="242">
        <f t="shared" si="179"/>
        <v>7</v>
      </c>
      <c r="B585" s="242">
        <v>5595</v>
      </c>
      <c r="C585" s="231" t="s">
        <v>725</v>
      </c>
      <c r="D585" s="34">
        <v>1966</v>
      </c>
      <c r="E585" s="34" t="s">
        <v>158</v>
      </c>
      <c r="F585" s="34" t="s">
        <v>81</v>
      </c>
      <c r="G585" s="35">
        <v>365.9</v>
      </c>
      <c r="H585" s="35">
        <v>344</v>
      </c>
      <c r="I585" s="47">
        <v>25</v>
      </c>
      <c r="J585" s="35">
        <f>'Форма 2'!I2159</f>
        <v>63984</v>
      </c>
      <c r="K585" s="35">
        <v>0</v>
      </c>
      <c r="L585" s="35">
        <v>0</v>
      </c>
      <c r="M585" s="35">
        <v>0</v>
      </c>
      <c r="N585" s="22">
        <f>J585-K585-L585-M585-O585</f>
        <v>63106.64</v>
      </c>
      <c r="O585" s="35">
        <v>877.36</v>
      </c>
      <c r="P585" s="9">
        <f>J585/H585</f>
        <v>186</v>
      </c>
      <c r="Q585" s="9">
        <f>'Форма 2'!K2159</f>
        <v>186</v>
      </c>
      <c r="R585" s="31">
        <v>2021</v>
      </c>
      <c r="S585" s="168">
        <v>1</v>
      </c>
    </row>
    <row r="586" spans="1:19" s="172" customFormat="1" ht="15.75" customHeight="1" x14ac:dyDescent="0.25">
      <c r="A586" s="242">
        <f t="shared" si="179"/>
        <v>8</v>
      </c>
      <c r="B586" s="40">
        <v>5397</v>
      </c>
      <c r="C586" s="232" t="s">
        <v>570</v>
      </c>
      <c r="D586" s="40">
        <v>1960</v>
      </c>
      <c r="E586" s="242" t="s">
        <v>68</v>
      </c>
      <c r="F586" s="242" t="s">
        <v>82</v>
      </c>
      <c r="G586" s="48">
        <v>592.5</v>
      </c>
      <c r="H586" s="22">
        <v>524.29999999999995</v>
      </c>
      <c r="I586" s="49">
        <v>18</v>
      </c>
      <c r="J586" s="22">
        <f>'Форма 2'!I2162</f>
        <v>2715732.01</v>
      </c>
      <c r="K586" s="22">
        <v>0</v>
      </c>
      <c r="L586" s="22">
        <v>0</v>
      </c>
      <c r="M586" s="22">
        <v>0</v>
      </c>
      <c r="N586" s="22">
        <f t="shared" si="178"/>
        <v>2678493.48</v>
      </c>
      <c r="O586" s="22">
        <v>37238.53</v>
      </c>
      <c r="P586" s="22">
        <f t="shared" si="181"/>
        <v>5179.7299999999996</v>
      </c>
      <c r="Q586" s="22">
        <f>'Форма 2'!K2162</f>
        <v>8203</v>
      </c>
      <c r="R586" s="31">
        <v>2021</v>
      </c>
      <c r="S586" s="168">
        <v>1</v>
      </c>
    </row>
    <row r="587" spans="1:19" s="172" customFormat="1" ht="15.75" customHeight="1" x14ac:dyDescent="0.25">
      <c r="A587" s="242">
        <f t="shared" si="179"/>
        <v>9</v>
      </c>
      <c r="B587" s="242">
        <v>5608</v>
      </c>
      <c r="C587" s="231" t="s">
        <v>523</v>
      </c>
      <c r="D587" s="34">
        <v>1970</v>
      </c>
      <c r="E587" s="40" t="s">
        <v>68</v>
      </c>
      <c r="F587" s="34" t="s">
        <v>81</v>
      </c>
      <c r="G587" s="35">
        <v>725</v>
      </c>
      <c r="H587" s="35">
        <v>689.9</v>
      </c>
      <c r="I587" s="39">
        <v>22</v>
      </c>
      <c r="J587" s="35">
        <f>'Форма 2'!I2165</f>
        <v>162752.63</v>
      </c>
      <c r="K587" s="35">
        <v>0</v>
      </c>
      <c r="L587" s="35">
        <v>0</v>
      </c>
      <c r="M587" s="35">
        <v>0</v>
      </c>
      <c r="N587" s="22">
        <f t="shared" si="178"/>
        <v>160520.94</v>
      </c>
      <c r="O587" s="22">
        <v>2231.69</v>
      </c>
      <c r="P587" s="9">
        <f t="shared" si="181"/>
        <v>235.91</v>
      </c>
      <c r="Q587" s="9">
        <f>'Форма 2'!K2165</f>
        <v>250</v>
      </c>
      <c r="R587" s="31">
        <v>2021</v>
      </c>
      <c r="S587" s="168">
        <v>1</v>
      </c>
    </row>
    <row r="588" spans="1:19" s="172" customFormat="1" ht="15.75" customHeight="1" x14ac:dyDescent="0.25">
      <c r="A588" s="242">
        <f t="shared" si="179"/>
        <v>10</v>
      </c>
      <c r="B588" s="242">
        <v>5623</v>
      </c>
      <c r="C588" s="231" t="s">
        <v>496</v>
      </c>
      <c r="D588" s="34">
        <v>1961</v>
      </c>
      <c r="E588" s="34" t="s">
        <v>478</v>
      </c>
      <c r="F588" s="34" t="s">
        <v>82</v>
      </c>
      <c r="G588" s="35">
        <v>775.7</v>
      </c>
      <c r="H588" s="35">
        <v>705.5</v>
      </c>
      <c r="I588" s="39">
        <v>23</v>
      </c>
      <c r="J588" s="35">
        <f>'Форма 2'!I2167</f>
        <v>3009285.75</v>
      </c>
      <c r="K588" s="35">
        <v>0</v>
      </c>
      <c r="L588" s="35">
        <v>0</v>
      </c>
      <c r="M588" s="35">
        <v>0</v>
      </c>
      <c r="N588" s="22">
        <f t="shared" si="178"/>
        <v>2968021.96</v>
      </c>
      <c r="O588" s="35">
        <v>41263.79</v>
      </c>
      <c r="P588" s="9">
        <f>J588/H588</f>
        <v>4265.47</v>
      </c>
      <c r="Q588" s="35">
        <f>'Форма 2'!K2167</f>
        <v>6299</v>
      </c>
      <c r="R588" s="31">
        <v>2021</v>
      </c>
      <c r="S588" s="168">
        <v>1</v>
      </c>
    </row>
    <row r="589" spans="1:19" s="172" customFormat="1" ht="15.75" customHeight="1" x14ac:dyDescent="0.25">
      <c r="A589" s="242">
        <f t="shared" si="179"/>
        <v>11</v>
      </c>
      <c r="B589" s="40">
        <v>5627</v>
      </c>
      <c r="C589" s="231" t="s">
        <v>519</v>
      </c>
      <c r="D589" s="40">
        <v>1962</v>
      </c>
      <c r="E589" s="242" t="s">
        <v>68</v>
      </c>
      <c r="F589" s="242" t="s">
        <v>81</v>
      </c>
      <c r="G589" s="48">
        <v>755.5</v>
      </c>
      <c r="H589" s="22">
        <v>695.7</v>
      </c>
      <c r="I589" s="63">
        <v>27</v>
      </c>
      <c r="J589" s="22">
        <f>'Форма 2'!I2170</f>
        <v>158909.75</v>
      </c>
      <c r="K589" s="22">
        <v>0</v>
      </c>
      <c r="L589" s="22">
        <v>0</v>
      </c>
      <c r="M589" s="22">
        <v>0</v>
      </c>
      <c r="N589" s="22">
        <f t="shared" si="178"/>
        <v>156730.76</v>
      </c>
      <c r="O589" s="22">
        <v>2178.9899999999998</v>
      </c>
      <c r="P589" s="22">
        <f>J589/H589</f>
        <v>228.42</v>
      </c>
      <c r="Q589" s="22">
        <f>'Форма 2'!K2170</f>
        <v>259</v>
      </c>
      <c r="R589" s="31">
        <v>2021</v>
      </c>
      <c r="S589" s="168">
        <v>1</v>
      </c>
    </row>
    <row r="590" spans="1:19" s="172" customFormat="1" ht="15.75" customHeight="1" x14ac:dyDescent="0.25">
      <c r="A590" s="242">
        <f t="shared" si="179"/>
        <v>12</v>
      </c>
      <c r="B590" s="40">
        <v>5468</v>
      </c>
      <c r="C590" s="232" t="s">
        <v>420</v>
      </c>
      <c r="D590" s="40">
        <v>1960</v>
      </c>
      <c r="E590" s="242" t="s">
        <v>112</v>
      </c>
      <c r="F590" s="242" t="s">
        <v>82</v>
      </c>
      <c r="G590" s="48">
        <v>440.9</v>
      </c>
      <c r="H590" s="22">
        <v>404</v>
      </c>
      <c r="I590" s="49">
        <v>13</v>
      </c>
      <c r="J590" s="22">
        <f>'Форма 2'!I2172</f>
        <v>2141184.0699999998</v>
      </c>
      <c r="K590" s="22">
        <v>0</v>
      </c>
      <c r="L590" s="22">
        <v>0</v>
      </c>
      <c r="M590" s="22">
        <v>0</v>
      </c>
      <c r="N590" s="22">
        <f t="shared" si="178"/>
        <v>2111823.83</v>
      </c>
      <c r="O590" s="22">
        <v>29360.240000000002</v>
      </c>
      <c r="P590" s="22">
        <f t="shared" si="181"/>
        <v>5299.96</v>
      </c>
      <c r="Q590" s="22">
        <f>'Форма 2'!K2172</f>
        <v>10447</v>
      </c>
      <c r="R590" s="31">
        <v>2021</v>
      </c>
      <c r="S590" s="168">
        <v>1</v>
      </c>
    </row>
    <row r="591" spans="1:19" s="172" customFormat="1" ht="15.75" customHeight="1" x14ac:dyDescent="0.25">
      <c r="A591" s="242">
        <f t="shared" si="179"/>
        <v>13</v>
      </c>
      <c r="B591" s="40">
        <v>5469</v>
      </c>
      <c r="C591" s="232" t="s">
        <v>421</v>
      </c>
      <c r="D591" s="40">
        <v>1961</v>
      </c>
      <c r="E591" s="242" t="s">
        <v>478</v>
      </c>
      <c r="F591" s="242" t="s">
        <v>82</v>
      </c>
      <c r="G591" s="48">
        <v>354.7</v>
      </c>
      <c r="H591" s="22">
        <v>327.9</v>
      </c>
      <c r="I591" s="49">
        <v>11</v>
      </c>
      <c r="J591" s="22">
        <f>'Форма 2'!I2177</f>
        <v>1807361.29</v>
      </c>
      <c r="K591" s="22">
        <v>0</v>
      </c>
      <c r="L591" s="22">
        <v>0</v>
      </c>
      <c r="M591" s="22">
        <v>0</v>
      </c>
      <c r="N591" s="22">
        <f t="shared" si="178"/>
        <v>1782578.47</v>
      </c>
      <c r="O591" s="22">
        <v>24782.82</v>
      </c>
      <c r="P591" s="22">
        <f t="shared" si="181"/>
        <v>5511.93</v>
      </c>
      <c r="Q591" s="22">
        <f>'Форма 2'!K2177</f>
        <v>6299</v>
      </c>
      <c r="R591" s="31">
        <v>2021</v>
      </c>
      <c r="S591" s="168">
        <v>1</v>
      </c>
    </row>
    <row r="592" spans="1:19" s="172" customFormat="1" ht="15.75" customHeight="1" x14ac:dyDescent="0.25">
      <c r="A592" s="242">
        <f t="shared" si="179"/>
        <v>14</v>
      </c>
      <c r="B592" s="40">
        <v>5470</v>
      </c>
      <c r="C592" s="232" t="s">
        <v>422</v>
      </c>
      <c r="D592" s="40">
        <v>1961</v>
      </c>
      <c r="E592" s="242" t="s">
        <v>68</v>
      </c>
      <c r="F592" s="242" t="s">
        <v>82</v>
      </c>
      <c r="G592" s="48">
        <v>348.8</v>
      </c>
      <c r="H592" s="22">
        <v>321.39999999999998</v>
      </c>
      <c r="I592" s="49">
        <v>10</v>
      </c>
      <c r="J592" s="22">
        <f>'Форма 2'!I2180</f>
        <v>2126789.35</v>
      </c>
      <c r="K592" s="22">
        <v>0</v>
      </c>
      <c r="L592" s="22">
        <v>0</v>
      </c>
      <c r="M592" s="22">
        <v>0</v>
      </c>
      <c r="N592" s="22">
        <f t="shared" si="178"/>
        <v>2097626.4900000002</v>
      </c>
      <c r="O592" s="22">
        <v>29162.86</v>
      </c>
      <c r="P592" s="22">
        <f t="shared" si="181"/>
        <v>6617.27</v>
      </c>
      <c r="Q592" s="22">
        <f>'Форма 2'!K2180</f>
        <v>8203</v>
      </c>
      <c r="R592" s="31">
        <v>2021</v>
      </c>
      <c r="S592" s="168">
        <v>1</v>
      </c>
    </row>
    <row r="593" spans="1:19" s="172" customFormat="1" ht="15.75" customHeight="1" x14ac:dyDescent="0.25">
      <c r="A593" s="242">
        <f t="shared" si="179"/>
        <v>15</v>
      </c>
      <c r="B593" s="40">
        <v>5473</v>
      </c>
      <c r="C593" s="232" t="s">
        <v>423</v>
      </c>
      <c r="D593" s="40">
        <v>1960</v>
      </c>
      <c r="E593" s="242" t="s">
        <v>68</v>
      </c>
      <c r="F593" s="242" t="s">
        <v>82</v>
      </c>
      <c r="G593" s="48">
        <v>438.1</v>
      </c>
      <c r="H593" s="22">
        <v>403.1</v>
      </c>
      <c r="I593" s="49">
        <v>13</v>
      </c>
      <c r="J593" s="22">
        <f>'Форма 2'!I2183</f>
        <v>2244592.9300000002</v>
      </c>
      <c r="K593" s="22">
        <v>0</v>
      </c>
      <c r="L593" s="22">
        <v>0</v>
      </c>
      <c r="M593" s="22">
        <v>0</v>
      </c>
      <c r="N593" s="22">
        <f t="shared" si="178"/>
        <v>2213814.73</v>
      </c>
      <c r="O593" s="22">
        <v>30778.2</v>
      </c>
      <c r="P593" s="22">
        <f t="shared" si="181"/>
        <v>5568.33</v>
      </c>
      <c r="Q593" s="22">
        <f>'Форма 2'!K2183</f>
        <v>8203</v>
      </c>
      <c r="R593" s="31">
        <v>2021</v>
      </c>
      <c r="S593" s="168">
        <v>1</v>
      </c>
    </row>
    <row r="594" spans="1:19" s="172" customFormat="1" ht="15.75" customHeight="1" x14ac:dyDescent="0.25">
      <c r="A594" s="242">
        <f t="shared" si="179"/>
        <v>16</v>
      </c>
      <c r="B594" s="242">
        <v>5491</v>
      </c>
      <c r="C594" s="231" t="s">
        <v>504</v>
      </c>
      <c r="D594" s="34">
        <v>1962</v>
      </c>
      <c r="E594" s="34" t="s">
        <v>68</v>
      </c>
      <c r="F594" s="34" t="s">
        <v>82</v>
      </c>
      <c r="G594" s="35">
        <v>687</v>
      </c>
      <c r="H594" s="35">
        <v>639.5</v>
      </c>
      <c r="I594" s="39">
        <v>22</v>
      </c>
      <c r="J594" s="35">
        <f>'Форма 2'!I2186</f>
        <v>3633419.55</v>
      </c>
      <c r="K594" s="35">
        <v>0</v>
      </c>
      <c r="L594" s="35">
        <v>0</v>
      </c>
      <c r="M594" s="35">
        <v>0</v>
      </c>
      <c r="N594" s="22">
        <f t="shared" si="178"/>
        <v>3583597.54</v>
      </c>
      <c r="O594" s="35">
        <v>49822.01</v>
      </c>
      <c r="P594" s="9">
        <f t="shared" si="181"/>
        <v>5681.66</v>
      </c>
      <c r="Q594" s="35">
        <f>'Форма 2'!K2186</f>
        <v>8203</v>
      </c>
      <c r="R594" s="31">
        <v>2021</v>
      </c>
      <c r="S594" s="168">
        <v>1</v>
      </c>
    </row>
    <row r="595" spans="1:19" s="172" customFormat="1" ht="15.75" customHeight="1" x14ac:dyDescent="0.25">
      <c r="A595" s="40">
        <f t="shared" si="179"/>
        <v>17</v>
      </c>
      <c r="B595" s="40">
        <v>5493</v>
      </c>
      <c r="C595" s="232" t="s">
        <v>424</v>
      </c>
      <c r="D595" s="40">
        <v>1964</v>
      </c>
      <c r="E595" s="242" t="s">
        <v>68</v>
      </c>
      <c r="F595" s="242" t="s">
        <v>82</v>
      </c>
      <c r="G595" s="48">
        <v>1610.4</v>
      </c>
      <c r="H595" s="22">
        <v>1503.6</v>
      </c>
      <c r="I595" s="49">
        <v>48</v>
      </c>
      <c r="J595" s="22">
        <f>'Форма 2'!I2189</f>
        <v>6993319.4000000004</v>
      </c>
      <c r="K595" s="22">
        <v>0</v>
      </c>
      <c r="L595" s="22">
        <v>0</v>
      </c>
      <c r="M595" s="22">
        <v>0</v>
      </c>
      <c r="N595" s="22">
        <f t="shared" si="178"/>
        <v>6897425.9299999997</v>
      </c>
      <c r="O595" s="22">
        <v>95893.47</v>
      </c>
      <c r="P595" s="22">
        <f t="shared" si="181"/>
        <v>4651.05</v>
      </c>
      <c r="Q595" s="22">
        <f>'Форма 2'!K2189</f>
        <v>5826</v>
      </c>
      <c r="R595" s="31">
        <v>2021</v>
      </c>
      <c r="S595" s="168">
        <v>1</v>
      </c>
    </row>
    <row r="596" spans="1:19" s="172" customFormat="1" ht="15.75" customHeight="1" x14ac:dyDescent="0.25">
      <c r="A596" s="242">
        <f t="shared" si="179"/>
        <v>18</v>
      </c>
      <c r="B596" s="242">
        <v>5494</v>
      </c>
      <c r="C596" s="231" t="s">
        <v>500</v>
      </c>
      <c r="D596" s="34">
        <v>1966</v>
      </c>
      <c r="E596" s="34" t="s">
        <v>68</v>
      </c>
      <c r="F596" s="34" t="s">
        <v>82</v>
      </c>
      <c r="G596" s="35">
        <v>1580.9</v>
      </c>
      <c r="H596" s="35">
        <v>1504.3</v>
      </c>
      <c r="I596" s="39">
        <v>56</v>
      </c>
      <c r="J596" s="35">
        <f>'Форма 2'!I2192</f>
        <v>6885120.21</v>
      </c>
      <c r="K596" s="35">
        <v>0</v>
      </c>
      <c r="L596" s="35">
        <v>0</v>
      </c>
      <c r="M596" s="35">
        <v>0</v>
      </c>
      <c r="N596" s="22">
        <f t="shared" si="178"/>
        <v>6790710.3899999997</v>
      </c>
      <c r="O596" s="35">
        <v>94409.82</v>
      </c>
      <c r="P596" s="9">
        <f t="shared" si="181"/>
        <v>4576.96</v>
      </c>
      <c r="Q596" s="35">
        <f>'Форма 2'!K2192</f>
        <v>5826</v>
      </c>
      <c r="R596" s="31">
        <v>2021</v>
      </c>
      <c r="S596" s="168">
        <v>1</v>
      </c>
    </row>
    <row r="597" spans="1:19" s="172" customFormat="1" ht="15.75" customHeight="1" x14ac:dyDescent="0.25">
      <c r="A597" s="242">
        <f t="shared" si="179"/>
        <v>19</v>
      </c>
      <c r="B597" s="50">
        <v>5495</v>
      </c>
      <c r="C597" s="231" t="s">
        <v>524</v>
      </c>
      <c r="D597" s="40">
        <v>1970</v>
      </c>
      <c r="E597" s="242" t="s">
        <v>68</v>
      </c>
      <c r="F597" s="34" t="s">
        <v>81</v>
      </c>
      <c r="G597" s="48">
        <v>1580.9</v>
      </c>
      <c r="H597" s="22">
        <v>1511.2</v>
      </c>
      <c r="I597" s="51">
        <v>51</v>
      </c>
      <c r="J597" s="22">
        <f>'Форма 2'!I2195</f>
        <v>241021.53</v>
      </c>
      <c r="K597" s="22">
        <v>0</v>
      </c>
      <c r="L597" s="22">
        <v>0</v>
      </c>
      <c r="M597" s="22">
        <v>0</v>
      </c>
      <c r="N597" s="22">
        <f t="shared" si="178"/>
        <v>237716.61</v>
      </c>
      <c r="O597" s="22">
        <v>3304.92</v>
      </c>
      <c r="P597" s="22">
        <f>J597/H597</f>
        <v>159.49</v>
      </c>
      <c r="Q597" s="22">
        <f>'Форма 2'!K2195</f>
        <v>242</v>
      </c>
      <c r="R597" s="31">
        <v>2021</v>
      </c>
      <c r="S597" s="168">
        <v>1</v>
      </c>
    </row>
    <row r="598" spans="1:19" s="172" customFormat="1" ht="15.75" customHeight="1" x14ac:dyDescent="0.25">
      <c r="A598" s="40">
        <f>A597+1</f>
        <v>20</v>
      </c>
      <c r="B598" s="40">
        <v>5474</v>
      </c>
      <c r="C598" s="232" t="s">
        <v>501</v>
      </c>
      <c r="D598" s="40">
        <v>1963</v>
      </c>
      <c r="E598" s="242" t="s">
        <v>68</v>
      </c>
      <c r="F598" s="242" t="s">
        <v>81</v>
      </c>
      <c r="G598" s="48">
        <v>983</v>
      </c>
      <c r="H598" s="22">
        <v>751.5</v>
      </c>
      <c r="I598" s="49">
        <v>37</v>
      </c>
      <c r="J598" s="22">
        <f>'Форма 2'!I2197</f>
        <v>177119.41</v>
      </c>
      <c r="K598" s="22">
        <v>0</v>
      </c>
      <c r="L598" s="22">
        <v>0</v>
      </c>
      <c r="M598" s="22">
        <v>0</v>
      </c>
      <c r="N598" s="22">
        <f t="shared" si="178"/>
        <v>174690.72</v>
      </c>
      <c r="O598" s="22">
        <v>2428.69</v>
      </c>
      <c r="P598" s="22">
        <f t="shared" si="181"/>
        <v>235.69</v>
      </c>
      <c r="Q598" s="22">
        <f>'Форма 2'!K2197</f>
        <v>250</v>
      </c>
      <c r="R598" s="31">
        <v>2021</v>
      </c>
      <c r="S598" s="168">
        <v>1</v>
      </c>
    </row>
    <row r="599" spans="1:19" s="172" customFormat="1" ht="15.75" customHeight="1" x14ac:dyDescent="0.25">
      <c r="A599" s="40">
        <f t="shared" si="179"/>
        <v>21</v>
      </c>
      <c r="B599" s="40">
        <v>5482</v>
      </c>
      <c r="C599" s="232" t="s">
        <v>425</v>
      </c>
      <c r="D599" s="40">
        <v>1960</v>
      </c>
      <c r="E599" s="242" t="s">
        <v>68</v>
      </c>
      <c r="F599" s="242" t="s">
        <v>82</v>
      </c>
      <c r="G599" s="48">
        <v>354.3</v>
      </c>
      <c r="H599" s="22">
        <v>323.60000000000002</v>
      </c>
      <c r="I599" s="52">
        <v>10</v>
      </c>
      <c r="J599" s="22">
        <f>'Форма 2'!I2199</f>
        <v>2038228.13</v>
      </c>
      <c r="K599" s="22">
        <v>0</v>
      </c>
      <c r="L599" s="22">
        <v>0</v>
      </c>
      <c r="M599" s="22">
        <v>0</v>
      </c>
      <c r="N599" s="22">
        <f t="shared" si="178"/>
        <v>2010279.63</v>
      </c>
      <c r="O599" s="22">
        <v>27948.5</v>
      </c>
      <c r="P599" s="22">
        <f t="shared" si="181"/>
        <v>6298.6</v>
      </c>
      <c r="Q599" s="22">
        <f>'Форма 2'!K2199</f>
        <v>8203</v>
      </c>
      <c r="R599" s="31">
        <v>2021</v>
      </c>
      <c r="S599" s="168">
        <v>1</v>
      </c>
    </row>
    <row r="600" spans="1:19" s="172" customFormat="1" ht="15.75" customHeight="1" x14ac:dyDescent="0.25">
      <c r="A600" s="40">
        <f t="shared" si="179"/>
        <v>22</v>
      </c>
      <c r="B600" s="50">
        <v>5483</v>
      </c>
      <c r="C600" s="232" t="s">
        <v>505</v>
      </c>
      <c r="D600" s="40">
        <v>1960</v>
      </c>
      <c r="E600" s="242" t="s">
        <v>68</v>
      </c>
      <c r="F600" s="242" t="s">
        <v>81</v>
      </c>
      <c r="G600" s="48">
        <v>354</v>
      </c>
      <c r="H600" s="22">
        <v>323</v>
      </c>
      <c r="I600" s="53">
        <v>13</v>
      </c>
      <c r="J600" s="22">
        <f>'Форма 2'!I2202</f>
        <v>83656.990000000005</v>
      </c>
      <c r="K600" s="22">
        <v>0</v>
      </c>
      <c r="L600" s="22">
        <v>0</v>
      </c>
      <c r="M600" s="22">
        <v>0</v>
      </c>
      <c r="N600" s="22">
        <f t="shared" si="178"/>
        <v>82509.87</v>
      </c>
      <c r="O600" s="22">
        <v>1147.1199999999999</v>
      </c>
      <c r="P600" s="22">
        <f t="shared" si="181"/>
        <v>259</v>
      </c>
      <c r="Q600" s="22">
        <f>'Форма 2'!K2202</f>
        <v>259</v>
      </c>
      <c r="R600" s="31">
        <v>2021</v>
      </c>
      <c r="S600" s="168">
        <v>1</v>
      </c>
    </row>
    <row r="601" spans="1:19" s="172" customFormat="1" ht="15.75" customHeight="1" x14ac:dyDescent="0.25">
      <c r="A601" s="40">
        <f t="shared" si="179"/>
        <v>23</v>
      </c>
      <c r="B601" s="50">
        <v>5485</v>
      </c>
      <c r="C601" s="232" t="s">
        <v>506</v>
      </c>
      <c r="D601" s="40">
        <v>1961</v>
      </c>
      <c r="E601" s="242" t="s">
        <v>232</v>
      </c>
      <c r="F601" s="242" t="s">
        <v>82</v>
      </c>
      <c r="G601" s="48">
        <v>429.1</v>
      </c>
      <c r="H601" s="22">
        <v>394.2</v>
      </c>
      <c r="I601" s="53">
        <v>16</v>
      </c>
      <c r="J601" s="22">
        <f>'Форма 2'!I2204</f>
        <v>248740.2</v>
      </c>
      <c r="K601" s="22">
        <v>0</v>
      </c>
      <c r="L601" s="22">
        <v>0</v>
      </c>
      <c r="M601" s="22">
        <v>0</v>
      </c>
      <c r="N601" s="22">
        <f t="shared" si="178"/>
        <v>245329.44</v>
      </c>
      <c r="O601" s="22">
        <v>3410.76</v>
      </c>
      <c r="P601" s="22">
        <f t="shared" si="181"/>
        <v>631</v>
      </c>
      <c r="Q601" s="22">
        <f>'Форма 2'!K2204</f>
        <v>631</v>
      </c>
      <c r="R601" s="31">
        <v>2021</v>
      </c>
      <c r="S601" s="168">
        <v>1</v>
      </c>
    </row>
    <row r="602" spans="1:19" s="172" customFormat="1" ht="15.75" customHeight="1" x14ac:dyDescent="0.25">
      <c r="A602" s="40">
        <f t="shared" si="179"/>
        <v>24</v>
      </c>
      <c r="B602" s="242">
        <v>5545</v>
      </c>
      <c r="C602" s="231" t="s">
        <v>497</v>
      </c>
      <c r="D602" s="34">
        <v>1965</v>
      </c>
      <c r="E602" s="34" t="s">
        <v>68</v>
      </c>
      <c r="F602" s="34" t="s">
        <v>82</v>
      </c>
      <c r="G602" s="35">
        <v>401.2</v>
      </c>
      <c r="H602" s="35">
        <v>356.8</v>
      </c>
      <c r="I602" s="39">
        <v>24</v>
      </c>
      <c r="J602" s="35">
        <f>'Форма 2'!I2207</f>
        <v>2179676.59</v>
      </c>
      <c r="K602" s="35">
        <v>0</v>
      </c>
      <c r="L602" s="35">
        <v>0</v>
      </c>
      <c r="M602" s="35">
        <v>0</v>
      </c>
      <c r="N602" s="22">
        <f t="shared" si="178"/>
        <v>2149788.5299999998</v>
      </c>
      <c r="O602" s="35">
        <v>29888.06</v>
      </c>
      <c r="P602" s="9">
        <f t="shared" si="181"/>
        <v>6108.96</v>
      </c>
      <c r="Q602" s="35">
        <f>'Форма 2'!K2207</f>
        <v>8203</v>
      </c>
      <c r="R602" s="31">
        <v>2021</v>
      </c>
      <c r="S602" s="168">
        <v>1</v>
      </c>
    </row>
    <row r="603" spans="1:19" s="172" customFormat="1" ht="15.75" customHeight="1" x14ac:dyDescent="0.25">
      <c r="A603" s="242">
        <f t="shared" si="179"/>
        <v>25</v>
      </c>
      <c r="B603" s="242">
        <v>8311</v>
      </c>
      <c r="C603" s="231" t="s">
        <v>726</v>
      </c>
      <c r="D603" s="34">
        <v>1957</v>
      </c>
      <c r="E603" s="34" t="s">
        <v>112</v>
      </c>
      <c r="F603" s="34" t="s">
        <v>81</v>
      </c>
      <c r="G603" s="35">
        <v>512</v>
      </c>
      <c r="H603" s="35">
        <v>497.1</v>
      </c>
      <c r="I603" s="39">
        <v>20</v>
      </c>
      <c r="J603" s="35">
        <f>'Форма 2'!I2210</f>
        <v>230654.4</v>
      </c>
      <c r="K603" s="35">
        <v>0</v>
      </c>
      <c r="L603" s="35">
        <v>0</v>
      </c>
      <c r="M603" s="35">
        <v>0</v>
      </c>
      <c r="N603" s="22">
        <f t="shared" si="178"/>
        <v>227491.63</v>
      </c>
      <c r="O603" s="35">
        <v>3162.77</v>
      </c>
      <c r="P603" s="9">
        <f t="shared" si="181"/>
        <v>464</v>
      </c>
      <c r="Q603" s="9">
        <f>'Форма 2'!K2210</f>
        <v>464</v>
      </c>
      <c r="R603" s="31">
        <v>2021</v>
      </c>
      <c r="S603" s="168">
        <v>1</v>
      </c>
    </row>
    <row r="604" spans="1:19" s="172" customFormat="1" ht="15.75" customHeight="1" x14ac:dyDescent="0.25">
      <c r="A604" s="40">
        <f>A603+1</f>
        <v>26</v>
      </c>
      <c r="B604" s="242">
        <v>5716</v>
      </c>
      <c r="C604" s="231" t="s">
        <v>520</v>
      </c>
      <c r="D604" s="34">
        <v>1965</v>
      </c>
      <c r="E604" s="34" t="s">
        <v>68</v>
      </c>
      <c r="F604" s="34" t="s">
        <v>81</v>
      </c>
      <c r="G604" s="35">
        <v>432.7</v>
      </c>
      <c r="H604" s="35">
        <v>380.8</v>
      </c>
      <c r="I604" s="39">
        <v>12</v>
      </c>
      <c r="J604" s="35">
        <f>'Форма 2'!I2213</f>
        <v>95200</v>
      </c>
      <c r="K604" s="35">
        <v>0</v>
      </c>
      <c r="L604" s="35">
        <v>0</v>
      </c>
      <c r="M604" s="35">
        <v>0</v>
      </c>
      <c r="N604" s="22">
        <f t="shared" si="178"/>
        <v>93894.6</v>
      </c>
      <c r="O604" s="35">
        <v>1305.4000000000001</v>
      </c>
      <c r="P604" s="9">
        <f t="shared" si="181"/>
        <v>250</v>
      </c>
      <c r="Q604" s="35">
        <f>'Форма 2'!K2213</f>
        <v>250</v>
      </c>
      <c r="R604" s="31">
        <v>2021</v>
      </c>
      <c r="S604" s="168">
        <v>1</v>
      </c>
    </row>
    <row r="605" spans="1:19" s="172" customFormat="1" ht="15.75" customHeight="1" x14ac:dyDescent="0.25">
      <c r="A605" s="40">
        <f t="shared" si="179"/>
        <v>27</v>
      </c>
      <c r="B605" s="50">
        <v>5718</v>
      </c>
      <c r="C605" s="232" t="s">
        <v>521</v>
      </c>
      <c r="D605" s="40">
        <v>1967</v>
      </c>
      <c r="E605" s="242" t="s">
        <v>68</v>
      </c>
      <c r="F605" s="242" t="s">
        <v>81</v>
      </c>
      <c r="G605" s="48">
        <v>412.1</v>
      </c>
      <c r="H605" s="22">
        <v>376.5</v>
      </c>
      <c r="I605" s="57">
        <v>15</v>
      </c>
      <c r="J605" s="22">
        <f>'Форма 2'!I2215</f>
        <v>94125</v>
      </c>
      <c r="K605" s="22">
        <v>0</v>
      </c>
      <c r="L605" s="22">
        <v>0</v>
      </c>
      <c r="M605" s="22">
        <v>0</v>
      </c>
      <c r="N605" s="22">
        <f t="shared" si="178"/>
        <v>92834.34</v>
      </c>
      <c r="O605" s="22">
        <v>1290.6600000000001</v>
      </c>
      <c r="P605" s="22">
        <f t="shared" si="181"/>
        <v>250</v>
      </c>
      <c r="Q605" s="22">
        <f>'Форма 2'!K2215</f>
        <v>250</v>
      </c>
      <c r="R605" s="31">
        <v>2021</v>
      </c>
      <c r="S605" s="168">
        <v>1</v>
      </c>
    </row>
    <row r="606" spans="1:19" s="172" customFormat="1" ht="15.75" customHeight="1" x14ac:dyDescent="0.25">
      <c r="A606" s="242">
        <f t="shared" si="179"/>
        <v>28</v>
      </c>
      <c r="B606" s="50">
        <v>5719</v>
      </c>
      <c r="C606" s="232" t="s">
        <v>727</v>
      </c>
      <c r="D606" s="40">
        <v>1968</v>
      </c>
      <c r="E606" s="242" t="s">
        <v>158</v>
      </c>
      <c r="F606" s="242" t="s">
        <v>81</v>
      </c>
      <c r="G606" s="48">
        <v>426</v>
      </c>
      <c r="H606" s="22">
        <v>372.8</v>
      </c>
      <c r="I606" s="57">
        <v>12</v>
      </c>
      <c r="J606" s="22">
        <f>'Форма 2'!I2217</f>
        <v>69340.800000000003</v>
      </c>
      <c r="K606" s="22">
        <v>0</v>
      </c>
      <c r="L606" s="22">
        <v>0</v>
      </c>
      <c r="M606" s="22">
        <v>0</v>
      </c>
      <c r="N606" s="22">
        <f t="shared" si="178"/>
        <v>68389.990000000005</v>
      </c>
      <c r="O606" s="22">
        <v>950.81</v>
      </c>
      <c r="P606" s="22">
        <f t="shared" si="181"/>
        <v>186</v>
      </c>
      <c r="Q606" s="22">
        <f>'Форма 2'!K2217</f>
        <v>186</v>
      </c>
      <c r="R606" s="31">
        <v>2021</v>
      </c>
      <c r="S606" s="168">
        <v>1</v>
      </c>
    </row>
    <row r="607" spans="1:19" s="172" customFormat="1" ht="15.75" customHeight="1" x14ac:dyDescent="0.25">
      <c r="A607" s="40">
        <f t="shared" si="179"/>
        <v>29</v>
      </c>
      <c r="B607" s="242">
        <v>5795</v>
      </c>
      <c r="C607" s="231" t="s">
        <v>522</v>
      </c>
      <c r="D607" s="34">
        <v>1969</v>
      </c>
      <c r="E607" s="34" t="s">
        <v>68</v>
      </c>
      <c r="F607" s="34" t="s">
        <v>81</v>
      </c>
      <c r="G607" s="35">
        <v>419.2</v>
      </c>
      <c r="H607" s="35">
        <v>379.2</v>
      </c>
      <c r="I607" s="39">
        <v>30</v>
      </c>
      <c r="J607" s="35">
        <f>'Форма 2'!I2220</f>
        <v>88763.199999999997</v>
      </c>
      <c r="K607" s="35">
        <v>0</v>
      </c>
      <c r="L607" s="35">
        <v>0</v>
      </c>
      <c r="M607" s="35">
        <v>0</v>
      </c>
      <c r="N607" s="22">
        <f t="shared" si="178"/>
        <v>87546.07</v>
      </c>
      <c r="O607" s="35">
        <v>1217.1300000000001</v>
      </c>
      <c r="P607" s="9">
        <f t="shared" si="181"/>
        <v>234.08</v>
      </c>
      <c r="Q607" s="35">
        <f>'Форма 2'!K2220</f>
        <v>250</v>
      </c>
      <c r="R607" s="31">
        <v>2021</v>
      </c>
      <c r="S607" s="168">
        <v>1</v>
      </c>
    </row>
    <row r="608" spans="1:19" s="172" customFormat="1" ht="15.75" customHeight="1" x14ac:dyDescent="0.25">
      <c r="A608" s="40">
        <f t="shared" si="179"/>
        <v>30</v>
      </c>
      <c r="B608" s="40">
        <v>5797</v>
      </c>
      <c r="C608" s="232" t="s">
        <v>498</v>
      </c>
      <c r="D608" s="40">
        <v>1965</v>
      </c>
      <c r="E608" s="242" t="s">
        <v>68</v>
      </c>
      <c r="F608" s="242" t="s">
        <v>81</v>
      </c>
      <c r="G608" s="48">
        <v>399.5</v>
      </c>
      <c r="H608" s="22">
        <v>353.9</v>
      </c>
      <c r="I608" s="51">
        <v>22</v>
      </c>
      <c r="J608" s="22">
        <f>'Форма 2'!I2222</f>
        <v>88475</v>
      </c>
      <c r="K608" s="22">
        <v>0</v>
      </c>
      <c r="L608" s="22">
        <v>0</v>
      </c>
      <c r="M608" s="22">
        <v>0</v>
      </c>
      <c r="N608" s="22">
        <f t="shared" si="178"/>
        <v>87261.82</v>
      </c>
      <c r="O608" s="22">
        <v>1213.18</v>
      </c>
      <c r="P608" s="22">
        <f t="shared" si="181"/>
        <v>250</v>
      </c>
      <c r="Q608" s="22">
        <f>'Форма 2'!K2222</f>
        <v>250</v>
      </c>
      <c r="R608" s="31">
        <v>2021</v>
      </c>
      <c r="S608" s="168">
        <v>1</v>
      </c>
    </row>
    <row r="609" spans="1:19" s="172" customFormat="1" ht="15.75" customHeight="1" x14ac:dyDescent="0.25">
      <c r="A609" s="242">
        <f t="shared" si="179"/>
        <v>31</v>
      </c>
      <c r="B609" s="242">
        <v>5799</v>
      </c>
      <c r="C609" s="231" t="s">
        <v>499</v>
      </c>
      <c r="D609" s="34">
        <v>1965</v>
      </c>
      <c r="E609" s="34" t="s">
        <v>68</v>
      </c>
      <c r="F609" s="34" t="s">
        <v>82</v>
      </c>
      <c r="G609" s="35">
        <v>399.1</v>
      </c>
      <c r="H609" s="35">
        <v>352.4</v>
      </c>
      <c r="I609" s="39">
        <v>14</v>
      </c>
      <c r="J609" s="35">
        <f>'Форма 2'!I2224</f>
        <v>2393052.06</v>
      </c>
      <c r="K609" s="35">
        <v>0</v>
      </c>
      <c r="L609" s="35">
        <v>0</v>
      </c>
      <c r="M609" s="35">
        <v>0</v>
      </c>
      <c r="N609" s="22">
        <f t="shared" si="178"/>
        <v>2360238.16</v>
      </c>
      <c r="O609" s="35">
        <v>32813.9</v>
      </c>
      <c r="P609" s="9">
        <f t="shared" si="181"/>
        <v>6790.73</v>
      </c>
      <c r="Q609" s="35">
        <f>'Форма 2'!K2224</f>
        <v>8203</v>
      </c>
      <c r="R609" s="31">
        <v>2021</v>
      </c>
      <c r="S609" s="168">
        <v>1</v>
      </c>
    </row>
    <row r="610" spans="1:19" ht="15.75" customHeight="1" x14ac:dyDescent="0.25">
      <c r="A610" s="281" t="s">
        <v>36</v>
      </c>
      <c r="B610" s="281"/>
      <c r="C610" s="281"/>
      <c r="D610" s="10" t="s">
        <v>13</v>
      </c>
      <c r="E610" s="9" t="s">
        <v>13</v>
      </c>
      <c r="F610" s="9" t="s">
        <v>13</v>
      </c>
      <c r="G610" s="9">
        <f t="shared" ref="G610:O610" si="183">SUM(G611:G613)</f>
        <v>2396.1</v>
      </c>
      <c r="H610" s="9">
        <f t="shared" si="183"/>
        <v>1772.3</v>
      </c>
      <c r="I610" s="11">
        <f t="shared" si="183"/>
        <v>78</v>
      </c>
      <c r="J610" s="9">
        <f t="shared" si="183"/>
        <v>2389135.5</v>
      </c>
      <c r="K610" s="9">
        <f t="shared" si="183"/>
        <v>0</v>
      </c>
      <c r="L610" s="9">
        <f t="shared" si="183"/>
        <v>0</v>
      </c>
      <c r="M610" s="9">
        <f t="shared" si="183"/>
        <v>0</v>
      </c>
      <c r="N610" s="9">
        <f t="shared" si="183"/>
        <v>2339775.04</v>
      </c>
      <c r="O610" s="9">
        <f t="shared" si="183"/>
        <v>49360.46</v>
      </c>
      <c r="P610" s="9" t="s">
        <v>13</v>
      </c>
      <c r="Q610" s="9" t="s">
        <v>13</v>
      </c>
      <c r="R610" s="9" t="s">
        <v>13</v>
      </c>
      <c r="S610" s="15" t="s">
        <v>13</v>
      </c>
    </row>
    <row r="611" spans="1:19" ht="15.75" customHeight="1" x14ac:dyDescent="0.25">
      <c r="A611" s="13">
        <v>1</v>
      </c>
      <c r="B611" s="251">
        <v>4905</v>
      </c>
      <c r="C611" s="29" t="s">
        <v>296</v>
      </c>
      <c r="D611" s="13">
        <v>1974</v>
      </c>
      <c r="E611" s="13" t="s">
        <v>230</v>
      </c>
      <c r="F611" s="255" t="s">
        <v>82</v>
      </c>
      <c r="G611" s="35">
        <v>1572</v>
      </c>
      <c r="H611" s="35">
        <v>1060.7</v>
      </c>
      <c r="I611" s="39">
        <v>36</v>
      </c>
      <c r="J611" s="35">
        <f>'Форма 2'!I2228</f>
        <v>2211235.5</v>
      </c>
      <c r="K611" s="35">
        <v>0</v>
      </c>
      <c r="L611" s="35">
        <v>0</v>
      </c>
      <c r="M611" s="35">
        <v>0</v>
      </c>
      <c r="N611" s="35">
        <f>J611-O611</f>
        <v>2165550.52</v>
      </c>
      <c r="O611" s="132">
        <v>45684.98</v>
      </c>
      <c r="P611" s="35">
        <f>J611/H611</f>
        <v>2084.69</v>
      </c>
      <c r="Q611" s="35">
        <f>'Форма 2'!K2228</f>
        <v>3814</v>
      </c>
      <c r="R611" s="31" t="s">
        <v>375</v>
      </c>
      <c r="S611" s="168">
        <v>1</v>
      </c>
    </row>
    <row r="612" spans="1:19" ht="15.75" customHeight="1" x14ac:dyDescent="0.25">
      <c r="A612" s="182">
        <f>A611+1</f>
        <v>2</v>
      </c>
      <c r="B612" s="182">
        <v>4930</v>
      </c>
      <c r="C612" s="246" t="s">
        <v>696</v>
      </c>
      <c r="D612" s="244">
        <v>1965</v>
      </c>
      <c r="E612" s="244" t="s">
        <v>68</v>
      </c>
      <c r="F612" s="244" t="s">
        <v>81</v>
      </c>
      <c r="G612" s="173">
        <v>395.9</v>
      </c>
      <c r="H612" s="173">
        <v>353.7</v>
      </c>
      <c r="I612" s="186">
        <v>22</v>
      </c>
      <c r="J612" s="173">
        <f>'Форма 2'!I2233</f>
        <v>88425</v>
      </c>
      <c r="K612" s="132">
        <v>0</v>
      </c>
      <c r="L612" s="132">
        <v>0</v>
      </c>
      <c r="M612" s="132">
        <v>0</v>
      </c>
      <c r="N612" s="132">
        <f>J612-O612</f>
        <v>86598.11</v>
      </c>
      <c r="O612" s="132">
        <v>1826.89</v>
      </c>
      <c r="P612" s="132">
        <f>J612/H612</f>
        <v>250</v>
      </c>
      <c r="Q612" s="173">
        <f>'Форма 2'!K2233</f>
        <v>250</v>
      </c>
      <c r="R612" s="187" t="s">
        <v>375</v>
      </c>
      <c r="S612" s="190">
        <v>1</v>
      </c>
    </row>
    <row r="613" spans="1:19" ht="15.75" customHeight="1" x14ac:dyDescent="0.25">
      <c r="A613" s="13">
        <f t="shared" ref="A613" si="184">A612+1</f>
        <v>3</v>
      </c>
      <c r="B613" s="40">
        <v>4933</v>
      </c>
      <c r="C613" s="260" t="s">
        <v>568</v>
      </c>
      <c r="D613" s="255">
        <v>1991</v>
      </c>
      <c r="E613" s="255" t="s">
        <v>68</v>
      </c>
      <c r="F613" s="255" t="s">
        <v>81</v>
      </c>
      <c r="G613" s="22">
        <v>428.2</v>
      </c>
      <c r="H613" s="22">
        <v>357.9</v>
      </c>
      <c r="I613" s="55">
        <v>20</v>
      </c>
      <c r="J613" s="22">
        <f>'Форма 2'!I2235</f>
        <v>89475</v>
      </c>
      <c r="K613" s="9">
        <v>0</v>
      </c>
      <c r="L613" s="9">
        <v>0</v>
      </c>
      <c r="M613" s="9">
        <v>0</v>
      </c>
      <c r="N613" s="9">
        <f>J613-O613</f>
        <v>87626.41</v>
      </c>
      <c r="O613" s="132">
        <v>1848.59</v>
      </c>
      <c r="P613" s="9">
        <f>J613/H613</f>
        <v>250</v>
      </c>
      <c r="Q613" s="22">
        <f>'Форма 2'!K2235</f>
        <v>250</v>
      </c>
      <c r="R613" s="56" t="s">
        <v>375</v>
      </c>
      <c r="S613" s="168">
        <v>1</v>
      </c>
    </row>
    <row r="614" spans="1:19" ht="15.75" customHeight="1" x14ac:dyDescent="0.25">
      <c r="A614" s="281" t="s">
        <v>48</v>
      </c>
      <c r="B614" s="281"/>
      <c r="C614" s="281"/>
      <c r="D614" s="10" t="s">
        <v>13</v>
      </c>
      <c r="E614" s="9" t="s">
        <v>13</v>
      </c>
      <c r="F614" s="9" t="s">
        <v>13</v>
      </c>
      <c r="G614" s="9">
        <f>SUM(G615:G617)</f>
        <v>1113</v>
      </c>
      <c r="H614" s="9">
        <f t="shared" ref="H614:O614" si="185">SUM(H615:H617)</f>
        <v>1043.0999999999999</v>
      </c>
      <c r="I614" s="11">
        <f t="shared" si="185"/>
        <v>44</v>
      </c>
      <c r="J614" s="9">
        <f t="shared" si="185"/>
        <v>1902624.76</v>
      </c>
      <c r="K614" s="9">
        <f t="shared" si="185"/>
        <v>0</v>
      </c>
      <c r="L614" s="9">
        <f t="shared" si="185"/>
        <v>0</v>
      </c>
      <c r="M614" s="9">
        <f t="shared" si="185"/>
        <v>0</v>
      </c>
      <c r="N614" s="9">
        <f t="shared" si="185"/>
        <v>1847919.54</v>
      </c>
      <c r="O614" s="9">
        <f t="shared" si="185"/>
        <v>54705.22</v>
      </c>
      <c r="P614" s="9" t="s">
        <v>13</v>
      </c>
      <c r="Q614" s="9" t="s">
        <v>13</v>
      </c>
      <c r="R614" s="9" t="s">
        <v>13</v>
      </c>
      <c r="S614" s="15" t="s">
        <v>13</v>
      </c>
    </row>
    <row r="615" spans="1:19" ht="15.75" customHeight="1" x14ac:dyDescent="0.25">
      <c r="A615" s="13">
        <v>1</v>
      </c>
      <c r="B615" s="251">
        <v>6786</v>
      </c>
      <c r="C615" s="29" t="s">
        <v>299</v>
      </c>
      <c r="D615" s="13">
        <v>1966</v>
      </c>
      <c r="E615" s="13" t="s">
        <v>230</v>
      </c>
      <c r="F615" s="255" t="s">
        <v>82</v>
      </c>
      <c r="G615" s="44">
        <v>240.45</v>
      </c>
      <c r="H615" s="173">
        <v>229.4</v>
      </c>
      <c r="I615" s="21">
        <v>14</v>
      </c>
      <c r="J615" s="9">
        <f>'Форма 2'!I2238</f>
        <v>520723.76</v>
      </c>
      <c r="K615" s="9">
        <v>0</v>
      </c>
      <c r="L615" s="9">
        <v>0</v>
      </c>
      <c r="M615" s="9">
        <v>0</v>
      </c>
      <c r="N615" s="9">
        <f>J615-L615-M615-O615</f>
        <v>505751.65</v>
      </c>
      <c r="O615" s="9">
        <v>14972.11</v>
      </c>
      <c r="P615" s="9">
        <f>J615/H615</f>
        <v>2269.94</v>
      </c>
      <c r="Q615" s="9">
        <f>'Форма 2'!K2238</f>
        <v>3661</v>
      </c>
      <c r="R615" s="43">
        <v>2021</v>
      </c>
      <c r="S615" s="168">
        <v>1</v>
      </c>
    </row>
    <row r="616" spans="1:19" ht="15.75" customHeight="1" x14ac:dyDescent="0.25">
      <c r="A616" s="244">
        <v>2</v>
      </c>
      <c r="B616" s="188">
        <v>6791</v>
      </c>
      <c r="C616" s="254" t="s">
        <v>699</v>
      </c>
      <c r="D616" s="244">
        <v>1970</v>
      </c>
      <c r="E616" s="244" t="s">
        <v>68</v>
      </c>
      <c r="F616" s="244" t="s">
        <v>81</v>
      </c>
      <c r="G616" s="183">
        <v>509.25</v>
      </c>
      <c r="H616" s="173">
        <v>467.7</v>
      </c>
      <c r="I616" s="186">
        <v>18</v>
      </c>
      <c r="J616" s="173">
        <f>'Форма 2'!I2243</f>
        <v>116925</v>
      </c>
      <c r="K616" s="173">
        <v>0</v>
      </c>
      <c r="L616" s="173">
        <v>0</v>
      </c>
      <c r="M616" s="173">
        <v>0</v>
      </c>
      <c r="N616" s="173">
        <f>J616-K616-L616-M616-O616</f>
        <v>113563.11</v>
      </c>
      <c r="O616" s="173">
        <v>3361.89</v>
      </c>
      <c r="P616" s="173">
        <f>J616/H616</f>
        <v>250</v>
      </c>
      <c r="Q616" s="173">
        <f>'Форма 2'!K2243</f>
        <v>250</v>
      </c>
      <c r="R616" s="189">
        <v>2021</v>
      </c>
      <c r="S616" s="190">
        <v>1</v>
      </c>
    </row>
    <row r="617" spans="1:19" ht="15.75" customHeight="1" x14ac:dyDescent="0.25">
      <c r="A617" s="13">
        <f>A616+1</f>
        <v>3</v>
      </c>
      <c r="B617" s="251">
        <v>6770</v>
      </c>
      <c r="C617" s="29" t="s">
        <v>298</v>
      </c>
      <c r="D617" s="13">
        <v>1965</v>
      </c>
      <c r="E617" s="13" t="s">
        <v>230</v>
      </c>
      <c r="F617" s="13" t="s">
        <v>82</v>
      </c>
      <c r="G617" s="44">
        <v>363.3</v>
      </c>
      <c r="H617" s="9">
        <v>346</v>
      </c>
      <c r="I617" s="21">
        <v>12</v>
      </c>
      <c r="J617" s="9">
        <f>'Форма 2'!I2245</f>
        <v>1264976</v>
      </c>
      <c r="K617" s="9">
        <f>K631</f>
        <v>0</v>
      </c>
      <c r="L617" s="9">
        <f>L631</f>
        <v>0</v>
      </c>
      <c r="M617" s="9">
        <f>M631</f>
        <v>0</v>
      </c>
      <c r="N617" s="9">
        <f>J617-L617-M617-O617</f>
        <v>1228604.78</v>
      </c>
      <c r="O617" s="9">
        <v>36371.22</v>
      </c>
      <c r="P617" s="9">
        <f>J617/H617</f>
        <v>3656</v>
      </c>
      <c r="Q617" s="9">
        <f>'Форма 2'!K2245</f>
        <v>3661</v>
      </c>
      <c r="R617" s="43">
        <v>2021</v>
      </c>
      <c r="S617" s="168">
        <v>1</v>
      </c>
    </row>
    <row r="618" spans="1:19" ht="15.75" customHeight="1" x14ac:dyDescent="0.25">
      <c r="A618" s="271" t="s">
        <v>38</v>
      </c>
      <c r="B618" s="272"/>
      <c r="C618" s="273"/>
      <c r="D618" s="34" t="s">
        <v>13</v>
      </c>
      <c r="E618" s="34" t="s">
        <v>13</v>
      </c>
      <c r="F618" s="34" t="s">
        <v>13</v>
      </c>
      <c r="G618" s="35">
        <f>SUM(G619:G621)</f>
        <v>1754.3</v>
      </c>
      <c r="H618" s="35">
        <f t="shared" ref="H618:O618" si="186">SUM(H619:H621)</f>
        <v>1609.9</v>
      </c>
      <c r="I618" s="39">
        <f t="shared" si="186"/>
        <v>43</v>
      </c>
      <c r="J618" s="35">
        <f t="shared" si="186"/>
        <v>4987155.43</v>
      </c>
      <c r="K618" s="35">
        <f t="shared" si="186"/>
        <v>0</v>
      </c>
      <c r="L618" s="35">
        <f t="shared" si="186"/>
        <v>0</v>
      </c>
      <c r="M618" s="35">
        <f t="shared" si="186"/>
        <v>0</v>
      </c>
      <c r="N618" s="35">
        <f t="shared" si="186"/>
        <v>4926046.66</v>
      </c>
      <c r="O618" s="35">
        <f t="shared" si="186"/>
        <v>61108.77</v>
      </c>
      <c r="P618" s="9" t="s">
        <v>13</v>
      </c>
      <c r="Q618" s="9" t="s">
        <v>13</v>
      </c>
      <c r="R618" s="9" t="s">
        <v>13</v>
      </c>
      <c r="S618" s="22" t="s">
        <v>13</v>
      </c>
    </row>
    <row r="619" spans="1:19" ht="15.75" customHeight="1" x14ac:dyDescent="0.25">
      <c r="A619" s="191">
        <v>1</v>
      </c>
      <c r="B619" s="192">
        <v>4966</v>
      </c>
      <c r="C619" s="193" t="s">
        <v>700</v>
      </c>
      <c r="D619" s="194">
        <v>1968</v>
      </c>
      <c r="E619" s="194" t="s">
        <v>68</v>
      </c>
      <c r="F619" s="194" t="s">
        <v>81</v>
      </c>
      <c r="G619" s="140">
        <v>402.2</v>
      </c>
      <c r="H619" s="140">
        <v>376.3</v>
      </c>
      <c r="I619" s="141">
        <v>13</v>
      </c>
      <c r="J619" s="140">
        <f>'Форма 2'!I2251</f>
        <v>94075</v>
      </c>
      <c r="K619" s="140">
        <v>0</v>
      </c>
      <c r="L619" s="140">
        <v>0</v>
      </c>
      <c r="M619" s="140">
        <v>0</v>
      </c>
      <c r="N619" s="140">
        <f>J619-K619-L619-M619-O619</f>
        <v>92922.28</v>
      </c>
      <c r="O619" s="140">
        <v>1152.72</v>
      </c>
      <c r="P619" s="195">
        <f>J619/H619</f>
        <v>250</v>
      </c>
      <c r="Q619" s="195">
        <f>'Форма 2'!K2251</f>
        <v>250</v>
      </c>
      <c r="R619" s="196">
        <v>2021</v>
      </c>
      <c r="S619" s="263">
        <v>1</v>
      </c>
    </row>
    <row r="620" spans="1:19" ht="15.75" customHeight="1" x14ac:dyDescent="0.25">
      <c r="A620" s="242">
        <f>A619+1</f>
        <v>2</v>
      </c>
      <c r="B620" s="242">
        <v>4976</v>
      </c>
      <c r="C620" s="231" t="s">
        <v>508</v>
      </c>
      <c r="D620" s="34">
        <v>1971</v>
      </c>
      <c r="E620" s="34" t="s">
        <v>112</v>
      </c>
      <c r="F620" s="34" t="s">
        <v>82</v>
      </c>
      <c r="G620" s="35">
        <v>780.9</v>
      </c>
      <c r="H620" s="140">
        <v>719.4</v>
      </c>
      <c r="I620" s="39">
        <v>17</v>
      </c>
      <c r="J620" s="35">
        <f>'Форма 2'!I2253</f>
        <v>2920962.53</v>
      </c>
      <c r="K620" s="35">
        <v>0</v>
      </c>
      <c r="L620" s="35">
        <v>0</v>
      </c>
      <c r="M620" s="35">
        <v>0</v>
      </c>
      <c r="N620" s="35">
        <f t="shared" ref="N620:N621" si="187">J620-K620-L620-M620-O620</f>
        <v>2885171.3</v>
      </c>
      <c r="O620" s="35">
        <v>35791.230000000003</v>
      </c>
      <c r="P620" s="9">
        <f t="shared" ref="P620:P621" si="188">J620/H620</f>
        <v>4060.28</v>
      </c>
      <c r="Q620" s="9">
        <f>'Форма 2'!K2253</f>
        <v>7493</v>
      </c>
      <c r="R620" s="16">
        <v>2021</v>
      </c>
      <c r="S620" s="15">
        <v>1</v>
      </c>
    </row>
    <row r="621" spans="1:19" ht="15.75" customHeight="1" x14ac:dyDescent="0.25">
      <c r="A621" s="242">
        <f>A620+1</f>
        <v>3</v>
      </c>
      <c r="B621" s="242">
        <v>4978</v>
      </c>
      <c r="C621" s="231" t="s">
        <v>511</v>
      </c>
      <c r="D621" s="34">
        <v>1974</v>
      </c>
      <c r="E621" s="34" t="s">
        <v>112</v>
      </c>
      <c r="F621" s="34" t="s">
        <v>82</v>
      </c>
      <c r="G621" s="35">
        <v>571.20000000000005</v>
      </c>
      <c r="H621" s="140">
        <v>514.20000000000005</v>
      </c>
      <c r="I621" s="39">
        <v>13</v>
      </c>
      <c r="J621" s="35">
        <f>'Форма 2'!I2258</f>
        <v>1972117.9</v>
      </c>
      <c r="K621" s="35">
        <v>0</v>
      </c>
      <c r="L621" s="35">
        <v>0</v>
      </c>
      <c r="M621" s="35">
        <v>0</v>
      </c>
      <c r="N621" s="35">
        <f t="shared" si="187"/>
        <v>1947953.08</v>
      </c>
      <c r="O621" s="35">
        <v>24164.82</v>
      </c>
      <c r="P621" s="9">
        <f t="shared" si="188"/>
        <v>3835.31</v>
      </c>
      <c r="Q621" s="9">
        <f>'Форма 2'!K2258</f>
        <v>7493</v>
      </c>
      <c r="R621" s="16">
        <v>2021</v>
      </c>
      <c r="S621" s="15">
        <v>1</v>
      </c>
    </row>
    <row r="622" spans="1:19" ht="15.75" customHeight="1" x14ac:dyDescent="0.25">
      <c r="A622" s="280" t="s">
        <v>51</v>
      </c>
      <c r="B622" s="280"/>
      <c r="C622" s="280"/>
      <c r="D622" s="10" t="s">
        <v>13</v>
      </c>
      <c r="E622" s="9" t="s">
        <v>13</v>
      </c>
      <c r="F622" s="9" t="s">
        <v>13</v>
      </c>
      <c r="G622" s="35">
        <f>SUM(G623:G627)</f>
        <v>1766.69</v>
      </c>
      <c r="H622" s="35">
        <f t="shared" ref="H622:O622" si="189">SUM(H623:H627)</f>
        <v>1488.3</v>
      </c>
      <c r="I622" s="39">
        <f t="shared" si="189"/>
        <v>72</v>
      </c>
      <c r="J622" s="35">
        <f t="shared" si="189"/>
        <v>2637951.81</v>
      </c>
      <c r="K622" s="35">
        <f t="shared" si="189"/>
        <v>0</v>
      </c>
      <c r="L622" s="35">
        <f t="shared" si="189"/>
        <v>0</v>
      </c>
      <c r="M622" s="35">
        <f t="shared" si="189"/>
        <v>0</v>
      </c>
      <c r="N622" s="35">
        <f t="shared" si="189"/>
        <v>2564387.5699999998</v>
      </c>
      <c r="O622" s="35">
        <f t="shared" si="189"/>
        <v>73564.240000000005</v>
      </c>
      <c r="P622" s="9" t="s">
        <v>13</v>
      </c>
      <c r="Q622" s="9" t="s">
        <v>13</v>
      </c>
      <c r="R622" s="9" t="s">
        <v>13</v>
      </c>
      <c r="S622" s="15" t="s">
        <v>13</v>
      </c>
    </row>
    <row r="623" spans="1:19" ht="15.75" customHeight="1" x14ac:dyDescent="0.25">
      <c r="A623" s="34">
        <v>1</v>
      </c>
      <c r="B623" s="40">
        <v>7422</v>
      </c>
      <c r="C623" s="234" t="s">
        <v>332</v>
      </c>
      <c r="D623" s="33">
        <v>1976</v>
      </c>
      <c r="E623" s="33" t="s">
        <v>68</v>
      </c>
      <c r="F623" s="33" t="s">
        <v>295</v>
      </c>
      <c r="G623" s="35">
        <v>363.7</v>
      </c>
      <c r="H623" s="9">
        <v>358.5</v>
      </c>
      <c r="I623" s="39">
        <v>16</v>
      </c>
      <c r="J623" s="9">
        <f>'Форма 2'!I2264</f>
        <v>2394891.5299999998</v>
      </c>
      <c r="K623" s="9">
        <v>0</v>
      </c>
      <c r="L623" s="9">
        <v>0</v>
      </c>
      <c r="M623" s="9">
        <v>0</v>
      </c>
      <c r="N623" s="9">
        <f>J623-K623-L623-M623-O623</f>
        <v>2328105.48</v>
      </c>
      <c r="O623" s="9">
        <v>66786.05</v>
      </c>
      <c r="P623" s="9">
        <f>J623/H623</f>
        <v>6680.31</v>
      </c>
      <c r="Q623" s="9">
        <f>'Форма 2'!K2264</f>
        <v>7688</v>
      </c>
      <c r="R623" s="43">
        <v>2021</v>
      </c>
      <c r="S623" s="168">
        <v>1</v>
      </c>
    </row>
    <row r="624" spans="1:19" ht="15.75" customHeight="1" x14ac:dyDescent="0.25">
      <c r="A624" s="182">
        <f>A623+1</f>
        <v>2</v>
      </c>
      <c r="B624" s="127">
        <v>7399</v>
      </c>
      <c r="C624" s="128" t="s">
        <v>703</v>
      </c>
      <c r="D624" s="129">
        <v>1969</v>
      </c>
      <c r="E624" s="130" t="s">
        <v>68</v>
      </c>
      <c r="F624" s="130" t="s">
        <v>81</v>
      </c>
      <c r="G624" s="131">
        <v>337.38</v>
      </c>
      <c r="H624" s="132">
        <v>221.12</v>
      </c>
      <c r="I624" s="133">
        <v>17</v>
      </c>
      <c r="J624" s="132">
        <f>'Форма 2'!I2267</f>
        <v>57491.199999999997</v>
      </c>
      <c r="K624" s="132">
        <v>0</v>
      </c>
      <c r="L624" s="132">
        <v>0</v>
      </c>
      <c r="M624" s="132">
        <v>0</v>
      </c>
      <c r="N624" s="132">
        <f>J624-K624-L624-M624-O624</f>
        <v>55887.95</v>
      </c>
      <c r="O624" s="132">
        <v>1603.25</v>
      </c>
      <c r="P624" s="132">
        <f>J624/H624</f>
        <v>260</v>
      </c>
      <c r="Q624" s="132">
        <f>'Форма 2'!K2267</f>
        <v>260</v>
      </c>
      <c r="R624" s="134">
        <v>2021</v>
      </c>
      <c r="S624" s="190">
        <v>1</v>
      </c>
    </row>
    <row r="625" spans="1:19" ht="15.75" customHeight="1" x14ac:dyDescent="0.25">
      <c r="A625" s="182">
        <f>A624+1</f>
        <v>3</v>
      </c>
      <c r="B625" s="127">
        <v>7376</v>
      </c>
      <c r="C625" s="128" t="s">
        <v>704</v>
      </c>
      <c r="D625" s="129">
        <v>1968</v>
      </c>
      <c r="E625" s="130" t="s">
        <v>230</v>
      </c>
      <c r="F625" s="130" t="s">
        <v>81</v>
      </c>
      <c r="G625" s="131">
        <v>345.8</v>
      </c>
      <c r="H625" s="132">
        <v>329.8</v>
      </c>
      <c r="I625" s="133">
        <v>12</v>
      </c>
      <c r="J625" s="132">
        <f>'Форма 2'!I2269</f>
        <v>59034.2</v>
      </c>
      <c r="K625" s="132">
        <v>0</v>
      </c>
      <c r="L625" s="132">
        <v>0</v>
      </c>
      <c r="M625" s="132">
        <v>0</v>
      </c>
      <c r="N625" s="132">
        <f>J625-K625-L625-M625-O625</f>
        <v>57387.92</v>
      </c>
      <c r="O625" s="132">
        <v>1646.28</v>
      </c>
      <c r="P625" s="132">
        <f>J625/H625</f>
        <v>179</v>
      </c>
      <c r="Q625" s="132">
        <f>'Форма 2'!K2269</f>
        <v>179</v>
      </c>
      <c r="R625" s="134">
        <v>2021</v>
      </c>
      <c r="S625" s="190">
        <v>1</v>
      </c>
    </row>
    <row r="626" spans="1:19" ht="15.75" customHeight="1" x14ac:dyDescent="0.25">
      <c r="A626" s="182">
        <f>A625+1</f>
        <v>4</v>
      </c>
      <c r="B626" s="127">
        <v>7377</v>
      </c>
      <c r="C626" s="128" t="s">
        <v>705</v>
      </c>
      <c r="D626" s="129">
        <v>1968</v>
      </c>
      <c r="E626" s="130" t="s">
        <v>230</v>
      </c>
      <c r="F626" s="130" t="s">
        <v>81</v>
      </c>
      <c r="G626" s="131">
        <v>345.8</v>
      </c>
      <c r="H626" s="132">
        <v>329.8</v>
      </c>
      <c r="I626" s="133">
        <v>14</v>
      </c>
      <c r="J626" s="132">
        <f>'Форма 2'!I2272</f>
        <v>59034.2</v>
      </c>
      <c r="K626" s="132">
        <v>0</v>
      </c>
      <c r="L626" s="132">
        <v>0</v>
      </c>
      <c r="M626" s="132">
        <v>0</v>
      </c>
      <c r="N626" s="132">
        <f>J626-K626-L626-M626-O626</f>
        <v>57387.92</v>
      </c>
      <c r="O626" s="132">
        <v>1646.28</v>
      </c>
      <c r="P626" s="132">
        <f>J626/H626</f>
        <v>179</v>
      </c>
      <c r="Q626" s="132">
        <f>'Форма 2'!K2272</f>
        <v>179</v>
      </c>
      <c r="R626" s="134">
        <v>2021</v>
      </c>
      <c r="S626" s="190">
        <v>1</v>
      </c>
    </row>
    <row r="627" spans="1:19" ht="15.75" customHeight="1" x14ac:dyDescent="0.25">
      <c r="A627" s="40">
        <f>A626+1</f>
        <v>5</v>
      </c>
      <c r="B627" s="46">
        <v>7384</v>
      </c>
      <c r="C627" s="234" t="s">
        <v>572</v>
      </c>
      <c r="D627" s="34">
        <v>1969</v>
      </c>
      <c r="E627" s="33" t="s">
        <v>112</v>
      </c>
      <c r="F627" s="33" t="s">
        <v>81</v>
      </c>
      <c r="G627" s="35">
        <v>374.01</v>
      </c>
      <c r="H627" s="9">
        <v>249.08</v>
      </c>
      <c r="I627" s="39">
        <v>13</v>
      </c>
      <c r="J627" s="9">
        <f>'Форма 2'!I2275</f>
        <v>67500.679999999993</v>
      </c>
      <c r="K627" s="9">
        <v>0</v>
      </c>
      <c r="L627" s="9">
        <v>0</v>
      </c>
      <c r="M627" s="9">
        <v>0</v>
      </c>
      <c r="N627" s="9">
        <f>J627-K627-L627-M627-O627</f>
        <v>65618.3</v>
      </c>
      <c r="O627" s="9">
        <v>1882.38</v>
      </c>
      <c r="P627" s="9">
        <f>J627/H627</f>
        <v>271</v>
      </c>
      <c r="Q627" s="9">
        <f>'Форма 2'!K2275</f>
        <v>271</v>
      </c>
      <c r="R627" s="16">
        <v>2021</v>
      </c>
      <c r="S627" s="168">
        <v>1</v>
      </c>
    </row>
    <row r="628" spans="1:19" ht="15.75" customHeight="1" x14ac:dyDescent="0.25">
      <c r="A628" s="279" t="s">
        <v>49</v>
      </c>
      <c r="B628" s="279"/>
      <c r="C628" s="279"/>
      <c r="D628" s="10" t="s">
        <v>13</v>
      </c>
      <c r="E628" s="9" t="s">
        <v>13</v>
      </c>
      <c r="F628" s="9" t="s">
        <v>13</v>
      </c>
      <c r="G628" s="9">
        <f t="shared" ref="G628:N628" si="190">SUM(G629:G655)</f>
        <v>28304.65</v>
      </c>
      <c r="H628" s="9">
        <f t="shared" si="190"/>
        <v>22695.91</v>
      </c>
      <c r="I628" s="11">
        <f t="shared" si="190"/>
        <v>900</v>
      </c>
      <c r="J628" s="9">
        <f t="shared" si="190"/>
        <v>36850031.07</v>
      </c>
      <c r="K628" s="9">
        <f t="shared" si="190"/>
        <v>0</v>
      </c>
      <c r="L628" s="9">
        <f t="shared" si="190"/>
        <v>0</v>
      </c>
      <c r="M628" s="9">
        <f t="shared" si="190"/>
        <v>0</v>
      </c>
      <c r="N628" s="9">
        <f t="shared" si="190"/>
        <v>36208044.920000002</v>
      </c>
      <c r="O628" s="131">
        <f t="shared" ref="O628" si="191">SUM(O629:O655)</f>
        <v>641986.15</v>
      </c>
      <c r="P628" s="9" t="s">
        <v>13</v>
      </c>
      <c r="Q628" s="9" t="s">
        <v>13</v>
      </c>
      <c r="R628" s="9" t="s">
        <v>13</v>
      </c>
      <c r="S628" s="15" t="s">
        <v>13</v>
      </c>
    </row>
    <row r="629" spans="1:19" ht="15.75" customHeight="1" x14ac:dyDescent="0.25">
      <c r="A629" s="34">
        <v>1</v>
      </c>
      <c r="B629" s="251">
        <v>6855</v>
      </c>
      <c r="C629" s="64" t="s">
        <v>304</v>
      </c>
      <c r="D629" s="33">
        <v>1965</v>
      </c>
      <c r="E629" s="34" t="s">
        <v>232</v>
      </c>
      <c r="F629" s="34" t="s">
        <v>81</v>
      </c>
      <c r="G629" s="35">
        <v>424.9</v>
      </c>
      <c r="H629" s="9">
        <v>396.5</v>
      </c>
      <c r="I629" s="39">
        <v>16</v>
      </c>
      <c r="J629" s="9">
        <f>'Форма 2'!I2279</f>
        <v>16653</v>
      </c>
      <c r="K629" s="36">
        <v>0</v>
      </c>
      <c r="L629" s="9">
        <v>0</v>
      </c>
      <c r="M629" s="9">
        <v>0</v>
      </c>
      <c r="N629" s="9">
        <f>J629-K629-L629-M629-O629</f>
        <v>16362.88</v>
      </c>
      <c r="O629" s="132">
        <v>290.12</v>
      </c>
      <c r="P629" s="9">
        <f t="shared" ref="P629:P655" si="192">J629/H629</f>
        <v>42</v>
      </c>
      <c r="Q629" s="9">
        <f>'Форма 2'!K2279</f>
        <v>42</v>
      </c>
      <c r="R629" s="43">
        <v>2021</v>
      </c>
      <c r="S629" s="168">
        <v>1</v>
      </c>
    </row>
    <row r="630" spans="1:19" ht="15.75" customHeight="1" x14ac:dyDescent="0.25">
      <c r="A630" s="34">
        <f t="shared" ref="A630:A655" si="193">A629+1</f>
        <v>2</v>
      </c>
      <c r="B630" s="242">
        <v>7023</v>
      </c>
      <c r="C630" s="234" t="s">
        <v>305</v>
      </c>
      <c r="D630" s="33">
        <v>1968</v>
      </c>
      <c r="E630" s="33" t="s">
        <v>95</v>
      </c>
      <c r="F630" s="34" t="s">
        <v>81</v>
      </c>
      <c r="G630" s="35">
        <v>1728.9</v>
      </c>
      <c r="H630" s="9">
        <v>1276.9000000000001</v>
      </c>
      <c r="I630" s="39">
        <v>47</v>
      </c>
      <c r="J630" s="9">
        <f>'Форма 2'!I2281</f>
        <v>60014.3</v>
      </c>
      <c r="K630" s="36">
        <v>0</v>
      </c>
      <c r="L630" s="36">
        <v>0</v>
      </c>
      <c r="M630" s="36">
        <v>0</v>
      </c>
      <c r="N630" s="36">
        <f>J630-K630-L630-M630-O630</f>
        <v>58968.76</v>
      </c>
      <c r="O630" s="132">
        <v>1045.54</v>
      </c>
      <c r="P630" s="9">
        <f t="shared" si="192"/>
        <v>47</v>
      </c>
      <c r="Q630" s="9">
        <f>'Форма 2'!K2281</f>
        <v>47</v>
      </c>
      <c r="R630" s="43">
        <v>2021</v>
      </c>
      <c r="S630" s="168">
        <v>1</v>
      </c>
    </row>
    <row r="631" spans="1:19" ht="15.75" customHeight="1" x14ac:dyDescent="0.25">
      <c r="A631" s="34">
        <f t="shared" si="193"/>
        <v>3</v>
      </c>
      <c r="B631" s="40">
        <v>7024</v>
      </c>
      <c r="C631" s="234" t="s">
        <v>306</v>
      </c>
      <c r="D631" s="33">
        <v>1968</v>
      </c>
      <c r="E631" s="33" t="s">
        <v>95</v>
      </c>
      <c r="F631" s="34" t="s">
        <v>81</v>
      </c>
      <c r="G631" s="35">
        <v>1698.5</v>
      </c>
      <c r="H631" s="9">
        <v>1249.5999999999999</v>
      </c>
      <c r="I631" s="39">
        <v>47</v>
      </c>
      <c r="J631" s="9">
        <f>'Форма 2'!I2283</f>
        <v>58731.199999999997</v>
      </c>
      <c r="K631" s="36">
        <v>0</v>
      </c>
      <c r="L631" s="36">
        <v>0</v>
      </c>
      <c r="M631" s="36">
        <v>0</v>
      </c>
      <c r="N631" s="36">
        <f>J631-K631-L631-M631-O631</f>
        <v>57708.01</v>
      </c>
      <c r="O631" s="132">
        <v>1023.19</v>
      </c>
      <c r="P631" s="9">
        <f t="shared" si="192"/>
        <v>47</v>
      </c>
      <c r="Q631" s="9">
        <f>'Форма 2'!K2283</f>
        <v>47</v>
      </c>
      <c r="R631" s="43">
        <v>2021</v>
      </c>
      <c r="S631" s="168">
        <v>1</v>
      </c>
    </row>
    <row r="632" spans="1:19" ht="15.75" customHeight="1" x14ac:dyDescent="0.25">
      <c r="A632" s="34">
        <f t="shared" si="193"/>
        <v>4</v>
      </c>
      <c r="B632" s="40">
        <v>6966</v>
      </c>
      <c r="C632" s="234" t="s">
        <v>308</v>
      </c>
      <c r="D632" s="33">
        <v>1953</v>
      </c>
      <c r="E632" s="33" t="s">
        <v>93</v>
      </c>
      <c r="F632" s="34" t="s">
        <v>82</v>
      </c>
      <c r="G632" s="35">
        <v>414.9</v>
      </c>
      <c r="H632" s="9">
        <v>376.1</v>
      </c>
      <c r="I632" s="39">
        <v>15</v>
      </c>
      <c r="J632" s="9">
        <f>'Форма 2'!I2285</f>
        <v>864998.82</v>
      </c>
      <c r="K632" s="9">
        <v>0</v>
      </c>
      <c r="L632" s="9">
        <v>0</v>
      </c>
      <c r="M632" s="9">
        <v>0</v>
      </c>
      <c r="N632" s="9">
        <f t="shared" ref="N632:N655" si="194">J632-K632-L632-M632-O632</f>
        <v>849929.16</v>
      </c>
      <c r="O632" s="132">
        <v>15069.66</v>
      </c>
      <c r="P632" s="9">
        <f t="shared" si="192"/>
        <v>2299.92</v>
      </c>
      <c r="Q632" s="9">
        <f>'Форма 2'!K2285</f>
        <v>4051</v>
      </c>
      <c r="R632" s="43">
        <v>2021</v>
      </c>
      <c r="S632" s="168">
        <v>1</v>
      </c>
    </row>
    <row r="633" spans="1:19" ht="15.75" customHeight="1" x14ac:dyDescent="0.25">
      <c r="A633" s="34">
        <f t="shared" si="193"/>
        <v>5</v>
      </c>
      <c r="B633" s="40">
        <v>6968</v>
      </c>
      <c r="C633" s="234" t="s">
        <v>309</v>
      </c>
      <c r="D633" s="33">
        <v>1955</v>
      </c>
      <c r="E633" s="33" t="s">
        <v>93</v>
      </c>
      <c r="F633" s="34" t="s">
        <v>82</v>
      </c>
      <c r="G633" s="35">
        <v>432.5</v>
      </c>
      <c r="H633" s="9">
        <v>393.8</v>
      </c>
      <c r="I633" s="39">
        <v>16</v>
      </c>
      <c r="J633" s="9">
        <f>'Форма 2'!I2292</f>
        <v>870033.34</v>
      </c>
      <c r="K633" s="9">
        <v>0</v>
      </c>
      <c r="L633" s="9">
        <v>0</v>
      </c>
      <c r="M633" s="9">
        <v>0</v>
      </c>
      <c r="N633" s="9">
        <f t="shared" si="194"/>
        <v>854875.98</v>
      </c>
      <c r="O633" s="132">
        <v>15157.36</v>
      </c>
      <c r="P633" s="9">
        <f t="shared" si="192"/>
        <v>2209.33</v>
      </c>
      <c r="Q633" s="9">
        <f>'Форма 2'!K2292</f>
        <v>4051</v>
      </c>
      <c r="R633" s="43">
        <v>2021</v>
      </c>
      <c r="S633" s="168">
        <v>1</v>
      </c>
    </row>
    <row r="634" spans="1:19" ht="15.75" customHeight="1" x14ac:dyDescent="0.25">
      <c r="A634" s="34">
        <f t="shared" si="193"/>
        <v>6</v>
      </c>
      <c r="B634" s="40">
        <v>6974</v>
      </c>
      <c r="C634" s="234" t="s">
        <v>310</v>
      </c>
      <c r="D634" s="33">
        <v>1961</v>
      </c>
      <c r="E634" s="33" t="s">
        <v>93</v>
      </c>
      <c r="F634" s="34" t="s">
        <v>81</v>
      </c>
      <c r="G634" s="35">
        <v>1024.42</v>
      </c>
      <c r="H634" s="9">
        <v>629.72</v>
      </c>
      <c r="I634" s="39">
        <v>25</v>
      </c>
      <c r="J634" s="9">
        <f>'Форма 2'!I2299</f>
        <v>136649.24</v>
      </c>
      <c r="K634" s="9">
        <v>0</v>
      </c>
      <c r="L634" s="9">
        <v>0</v>
      </c>
      <c r="M634" s="9">
        <v>0</v>
      </c>
      <c r="N634" s="9">
        <f t="shared" si="194"/>
        <v>134268.59</v>
      </c>
      <c r="O634" s="132">
        <v>2380.65</v>
      </c>
      <c r="P634" s="9">
        <f t="shared" si="192"/>
        <v>217</v>
      </c>
      <c r="Q634" s="9">
        <f>'Форма 2'!K2299</f>
        <v>217</v>
      </c>
      <c r="R634" s="43">
        <v>2021</v>
      </c>
      <c r="S634" s="168">
        <v>1</v>
      </c>
    </row>
    <row r="635" spans="1:19" ht="15.75" customHeight="1" x14ac:dyDescent="0.25">
      <c r="A635" s="34">
        <f t="shared" si="193"/>
        <v>7</v>
      </c>
      <c r="B635" s="40">
        <v>6975</v>
      </c>
      <c r="C635" s="234" t="s">
        <v>311</v>
      </c>
      <c r="D635" s="33">
        <v>1969</v>
      </c>
      <c r="E635" s="33" t="s">
        <v>93</v>
      </c>
      <c r="F635" s="34" t="s">
        <v>81</v>
      </c>
      <c r="G635" s="35">
        <v>1023.8</v>
      </c>
      <c r="H635" s="9">
        <v>629.1</v>
      </c>
      <c r="I635" s="39">
        <v>25</v>
      </c>
      <c r="J635" s="9">
        <f>'Форма 2'!I2303</f>
        <v>136514.70000000001</v>
      </c>
      <c r="K635" s="9">
        <v>0</v>
      </c>
      <c r="L635" s="9">
        <v>0</v>
      </c>
      <c r="M635" s="9">
        <v>0</v>
      </c>
      <c r="N635" s="9">
        <f t="shared" si="194"/>
        <v>134136.4</v>
      </c>
      <c r="O635" s="132">
        <v>2378.3000000000002</v>
      </c>
      <c r="P635" s="9">
        <f t="shared" si="192"/>
        <v>217</v>
      </c>
      <c r="Q635" s="9">
        <f>'Форма 2'!K2303</f>
        <v>217</v>
      </c>
      <c r="R635" s="43">
        <v>2021</v>
      </c>
      <c r="S635" s="168">
        <v>1</v>
      </c>
    </row>
    <row r="636" spans="1:19" ht="15.75" customHeight="1" x14ac:dyDescent="0.25">
      <c r="A636" s="34">
        <f t="shared" si="193"/>
        <v>8</v>
      </c>
      <c r="B636" s="40">
        <v>6979</v>
      </c>
      <c r="C636" s="234" t="s">
        <v>312</v>
      </c>
      <c r="D636" s="33">
        <v>1960</v>
      </c>
      <c r="E636" s="33" t="s">
        <v>93</v>
      </c>
      <c r="F636" s="34" t="s">
        <v>82</v>
      </c>
      <c r="G636" s="35">
        <v>370.3</v>
      </c>
      <c r="H636" s="9">
        <v>340.5</v>
      </c>
      <c r="I636" s="39">
        <v>13</v>
      </c>
      <c r="J636" s="9">
        <f>'Форма 2'!I2307</f>
        <v>868063.02</v>
      </c>
      <c r="K636" s="9">
        <v>0</v>
      </c>
      <c r="L636" s="9">
        <v>0</v>
      </c>
      <c r="M636" s="9">
        <v>0</v>
      </c>
      <c r="N636" s="9">
        <f t="shared" si="194"/>
        <v>852939.98</v>
      </c>
      <c r="O636" s="132">
        <v>15123.04</v>
      </c>
      <c r="P636" s="9">
        <f t="shared" si="192"/>
        <v>2549.38</v>
      </c>
      <c r="Q636" s="9">
        <f>'Форма 2'!K2307</f>
        <v>4051</v>
      </c>
      <c r="R636" s="43">
        <v>2021</v>
      </c>
      <c r="S636" s="168">
        <v>1</v>
      </c>
    </row>
    <row r="637" spans="1:19" ht="15.75" customHeight="1" x14ac:dyDescent="0.25">
      <c r="A637" s="34">
        <f t="shared" si="193"/>
        <v>9</v>
      </c>
      <c r="B637" s="40">
        <v>6980</v>
      </c>
      <c r="C637" s="234" t="s">
        <v>313</v>
      </c>
      <c r="D637" s="33">
        <v>1970</v>
      </c>
      <c r="E637" s="33" t="s">
        <v>93</v>
      </c>
      <c r="F637" s="242" t="s">
        <v>87</v>
      </c>
      <c r="G637" s="35">
        <v>1071.7</v>
      </c>
      <c r="H637" s="9">
        <v>645.70000000000005</v>
      </c>
      <c r="I637" s="39">
        <v>26</v>
      </c>
      <c r="J637" s="9">
        <f>'Форма 2'!I2314</f>
        <v>2909233.63</v>
      </c>
      <c r="K637" s="9">
        <v>0</v>
      </c>
      <c r="L637" s="9">
        <v>0</v>
      </c>
      <c r="M637" s="9">
        <v>0</v>
      </c>
      <c r="N637" s="9">
        <f t="shared" si="194"/>
        <v>2858550.15</v>
      </c>
      <c r="O637" s="132">
        <v>50683.48</v>
      </c>
      <c r="P637" s="9">
        <f t="shared" si="192"/>
        <v>4505.55</v>
      </c>
      <c r="Q637" s="9">
        <f>'Форма 2'!K2314</f>
        <v>4506</v>
      </c>
      <c r="R637" s="43">
        <v>2021</v>
      </c>
      <c r="S637" s="168">
        <v>1</v>
      </c>
    </row>
    <row r="638" spans="1:19" ht="15.75" customHeight="1" x14ac:dyDescent="0.25">
      <c r="A638" s="34">
        <f t="shared" si="193"/>
        <v>10</v>
      </c>
      <c r="B638" s="40">
        <v>6982</v>
      </c>
      <c r="C638" s="234" t="s">
        <v>314</v>
      </c>
      <c r="D638" s="33">
        <v>1959</v>
      </c>
      <c r="E638" s="33" t="s">
        <v>93</v>
      </c>
      <c r="F638" s="34" t="s">
        <v>81</v>
      </c>
      <c r="G638" s="35">
        <v>711.1</v>
      </c>
      <c r="H638" s="9">
        <v>652.70000000000005</v>
      </c>
      <c r="I638" s="39">
        <v>26</v>
      </c>
      <c r="J638" s="9">
        <f>'Форма 2'!I2324</f>
        <v>143594</v>
      </c>
      <c r="K638" s="9">
        <v>0</v>
      </c>
      <c r="L638" s="9">
        <v>0</v>
      </c>
      <c r="M638" s="9">
        <v>0</v>
      </c>
      <c r="N638" s="9">
        <f t="shared" si="194"/>
        <v>141092.35999999999</v>
      </c>
      <c r="O638" s="132">
        <v>2501.64</v>
      </c>
      <c r="P638" s="9">
        <f t="shared" si="192"/>
        <v>220</v>
      </c>
      <c r="Q638" s="9">
        <f>'Форма 2'!K2324</f>
        <v>220</v>
      </c>
      <c r="R638" s="43">
        <v>2021</v>
      </c>
      <c r="S638" s="168">
        <v>1</v>
      </c>
    </row>
    <row r="639" spans="1:19" ht="15.75" customHeight="1" x14ac:dyDescent="0.25">
      <c r="A639" s="34">
        <f t="shared" si="193"/>
        <v>11</v>
      </c>
      <c r="B639" s="40">
        <v>6983</v>
      </c>
      <c r="C639" s="234" t="s">
        <v>315</v>
      </c>
      <c r="D639" s="33">
        <v>1960</v>
      </c>
      <c r="E639" s="33" t="s">
        <v>93</v>
      </c>
      <c r="F639" s="34" t="s">
        <v>81</v>
      </c>
      <c r="G639" s="35">
        <v>438.9</v>
      </c>
      <c r="H639" s="9">
        <v>403.9</v>
      </c>
      <c r="I639" s="39">
        <v>16</v>
      </c>
      <c r="J639" s="9">
        <f>'Форма 2'!I2328</f>
        <v>88858</v>
      </c>
      <c r="K639" s="9">
        <v>0</v>
      </c>
      <c r="L639" s="9">
        <v>0</v>
      </c>
      <c r="M639" s="9">
        <v>0</v>
      </c>
      <c r="N639" s="9">
        <f t="shared" si="194"/>
        <v>87309.95</v>
      </c>
      <c r="O639" s="132">
        <v>1548.05</v>
      </c>
      <c r="P639" s="9">
        <f t="shared" si="192"/>
        <v>220</v>
      </c>
      <c r="Q639" s="9">
        <f>'Форма 2'!K2328</f>
        <v>220</v>
      </c>
      <c r="R639" s="43">
        <v>2021</v>
      </c>
      <c r="S639" s="168">
        <v>1</v>
      </c>
    </row>
    <row r="640" spans="1:19" ht="15.75" customHeight="1" x14ac:dyDescent="0.25">
      <c r="A640" s="34">
        <f t="shared" si="193"/>
        <v>12</v>
      </c>
      <c r="B640" s="40">
        <v>6984</v>
      </c>
      <c r="C640" s="234" t="s">
        <v>316</v>
      </c>
      <c r="D640" s="33">
        <v>1970</v>
      </c>
      <c r="E640" s="33" t="s">
        <v>93</v>
      </c>
      <c r="F640" s="34" t="s">
        <v>81</v>
      </c>
      <c r="G640" s="35">
        <v>1076.3</v>
      </c>
      <c r="H640" s="9">
        <v>651.1</v>
      </c>
      <c r="I640" s="39">
        <v>26</v>
      </c>
      <c r="J640" s="9">
        <f>'Форма 2'!I2332</f>
        <v>141288.70000000001</v>
      </c>
      <c r="K640" s="9">
        <v>0</v>
      </c>
      <c r="L640" s="9">
        <v>0</v>
      </c>
      <c r="M640" s="9">
        <v>0</v>
      </c>
      <c r="N640" s="9">
        <f t="shared" si="194"/>
        <v>138827.23000000001</v>
      </c>
      <c r="O640" s="132">
        <v>2461.4699999999998</v>
      </c>
      <c r="P640" s="9">
        <f t="shared" si="192"/>
        <v>217</v>
      </c>
      <c r="Q640" s="9">
        <f>'Форма 2'!K2332</f>
        <v>217</v>
      </c>
      <c r="R640" s="43">
        <v>2021</v>
      </c>
      <c r="S640" s="168">
        <v>1</v>
      </c>
    </row>
    <row r="641" spans="1:19" ht="15.75" customHeight="1" x14ac:dyDescent="0.25">
      <c r="A641" s="34">
        <f t="shared" si="193"/>
        <v>13</v>
      </c>
      <c r="B641" s="40">
        <v>6986</v>
      </c>
      <c r="C641" s="234" t="s">
        <v>317</v>
      </c>
      <c r="D641" s="33">
        <v>1955</v>
      </c>
      <c r="E641" s="33" t="s">
        <v>93</v>
      </c>
      <c r="F641" s="34" t="s">
        <v>82</v>
      </c>
      <c r="G641" s="35">
        <v>438.08</v>
      </c>
      <c r="H641" s="9">
        <v>399.28</v>
      </c>
      <c r="I641" s="39">
        <v>16</v>
      </c>
      <c r="J641" s="9">
        <f>'Форма 2'!I2336</f>
        <v>872524.96</v>
      </c>
      <c r="K641" s="9">
        <v>0</v>
      </c>
      <c r="L641" s="9">
        <v>0</v>
      </c>
      <c r="M641" s="9">
        <v>0</v>
      </c>
      <c r="N641" s="9">
        <f t="shared" si="194"/>
        <v>857324.19</v>
      </c>
      <c r="O641" s="132">
        <v>15200.77</v>
      </c>
      <c r="P641" s="9">
        <f t="shared" si="192"/>
        <v>2185.25</v>
      </c>
      <c r="Q641" s="9">
        <f>'Форма 2'!K2336</f>
        <v>4051</v>
      </c>
      <c r="R641" s="43">
        <v>2021</v>
      </c>
      <c r="S641" s="168">
        <v>1</v>
      </c>
    </row>
    <row r="642" spans="1:19" ht="15.75" customHeight="1" x14ac:dyDescent="0.25">
      <c r="A642" s="34">
        <f t="shared" si="193"/>
        <v>14</v>
      </c>
      <c r="B642" s="40">
        <v>6988</v>
      </c>
      <c r="C642" s="234" t="s">
        <v>318</v>
      </c>
      <c r="D642" s="33">
        <v>1962</v>
      </c>
      <c r="E642" s="33" t="s">
        <v>93</v>
      </c>
      <c r="F642" s="34" t="s">
        <v>82</v>
      </c>
      <c r="G642" s="35">
        <v>695.93</v>
      </c>
      <c r="H642" s="9">
        <v>637.92999999999995</v>
      </c>
      <c r="I642" s="39">
        <v>25</v>
      </c>
      <c r="J642" s="9">
        <f>'Форма 2'!I2343</f>
        <v>1521879.71</v>
      </c>
      <c r="K642" s="9">
        <v>0</v>
      </c>
      <c r="L642" s="9">
        <v>0</v>
      </c>
      <c r="M642" s="9">
        <v>0</v>
      </c>
      <c r="N642" s="9">
        <f t="shared" si="194"/>
        <v>1495366.14</v>
      </c>
      <c r="O642" s="132">
        <v>26513.57</v>
      </c>
      <c r="P642" s="9">
        <f t="shared" si="192"/>
        <v>2385.65</v>
      </c>
      <c r="Q642" s="9">
        <f>'Форма 2'!K2343</f>
        <v>4051</v>
      </c>
      <c r="R642" s="43">
        <v>2021</v>
      </c>
      <c r="S642" s="168">
        <v>1</v>
      </c>
    </row>
    <row r="643" spans="1:19" ht="15.75" customHeight="1" x14ac:dyDescent="0.25">
      <c r="A643" s="182">
        <f>A642+1</f>
        <v>15</v>
      </c>
      <c r="B643" s="182">
        <v>6963</v>
      </c>
      <c r="C643" s="197" t="s">
        <v>708</v>
      </c>
      <c r="D643" s="129">
        <v>1972</v>
      </c>
      <c r="E643" s="129" t="s">
        <v>68</v>
      </c>
      <c r="F643" s="198" t="s">
        <v>81</v>
      </c>
      <c r="G643" s="131">
        <v>1605.6</v>
      </c>
      <c r="H643" s="132">
        <v>1094.7</v>
      </c>
      <c r="I643" s="133">
        <v>43</v>
      </c>
      <c r="J643" s="132">
        <f>'Форма 2'!I2350</f>
        <v>261633.3</v>
      </c>
      <c r="K643" s="132">
        <v>0</v>
      </c>
      <c r="L643" s="132">
        <v>0</v>
      </c>
      <c r="M643" s="132">
        <v>0</v>
      </c>
      <c r="N643" s="199">
        <f>J643-K643-L643-M643-O643</f>
        <v>257075.23</v>
      </c>
      <c r="O643" s="132">
        <v>4558.07</v>
      </c>
      <c r="P643" s="132">
        <f>J643/H643</f>
        <v>239</v>
      </c>
      <c r="Q643" s="132">
        <f>'Форма 2'!K2350</f>
        <v>239</v>
      </c>
      <c r="R643" s="200">
        <v>2021</v>
      </c>
      <c r="S643" s="190">
        <v>1</v>
      </c>
    </row>
    <row r="644" spans="1:19" ht="15.75" customHeight="1" x14ac:dyDescent="0.25">
      <c r="A644" s="34">
        <f t="shared" si="193"/>
        <v>16</v>
      </c>
      <c r="B644" s="40">
        <v>6931</v>
      </c>
      <c r="C644" s="234" t="s">
        <v>319</v>
      </c>
      <c r="D644" s="33">
        <v>1975</v>
      </c>
      <c r="E644" s="33" t="s">
        <v>68</v>
      </c>
      <c r="F644" s="129" t="s">
        <v>87</v>
      </c>
      <c r="G644" s="35">
        <v>4703.3</v>
      </c>
      <c r="H644" s="9">
        <v>3585.5</v>
      </c>
      <c r="I644" s="39">
        <v>142</v>
      </c>
      <c r="J644" s="9">
        <f>'Форма 2'!I2352</f>
        <v>13977533.93</v>
      </c>
      <c r="K644" s="9">
        <v>0</v>
      </c>
      <c r="L644" s="9">
        <v>0</v>
      </c>
      <c r="M644" s="9">
        <v>0</v>
      </c>
      <c r="N644" s="9">
        <f t="shared" si="194"/>
        <v>13734023.060000001</v>
      </c>
      <c r="O644" s="132">
        <v>243510.87</v>
      </c>
      <c r="P644" s="9">
        <f t="shared" si="192"/>
        <v>3898.35</v>
      </c>
      <c r="Q644" s="9">
        <f>'Форма 2'!K2352</f>
        <v>3929</v>
      </c>
      <c r="R644" s="43">
        <v>2021</v>
      </c>
      <c r="S644" s="168">
        <v>1</v>
      </c>
    </row>
    <row r="645" spans="1:19" ht="15.75" customHeight="1" x14ac:dyDescent="0.25">
      <c r="A645" s="34">
        <f t="shared" si="193"/>
        <v>17</v>
      </c>
      <c r="B645" s="40">
        <v>6818</v>
      </c>
      <c r="C645" s="234" t="s">
        <v>320</v>
      </c>
      <c r="D645" s="33">
        <v>1963</v>
      </c>
      <c r="E645" s="33" t="s">
        <v>93</v>
      </c>
      <c r="F645" s="34" t="s">
        <v>81</v>
      </c>
      <c r="G645" s="35">
        <v>1084.1300000000001</v>
      </c>
      <c r="H645" s="9">
        <v>636.4</v>
      </c>
      <c r="I645" s="39">
        <v>25</v>
      </c>
      <c r="J645" s="9">
        <f>'Форма 2'!I2356</f>
        <v>138098.79999999999</v>
      </c>
      <c r="K645" s="9">
        <v>0</v>
      </c>
      <c r="L645" s="9">
        <v>0</v>
      </c>
      <c r="M645" s="9">
        <v>0</v>
      </c>
      <c r="N645" s="9">
        <f t="shared" si="194"/>
        <v>135692.9</v>
      </c>
      <c r="O645" s="132">
        <v>2405.9</v>
      </c>
      <c r="P645" s="9">
        <f t="shared" si="192"/>
        <v>217</v>
      </c>
      <c r="Q645" s="9">
        <f>'Форма 2'!K2356</f>
        <v>217</v>
      </c>
      <c r="R645" s="43">
        <v>2021</v>
      </c>
      <c r="S645" s="168">
        <v>1</v>
      </c>
    </row>
    <row r="646" spans="1:19" ht="15.75" customHeight="1" x14ac:dyDescent="0.25">
      <c r="A646" s="34">
        <f t="shared" si="193"/>
        <v>18</v>
      </c>
      <c r="B646" s="40">
        <v>6868</v>
      </c>
      <c r="C646" s="234" t="s">
        <v>321</v>
      </c>
      <c r="D646" s="33">
        <v>1963</v>
      </c>
      <c r="E646" s="33" t="s">
        <v>158</v>
      </c>
      <c r="F646" s="34" t="s">
        <v>81</v>
      </c>
      <c r="G646" s="35">
        <v>745.4</v>
      </c>
      <c r="H646" s="9">
        <v>701</v>
      </c>
      <c r="I646" s="39">
        <v>43</v>
      </c>
      <c r="J646" s="9">
        <f>'Форма 2'!I2360</f>
        <v>125479</v>
      </c>
      <c r="K646" s="9">
        <v>0</v>
      </c>
      <c r="L646" s="9">
        <v>0</v>
      </c>
      <c r="M646" s="9">
        <v>0</v>
      </c>
      <c r="N646" s="9">
        <f t="shared" si="194"/>
        <v>123292.96</v>
      </c>
      <c r="O646" s="132">
        <v>2186.04</v>
      </c>
      <c r="P646" s="9">
        <f t="shared" si="192"/>
        <v>179</v>
      </c>
      <c r="Q646" s="9">
        <f>'Форма 2'!K2360</f>
        <v>179</v>
      </c>
      <c r="R646" s="43">
        <v>2021</v>
      </c>
      <c r="S646" s="168">
        <v>1</v>
      </c>
    </row>
    <row r="647" spans="1:19" ht="15.75" customHeight="1" x14ac:dyDescent="0.25">
      <c r="A647" s="34">
        <f t="shared" si="193"/>
        <v>19</v>
      </c>
      <c r="B647" s="40">
        <v>6999</v>
      </c>
      <c r="C647" s="234" t="s">
        <v>322</v>
      </c>
      <c r="D647" s="33">
        <v>1950</v>
      </c>
      <c r="E647" s="33" t="s">
        <v>571</v>
      </c>
      <c r="F647" s="34" t="s">
        <v>81</v>
      </c>
      <c r="G647" s="35">
        <v>413.7</v>
      </c>
      <c r="H647" s="9">
        <v>383.7</v>
      </c>
      <c r="I647" s="39">
        <v>15</v>
      </c>
      <c r="J647" s="9">
        <f>'Форма 2'!I2363</f>
        <v>29544.9</v>
      </c>
      <c r="K647" s="9">
        <v>0</v>
      </c>
      <c r="L647" s="9">
        <v>0</v>
      </c>
      <c r="M647" s="9">
        <v>0</v>
      </c>
      <c r="N647" s="9">
        <f t="shared" si="194"/>
        <v>29030.18</v>
      </c>
      <c r="O647" s="132">
        <v>514.72</v>
      </c>
      <c r="P647" s="9">
        <f t="shared" si="192"/>
        <v>77</v>
      </c>
      <c r="Q647" s="9">
        <f>'Форма 2'!K2363</f>
        <v>77</v>
      </c>
      <c r="R647" s="43">
        <v>2021</v>
      </c>
      <c r="S647" s="168">
        <v>1</v>
      </c>
    </row>
    <row r="648" spans="1:19" ht="15.75" customHeight="1" x14ac:dyDescent="0.25">
      <c r="A648" s="34">
        <f t="shared" si="193"/>
        <v>20</v>
      </c>
      <c r="B648" s="40">
        <v>7061</v>
      </c>
      <c r="C648" s="234" t="s">
        <v>323</v>
      </c>
      <c r="D648" s="33">
        <v>1960</v>
      </c>
      <c r="E648" s="33" t="s">
        <v>89</v>
      </c>
      <c r="F648" s="34" t="s">
        <v>81</v>
      </c>
      <c r="G648" s="35">
        <v>410.26</v>
      </c>
      <c r="H648" s="9">
        <v>390</v>
      </c>
      <c r="I648" s="39">
        <v>15</v>
      </c>
      <c r="J648" s="9">
        <f>'Форма 2'!I2366</f>
        <v>53430</v>
      </c>
      <c r="K648" s="9">
        <v>0</v>
      </c>
      <c r="L648" s="9">
        <v>0</v>
      </c>
      <c r="M648" s="9">
        <v>0</v>
      </c>
      <c r="N648" s="9">
        <f t="shared" si="194"/>
        <v>52499.16</v>
      </c>
      <c r="O648" s="132">
        <v>930.84</v>
      </c>
      <c r="P648" s="9">
        <f t="shared" si="192"/>
        <v>137</v>
      </c>
      <c r="Q648" s="9">
        <f>'Форма 2'!K2366</f>
        <v>137</v>
      </c>
      <c r="R648" s="43">
        <v>2021</v>
      </c>
      <c r="S648" s="168">
        <v>1</v>
      </c>
    </row>
    <row r="649" spans="1:19" ht="15.75" customHeight="1" x14ac:dyDescent="0.25">
      <c r="A649" s="34">
        <f t="shared" si="193"/>
        <v>21</v>
      </c>
      <c r="B649" s="40">
        <v>7080</v>
      </c>
      <c r="C649" s="234" t="s">
        <v>324</v>
      </c>
      <c r="D649" s="33">
        <v>1957</v>
      </c>
      <c r="E649" s="33" t="s">
        <v>158</v>
      </c>
      <c r="F649" s="34" t="s">
        <v>81</v>
      </c>
      <c r="G649" s="35">
        <v>557.5</v>
      </c>
      <c r="H649" s="9">
        <v>507.5</v>
      </c>
      <c r="I649" s="39">
        <v>13</v>
      </c>
      <c r="J649" s="9">
        <f>'Форма 2'!I2368</f>
        <v>90842.5</v>
      </c>
      <c r="K649" s="9">
        <v>0</v>
      </c>
      <c r="L649" s="9">
        <v>0</v>
      </c>
      <c r="M649" s="9">
        <v>0</v>
      </c>
      <c r="N649" s="9">
        <f t="shared" si="194"/>
        <v>89259.88</v>
      </c>
      <c r="O649" s="132">
        <v>1582.62</v>
      </c>
      <c r="P649" s="9">
        <f t="shared" si="192"/>
        <v>179</v>
      </c>
      <c r="Q649" s="9">
        <f>'Форма 2'!K2368</f>
        <v>179</v>
      </c>
      <c r="R649" s="43">
        <v>2021</v>
      </c>
      <c r="S649" s="168">
        <v>1</v>
      </c>
    </row>
    <row r="650" spans="1:19" ht="15.75" customHeight="1" x14ac:dyDescent="0.25">
      <c r="A650" s="34">
        <f t="shared" si="193"/>
        <v>22</v>
      </c>
      <c r="B650" s="40">
        <v>7076</v>
      </c>
      <c r="C650" s="234" t="s">
        <v>325</v>
      </c>
      <c r="D650" s="33">
        <v>1957</v>
      </c>
      <c r="E650" s="33" t="s">
        <v>158</v>
      </c>
      <c r="F650" s="34" t="s">
        <v>82</v>
      </c>
      <c r="G650" s="35">
        <v>390.72</v>
      </c>
      <c r="H650" s="9">
        <v>339.62</v>
      </c>
      <c r="I650" s="39">
        <v>14</v>
      </c>
      <c r="J650" s="9">
        <f>'Форма 2'!I2371</f>
        <v>856491.91</v>
      </c>
      <c r="K650" s="9">
        <v>0</v>
      </c>
      <c r="L650" s="9">
        <v>0</v>
      </c>
      <c r="M650" s="9">
        <v>0</v>
      </c>
      <c r="N650" s="9">
        <f t="shared" si="194"/>
        <v>841570.46</v>
      </c>
      <c r="O650" s="132">
        <v>14921.45</v>
      </c>
      <c r="P650" s="9">
        <f t="shared" si="192"/>
        <v>2521.91</v>
      </c>
      <c r="Q650" s="9">
        <f>'Форма 2'!K2371</f>
        <v>3497</v>
      </c>
      <c r="R650" s="43">
        <v>2021</v>
      </c>
      <c r="S650" s="168">
        <v>1</v>
      </c>
    </row>
    <row r="651" spans="1:19" ht="15.75" customHeight="1" x14ac:dyDescent="0.25">
      <c r="A651" s="34">
        <f t="shared" si="193"/>
        <v>23</v>
      </c>
      <c r="B651" s="40">
        <v>7084</v>
      </c>
      <c r="C651" s="234" t="s">
        <v>326</v>
      </c>
      <c r="D651" s="33">
        <v>1958</v>
      </c>
      <c r="E651" s="33" t="s">
        <v>158</v>
      </c>
      <c r="F651" s="34" t="s">
        <v>82</v>
      </c>
      <c r="G651" s="35">
        <v>471.95</v>
      </c>
      <c r="H651" s="9">
        <v>460</v>
      </c>
      <c r="I651" s="39">
        <v>18</v>
      </c>
      <c r="J651" s="9">
        <f>'Форма 2'!I2376</f>
        <v>797392.68</v>
      </c>
      <c r="K651" s="9">
        <v>0</v>
      </c>
      <c r="L651" s="9">
        <v>0</v>
      </c>
      <c r="M651" s="9">
        <v>0</v>
      </c>
      <c r="N651" s="9">
        <f t="shared" si="194"/>
        <v>783500.83</v>
      </c>
      <c r="O651" s="132">
        <v>13891.85</v>
      </c>
      <c r="P651" s="9">
        <f t="shared" si="192"/>
        <v>1733.46</v>
      </c>
      <c r="Q651" s="9">
        <f>'Форма 2'!K2376</f>
        <v>3497</v>
      </c>
      <c r="R651" s="43">
        <v>2021</v>
      </c>
      <c r="S651" s="168">
        <v>1</v>
      </c>
    </row>
    <row r="652" spans="1:19" ht="15.75" customHeight="1" x14ac:dyDescent="0.25">
      <c r="A652" s="34">
        <f t="shared" si="193"/>
        <v>24</v>
      </c>
      <c r="B652" s="261">
        <v>6926</v>
      </c>
      <c r="C652" s="61" t="s">
        <v>327</v>
      </c>
      <c r="D652" s="34">
        <v>1965</v>
      </c>
      <c r="E652" s="34" t="s">
        <v>93</v>
      </c>
      <c r="F652" s="34" t="s">
        <v>82</v>
      </c>
      <c r="G652" s="35">
        <v>2690.4</v>
      </c>
      <c r="H652" s="9">
        <v>2499.1999999999998</v>
      </c>
      <c r="I652" s="39">
        <v>99</v>
      </c>
      <c r="J652" s="9">
        <f>'Форма 2'!I2381</f>
        <v>5300305.5999999996</v>
      </c>
      <c r="K652" s="36">
        <v>0</v>
      </c>
      <c r="L652" s="9">
        <v>0</v>
      </c>
      <c r="M652" s="9">
        <v>0</v>
      </c>
      <c r="N652" s="9">
        <f>J652-K652-L652-M652-O652</f>
        <v>5207965.8499999996</v>
      </c>
      <c r="O652" s="132">
        <v>92339.75</v>
      </c>
      <c r="P652" s="9">
        <f>J652/H652</f>
        <v>2120.8000000000002</v>
      </c>
      <c r="Q652" s="9">
        <f>'Форма 2'!K2381</f>
        <v>4051</v>
      </c>
      <c r="R652" s="20">
        <v>2021</v>
      </c>
      <c r="S652" s="168">
        <v>1</v>
      </c>
    </row>
    <row r="653" spans="1:19" ht="15.75" customHeight="1" x14ac:dyDescent="0.25">
      <c r="A653" s="40">
        <f t="shared" si="193"/>
        <v>25</v>
      </c>
      <c r="B653" s="40">
        <v>6927</v>
      </c>
      <c r="C653" s="61" t="s">
        <v>328</v>
      </c>
      <c r="D653" s="34">
        <v>1967</v>
      </c>
      <c r="E653" s="34" t="s">
        <v>93</v>
      </c>
      <c r="F653" s="242" t="s">
        <v>82</v>
      </c>
      <c r="G653" s="35">
        <v>2857.7</v>
      </c>
      <c r="H653" s="9">
        <v>2655.8</v>
      </c>
      <c r="I653" s="39">
        <v>105</v>
      </c>
      <c r="J653" s="9">
        <f>'Форма 2'!I2388</f>
        <v>6078917.75</v>
      </c>
      <c r="K653" s="9">
        <v>0</v>
      </c>
      <c r="L653" s="9">
        <v>0</v>
      </c>
      <c r="M653" s="9">
        <v>0</v>
      </c>
      <c r="N653" s="36">
        <f>J653-K653-L653-M653-O653</f>
        <v>5973013.3300000001</v>
      </c>
      <c r="O653" s="132">
        <v>105904.42</v>
      </c>
      <c r="P653" s="9">
        <f>J653/H653</f>
        <v>2288.92</v>
      </c>
      <c r="Q653" s="9">
        <f>'Форма 2'!K2388</f>
        <v>4051</v>
      </c>
      <c r="R653" s="20">
        <v>2021</v>
      </c>
      <c r="S653" s="168">
        <v>1</v>
      </c>
    </row>
    <row r="654" spans="1:19" ht="15.75" customHeight="1" x14ac:dyDescent="0.25">
      <c r="A654" s="34">
        <f>A653+1</f>
        <v>26</v>
      </c>
      <c r="B654" s="40">
        <v>8227</v>
      </c>
      <c r="C654" s="234" t="s">
        <v>329</v>
      </c>
      <c r="D654" s="33">
        <v>1963</v>
      </c>
      <c r="E654" s="33" t="s">
        <v>232</v>
      </c>
      <c r="F654" s="242" t="s">
        <v>87</v>
      </c>
      <c r="G654" s="35">
        <v>291.89999999999998</v>
      </c>
      <c r="H654" s="9">
        <v>277.89999999999998</v>
      </c>
      <c r="I654" s="39">
        <v>11</v>
      </c>
      <c r="J654" s="9">
        <f>'Форма 2'!I2395</f>
        <v>178674.42</v>
      </c>
      <c r="K654" s="9">
        <v>0</v>
      </c>
      <c r="L654" s="9">
        <v>0</v>
      </c>
      <c r="M654" s="9">
        <v>0</v>
      </c>
      <c r="N654" s="9">
        <f t="shared" si="194"/>
        <v>175561.63</v>
      </c>
      <c r="O654" s="132">
        <v>3112.79</v>
      </c>
      <c r="P654" s="9">
        <f t="shared" si="192"/>
        <v>642.95000000000005</v>
      </c>
      <c r="Q654" s="9">
        <f>'Форма 2'!K2395</f>
        <v>643</v>
      </c>
      <c r="R654" s="43">
        <v>2021</v>
      </c>
      <c r="S654" s="168">
        <v>1</v>
      </c>
    </row>
    <row r="655" spans="1:19" ht="15.75" customHeight="1" x14ac:dyDescent="0.25">
      <c r="A655" s="34">
        <f t="shared" si="193"/>
        <v>27</v>
      </c>
      <c r="B655" s="40">
        <v>8228</v>
      </c>
      <c r="C655" s="234" t="s">
        <v>330</v>
      </c>
      <c r="D655" s="33">
        <v>1963</v>
      </c>
      <c r="E655" s="33" t="s">
        <v>232</v>
      </c>
      <c r="F655" s="242" t="s">
        <v>87</v>
      </c>
      <c r="G655" s="35">
        <v>531.86</v>
      </c>
      <c r="H655" s="9">
        <v>481.76</v>
      </c>
      <c r="I655" s="39">
        <v>18</v>
      </c>
      <c r="J655" s="9">
        <f>'Форма 2'!I2399</f>
        <v>272649.65999999997</v>
      </c>
      <c r="K655" s="9">
        <v>0</v>
      </c>
      <c r="L655" s="9">
        <v>0</v>
      </c>
      <c r="M655" s="9">
        <v>0</v>
      </c>
      <c r="N655" s="9">
        <f t="shared" si="194"/>
        <v>267899.67</v>
      </c>
      <c r="O655" s="132">
        <v>4749.99</v>
      </c>
      <c r="P655" s="9">
        <f t="shared" si="192"/>
        <v>565.94000000000005</v>
      </c>
      <c r="Q655" s="9">
        <f>'Форма 2'!K2399</f>
        <v>566</v>
      </c>
      <c r="R655" s="43">
        <v>2021</v>
      </c>
      <c r="S655" s="168">
        <v>1</v>
      </c>
    </row>
    <row r="656" spans="1:19" ht="15.75" customHeight="1" x14ac:dyDescent="0.25">
      <c r="A656" s="284" t="s">
        <v>44</v>
      </c>
      <c r="B656" s="284"/>
      <c r="C656" s="284"/>
      <c r="D656" s="10" t="s">
        <v>13</v>
      </c>
      <c r="E656" s="9" t="s">
        <v>13</v>
      </c>
      <c r="F656" s="9" t="s">
        <v>13</v>
      </c>
      <c r="G656" s="9">
        <f>G657</f>
        <v>1039.6300000000001</v>
      </c>
      <c r="H656" s="9">
        <f t="shared" ref="H656:O656" si="195">H657</f>
        <v>907.8</v>
      </c>
      <c r="I656" s="11">
        <f t="shared" si="195"/>
        <v>42</v>
      </c>
      <c r="J656" s="9">
        <f t="shared" si="195"/>
        <v>6688287.3099999996</v>
      </c>
      <c r="K656" s="9">
        <f t="shared" si="195"/>
        <v>0</v>
      </c>
      <c r="L656" s="9">
        <f t="shared" si="195"/>
        <v>0</v>
      </c>
      <c r="M656" s="9">
        <f t="shared" si="195"/>
        <v>0</v>
      </c>
      <c r="N656" s="9">
        <f t="shared" si="195"/>
        <v>6653794.2999999998</v>
      </c>
      <c r="O656" s="132">
        <f t="shared" si="195"/>
        <v>34493.01</v>
      </c>
      <c r="P656" s="9" t="s">
        <v>13</v>
      </c>
      <c r="Q656" s="9" t="s">
        <v>13</v>
      </c>
      <c r="R656" s="9" t="s">
        <v>13</v>
      </c>
      <c r="S656" s="15" t="s">
        <v>13</v>
      </c>
    </row>
    <row r="657" spans="1:19" ht="15.75" customHeight="1" x14ac:dyDescent="0.25">
      <c r="A657" s="34">
        <v>1</v>
      </c>
      <c r="B657" s="236">
        <v>4999</v>
      </c>
      <c r="C657" s="234" t="s">
        <v>162</v>
      </c>
      <c r="D657" s="13">
        <v>1978</v>
      </c>
      <c r="E657" s="13" t="s">
        <v>68</v>
      </c>
      <c r="F657" s="13" t="s">
        <v>82</v>
      </c>
      <c r="G657" s="44">
        <v>1039.6300000000001</v>
      </c>
      <c r="H657" s="184">
        <v>907.8</v>
      </c>
      <c r="I657" s="21">
        <v>42</v>
      </c>
      <c r="J657" s="9">
        <f>'Форма 2'!I2404</f>
        <v>6688287.3099999996</v>
      </c>
      <c r="K657" s="9">
        <v>0</v>
      </c>
      <c r="L657" s="9">
        <v>0</v>
      </c>
      <c r="M657" s="9">
        <v>0</v>
      </c>
      <c r="N657" s="9">
        <f>J657-K657-L657-M657-O657</f>
        <v>6653794.2999999998</v>
      </c>
      <c r="O657" s="132">
        <v>34493.01</v>
      </c>
      <c r="P657" s="9">
        <f>J657/H657</f>
        <v>7367.58</v>
      </c>
      <c r="Q657" s="9">
        <f>'Форма 2'!K2404</f>
        <v>8203</v>
      </c>
      <c r="R657" s="43">
        <v>2021</v>
      </c>
      <c r="S657" s="168">
        <v>1</v>
      </c>
    </row>
    <row r="658" spans="1:19" ht="15.75" customHeight="1" x14ac:dyDescent="0.25">
      <c r="A658" s="280" t="s">
        <v>50</v>
      </c>
      <c r="B658" s="280"/>
      <c r="C658" s="280"/>
      <c r="D658" s="10" t="s">
        <v>13</v>
      </c>
      <c r="E658" s="9" t="s">
        <v>13</v>
      </c>
      <c r="F658" s="9" t="s">
        <v>13</v>
      </c>
      <c r="G658" s="35">
        <f>SUM(G659:G661)</f>
        <v>2328.9</v>
      </c>
      <c r="H658" s="35">
        <f t="shared" ref="H658:O658" si="196">SUM(H659:H661)</f>
        <v>2111.6999999999998</v>
      </c>
      <c r="I658" s="39">
        <f t="shared" si="196"/>
        <v>84</v>
      </c>
      <c r="J658" s="35">
        <f t="shared" si="196"/>
        <v>6486169.1399999997</v>
      </c>
      <c r="K658" s="35">
        <f t="shared" si="196"/>
        <v>0</v>
      </c>
      <c r="L658" s="35">
        <f t="shared" si="196"/>
        <v>0</v>
      </c>
      <c r="M658" s="35">
        <f t="shared" si="196"/>
        <v>0</v>
      </c>
      <c r="N658" s="35">
        <f t="shared" si="196"/>
        <v>6344979.8899999997</v>
      </c>
      <c r="O658" s="35">
        <f t="shared" si="196"/>
        <v>141189.25</v>
      </c>
      <c r="P658" s="9" t="s">
        <v>13</v>
      </c>
      <c r="Q658" s="9" t="s">
        <v>13</v>
      </c>
      <c r="R658" s="9" t="s">
        <v>13</v>
      </c>
      <c r="S658" s="15" t="s">
        <v>13</v>
      </c>
    </row>
    <row r="659" spans="1:19" ht="15.75" customHeight="1" x14ac:dyDescent="0.25">
      <c r="A659" s="34">
        <v>1</v>
      </c>
      <c r="B659" s="236">
        <v>7170</v>
      </c>
      <c r="C659" s="234" t="s">
        <v>301</v>
      </c>
      <c r="D659" s="33">
        <v>1970</v>
      </c>
      <c r="E659" s="33" t="s">
        <v>68</v>
      </c>
      <c r="F659" s="33" t="s">
        <v>381</v>
      </c>
      <c r="G659" s="35">
        <v>949.8</v>
      </c>
      <c r="H659" s="9">
        <v>864</v>
      </c>
      <c r="I659" s="39">
        <v>33</v>
      </c>
      <c r="J659" s="9">
        <f>'Форма 2'!I2408</f>
        <v>6187760.71</v>
      </c>
      <c r="K659" s="9">
        <v>0</v>
      </c>
      <c r="L659" s="9">
        <v>0</v>
      </c>
      <c r="M659" s="9">
        <v>0</v>
      </c>
      <c r="N659" s="35">
        <f>J659-O659</f>
        <v>6053067.1399999997</v>
      </c>
      <c r="O659" s="35">
        <v>134693.57</v>
      </c>
      <c r="P659" s="9">
        <f>J659/H659</f>
        <v>7161.76</v>
      </c>
      <c r="Q659" s="9">
        <f>'Форма 2'!K2408</f>
        <v>7688</v>
      </c>
      <c r="R659" s="43">
        <v>2021</v>
      </c>
      <c r="S659" s="168">
        <v>1</v>
      </c>
    </row>
    <row r="660" spans="1:19" ht="15.75" customHeight="1" x14ac:dyDescent="0.25">
      <c r="A660" s="40">
        <f>A659+1</f>
        <v>2</v>
      </c>
      <c r="B660" s="40">
        <v>7177</v>
      </c>
      <c r="C660" s="234" t="s">
        <v>302</v>
      </c>
      <c r="D660" s="33">
        <v>1970</v>
      </c>
      <c r="E660" s="33" t="s">
        <v>68</v>
      </c>
      <c r="F660" s="33" t="s">
        <v>81</v>
      </c>
      <c r="G660" s="35">
        <v>948.8</v>
      </c>
      <c r="H660" s="9">
        <v>863</v>
      </c>
      <c r="I660" s="39">
        <v>33</v>
      </c>
      <c r="J660" s="9">
        <f>'Форма 2'!I2411</f>
        <v>203387.53</v>
      </c>
      <c r="K660" s="9">
        <v>0</v>
      </c>
      <c r="L660" s="9">
        <v>0</v>
      </c>
      <c r="M660" s="9">
        <v>0</v>
      </c>
      <c r="N660" s="9">
        <f>J660-K660-L660-M660-O660</f>
        <v>198960.24</v>
      </c>
      <c r="O660" s="9">
        <v>4427.29</v>
      </c>
      <c r="P660" s="9">
        <f>J660/H660</f>
        <v>235.68</v>
      </c>
      <c r="Q660" s="9">
        <f>'Форма 2'!K2411</f>
        <v>247</v>
      </c>
      <c r="R660" s="43">
        <v>2021</v>
      </c>
      <c r="S660" s="168">
        <v>1</v>
      </c>
    </row>
    <row r="661" spans="1:19" ht="15.75" customHeight="1" x14ac:dyDescent="0.25">
      <c r="A661" s="201">
        <v>3</v>
      </c>
      <c r="B661" s="127">
        <v>7210</v>
      </c>
      <c r="C661" s="202" t="s">
        <v>718</v>
      </c>
      <c r="D661" s="129">
        <v>1960</v>
      </c>
      <c r="E661" s="198" t="s">
        <v>68</v>
      </c>
      <c r="F661" s="198" t="s">
        <v>81</v>
      </c>
      <c r="G661" s="203">
        <v>430.3</v>
      </c>
      <c r="H661" s="173">
        <v>384.7</v>
      </c>
      <c r="I661" s="204">
        <v>18</v>
      </c>
      <c r="J661" s="173">
        <f>'Форма 2'!I2413</f>
        <v>95020.9</v>
      </c>
      <c r="K661" s="173">
        <v>0</v>
      </c>
      <c r="L661" s="173">
        <v>0</v>
      </c>
      <c r="M661" s="173">
        <v>0</v>
      </c>
      <c r="N661" s="173">
        <f>J661-K661-L661-M661-O661</f>
        <v>92952.51</v>
      </c>
      <c r="O661" s="173">
        <v>2068.39</v>
      </c>
      <c r="P661" s="173">
        <f>J661/H661</f>
        <v>247</v>
      </c>
      <c r="Q661" s="173">
        <f>'Форма 2'!K2413</f>
        <v>247</v>
      </c>
      <c r="R661" s="189">
        <v>2021</v>
      </c>
      <c r="S661" s="168">
        <v>1</v>
      </c>
    </row>
    <row r="662" spans="1:19" ht="15.75" customHeight="1" x14ac:dyDescent="0.25">
      <c r="A662" s="8" t="s">
        <v>283</v>
      </c>
      <c r="B662" s="7"/>
      <c r="C662" s="9"/>
      <c r="D662" s="10"/>
      <c r="E662" s="9"/>
      <c r="F662" s="9"/>
      <c r="G662" s="9"/>
      <c r="H662" s="9"/>
      <c r="I662" s="11"/>
      <c r="J662" s="9"/>
      <c r="K662" s="9"/>
      <c r="L662" s="9"/>
      <c r="M662" s="9"/>
      <c r="N662" s="9"/>
      <c r="O662" s="9"/>
      <c r="P662" s="9"/>
      <c r="Q662" s="9"/>
      <c r="R662" s="9"/>
      <c r="S662" s="15"/>
    </row>
    <row r="663" spans="1:19" ht="15.75" customHeight="1" x14ac:dyDescent="0.25">
      <c r="A663" s="277" t="s">
        <v>46</v>
      </c>
      <c r="B663" s="277"/>
      <c r="C663" s="277"/>
      <c r="D663" s="10" t="s">
        <v>13</v>
      </c>
      <c r="E663" s="9" t="s">
        <v>13</v>
      </c>
      <c r="F663" s="9" t="s">
        <v>13</v>
      </c>
      <c r="G663" s="9">
        <f>G664+G670+G687+G690+G692+G694+G729+G745+G830+G833+G835+G838+G855+G860+G862+G865+G872+G874+G894</f>
        <v>895636.31</v>
      </c>
      <c r="H663" s="9">
        <f t="shared" ref="H663:O663" si="197">H664+H670+H687+H690+H692+H694+H729+H745+H830+H833+H835+H838+H855+H860+H862+H865+H872+H874+H894</f>
        <v>747962.86</v>
      </c>
      <c r="I663" s="11">
        <f t="shared" si="197"/>
        <v>27926</v>
      </c>
      <c r="J663" s="9">
        <f t="shared" si="197"/>
        <v>1269181257.8599999</v>
      </c>
      <c r="K663" s="9">
        <f t="shared" si="197"/>
        <v>0</v>
      </c>
      <c r="L663" s="9">
        <f t="shared" si="197"/>
        <v>0</v>
      </c>
      <c r="M663" s="9">
        <f t="shared" si="197"/>
        <v>0</v>
      </c>
      <c r="N663" s="9">
        <f t="shared" si="197"/>
        <v>1269181257.8599999</v>
      </c>
      <c r="O663" s="9">
        <f t="shared" si="197"/>
        <v>0</v>
      </c>
      <c r="P663" s="9" t="s">
        <v>13</v>
      </c>
      <c r="Q663" s="9" t="s">
        <v>13</v>
      </c>
      <c r="R663" s="9" t="s">
        <v>13</v>
      </c>
      <c r="S663" s="15" t="s">
        <v>13</v>
      </c>
    </row>
    <row r="664" spans="1:19" ht="15.75" customHeight="1" x14ac:dyDescent="0.25">
      <c r="A664" s="277" t="s">
        <v>16</v>
      </c>
      <c r="B664" s="277"/>
      <c r="C664" s="277"/>
      <c r="D664" s="10" t="s">
        <v>13</v>
      </c>
      <c r="E664" s="9" t="s">
        <v>13</v>
      </c>
      <c r="F664" s="9" t="s">
        <v>13</v>
      </c>
      <c r="G664" s="9">
        <f>SUM(G665:G669)</f>
        <v>2108.4</v>
      </c>
      <c r="H664" s="9">
        <f t="shared" ref="H664:O664" si="198">SUM(H665:H669)</f>
        <v>1859.5</v>
      </c>
      <c r="I664" s="11">
        <f t="shared" si="198"/>
        <v>72</v>
      </c>
      <c r="J664" s="9">
        <f t="shared" si="198"/>
        <v>4948492.8</v>
      </c>
      <c r="K664" s="9">
        <f t="shared" si="198"/>
        <v>0</v>
      </c>
      <c r="L664" s="9">
        <f t="shared" si="198"/>
        <v>0</v>
      </c>
      <c r="M664" s="9">
        <f t="shared" si="198"/>
        <v>0</v>
      </c>
      <c r="N664" s="9">
        <f t="shared" si="198"/>
        <v>4948492.8</v>
      </c>
      <c r="O664" s="9">
        <f t="shared" si="198"/>
        <v>0</v>
      </c>
      <c r="P664" s="9" t="s">
        <v>13</v>
      </c>
      <c r="Q664" s="9" t="s">
        <v>13</v>
      </c>
      <c r="R664" s="9" t="s">
        <v>13</v>
      </c>
      <c r="S664" s="15" t="s">
        <v>13</v>
      </c>
    </row>
    <row r="665" spans="1:19" s="71" customFormat="1" ht="15.75" customHeight="1" x14ac:dyDescent="0.25">
      <c r="A665" s="236">
        <v>1</v>
      </c>
      <c r="B665" s="174">
        <v>4709</v>
      </c>
      <c r="C665" s="12" t="s">
        <v>728</v>
      </c>
      <c r="D665" s="236">
        <v>1971</v>
      </c>
      <c r="E665" s="236" t="s">
        <v>68</v>
      </c>
      <c r="F665" s="236" t="s">
        <v>82</v>
      </c>
      <c r="G665" s="22">
        <v>361.4</v>
      </c>
      <c r="H665" s="22">
        <v>334.8</v>
      </c>
      <c r="I665" s="15">
        <v>12</v>
      </c>
      <c r="J665" s="22">
        <f>'Форма 2'!I2417</f>
        <v>2746364.4</v>
      </c>
      <c r="K665" s="9">
        <v>0</v>
      </c>
      <c r="L665" s="9">
        <v>0</v>
      </c>
      <c r="M665" s="9">
        <v>0</v>
      </c>
      <c r="N665" s="9">
        <f>J665-K665-L665-M665-O665</f>
        <v>2746364.4</v>
      </c>
      <c r="O665" s="9">
        <v>0</v>
      </c>
      <c r="P665" s="9">
        <f>J665/H665</f>
        <v>8203</v>
      </c>
      <c r="Q665" s="9">
        <f>'Форма 2'!K2417</f>
        <v>8203</v>
      </c>
      <c r="R665" s="16">
        <v>2022</v>
      </c>
      <c r="S665" s="168">
        <v>1</v>
      </c>
    </row>
    <row r="666" spans="1:19" s="71" customFormat="1" ht="15.75" customHeight="1" x14ac:dyDescent="0.25">
      <c r="A666" s="236">
        <f>A665+1</f>
        <v>2</v>
      </c>
      <c r="B666" s="174">
        <v>4664</v>
      </c>
      <c r="C666" s="12" t="s">
        <v>729</v>
      </c>
      <c r="D666" s="236">
        <v>1974</v>
      </c>
      <c r="E666" s="236" t="s">
        <v>68</v>
      </c>
      <c r="F666" s="236" t="s">
        <v>82</v>
      </c>
      <c r="G666" s="22">
        <v>329.6</v>
      </c>
      <c r="H666" s="22">
        <v>227</v>
      </c>
      <c r="I666" s="15">
        <v>14</v>
      </c>
      <c r="J666" s="22">
        <f>'Форма 2'!I2420</f>
        <v>1862081</v>
      </c>
      <c r="K666" s="9">
        <v>0</v>
      </c>
      <c r="L666" s="9">
        <v>0</v>
      </c>
      <c r="M666" s="9">
        <v>0</v>
      </c>
      <c r="N666" s="9">
        <f>J666-K666-L666-M666-O666</f>
        <v>1862081</v>
      </c>
      <c r="O666" s="9">
        <v>0</v>
      </c>
      <c r="P666" s="9">
        <f>J666/H666</f>
        <v>8203</v>
      </c>
      <c r="Q666" s="9">
        <f>'Форма 2'!K2420</f>
        <v>8203</v>
      </c>
      <c r="R666" s="16">
        <v>2022</v>
      </c>
      <c r="S666" s="168">
        <v>1</v>
      </c>
    </row>
    <row r="667" spans="1:19" s="71" customFormat="1" ht="15.75" customHeight="1" x14ac:dyDescent="0.25">
      <c r="A667" s="236">
        <f>A666+1</f>
        <v>3</v>
      </c>
      <c r="B667" s="174">
        <v>4692</v>
      </c>
      <c r="C667" s="12" t="s">
        <v>285</v>
      </c>
      <c r="D667" s="20">
        <v>1968</v>
      </c>
      <c r="E667" s="18" t="s">
        <v>286</v>
      </c>
      <c r="F667" s="13" t="s">
        <v>732</v>
      </c>
      <c r="G667" s="9">
        <v>261.60000000000002</v>
      </c>
      <c r="H667" s="9">
        <v>237.2</v>
      </c>
      <c r="I667" s="11">
        <v>12</v>
      </c>
      <c r="J667" s="9">
        <f>'Форма 2'!I2423</f>
        <v>142794.4</v>
      </c>
      <c r="K667" s="9">
        <v>0</v>
      </c>
      <c r="L667" s="9">
        <v>0</v>
      </c>
      <c r="M667" s="9">
        <v>0</v>
      </c>
      <c r="N667" s="9">
        <f>J667-K667-L667-M667-O667</f>
        <v>142794.4</v>
      </c>
      <c r="O667" s="9">
        <v>0</v>
      </c>
      <c r="P667" s="9">
        <f>J667/H667</f>
        <v>602</v>
      </c>
      <c r="Q667" s="9">
        <f>'Форма 2'!K2423</f>
        <v>602</v>
      </c>
      <c r="R667" s="16">
        <v>2022</v>
      </c>
      <c r="S667" s="168">
        <v>1</v>
      </c>
    </row>
    <row r="668" spans="1:19" s="71" customFormat="1" ht="31.5" customHeight="1" x14ac:dyDescent="0.25">
      <c r="A668" s="236">
        <f>A667+1</f>
        <v>4</v>
      </c>
      <c r="B668" s="253">
        <v>4737</v>
      </c>
      <c r="C668" s="252" t="s">
        <v>730</v>
      </c>
      <c r="D668" s="236">
        <v>1972</v>
      </c>
      <c r="E668" s="236" t="s">
        <v>230</v>
      </c>
      <c r="F668" s="251" t="s">
        <v>81</v>
      </c>
      <c r="G668" s="22">
        <v>372.5</v>
      </c>
      <c r="H668" s="22">
        <v>336.6</v>
      </c>
      <c r="I668" s="15">
        <v>11</v>
      </c>
      <c r="J668" s="22">
        <f>'Форма 2'!I2427</f>
        <v>62607.6</v>
      </c>
      <c r="K668" s="22">
        <v>0</v>
      </c>
      <c r="L668" s="22">
        <v>0</v>
      </c>
      <c r="M668" s="22">
        <v>0</v>
      </c>
      <c r="N668" s="22">
        <f>J668-K668-L668-M668-O668</f>
        <v>62607.6</v>
      </c>
      <c r="O668" s="22">
        <v>0</v>
      </c>
      <c r="P668" s="22">
        <f>J668/H668</f>
        <v>186</v>
      </c>
      <c r="Q668" s="22">
        <f>'Форма 2'!K2427</f>
        <v>186</v>
      </c>
      <c r="R668" s="31">
        <v>2022</v>
      </c>
      <c r="S668" s="168">
        <v>1</v>
      </c>
    </row>
    <row r="669" spans="1:19" s="71" customFormat="1" ht="31.5" customHeight="1" x14ac:dyDescent="0.25">
      <c r="A669" s="236">
        <f>A668+1</f>
        <v>5</v>
      </c>
      <c r="B669" s="174">
        <v>4769</v>
      </c>
      <c r="C669" s="19" t="s">
        <v>731</v>
      </c>
      <c r="D669" s="20">
        <v>1973</v>
      </c>
      <c r="E669" s="236" t="s">
        <v>230</v>
      </c>
      <c r="F669" s="13" t="s">
        <v>81</v>
      </c>
      <c r="G669" s="9">
        <v>783.3</v>
      </c>
      <c r="H669" s="9">
        <v>723.9</v>
      </c>
      <c r="I669" s="15">
        <v>23</v>
      </c>
      <c r="J669" s="9">
        <f>'Форма 2'!I2430</f>
        <v>134645.4</v>
      </c>
      <c r="K669" s="9">
        <v>0</v>
      </c>
      <c r="L669" s="9">
        <v>0</v>
      </c>
      <c r="M669" s="9">
        <v>0</v>
      </c>
      <c r="N669" s="9">
        <f>J669-K669-L669-M669-O669</f>
        <v>134645.4</v>
      </c>
      <c r="O669" s="9">
        <v>0</v>
      </c>
      <c r="P669" s="9">
        <f>J669/H669</f>
        <v>186</v>
      </c>
      <c r="Q669" s="9">
        <f>'Форма 2'!K2430</f>
        <v>186</v>
      </c>
      <c r="R669" s="16">
        <v>2022</v>
      </c>
      <c r="S669" s="168">
        <v>1</v>
      </c>
    </row>
    <row r="670" spans="1:19" ht="15.75" customHeight="1" x14ac:dyDescent="0.25">
      <c r="A670" s="277" t="s">
        <v>29</v>
      </c>
      <c r="B670" s="277"/>
      <c r="C670" s="277"/>
      <c r="D670" s="10" t="s">
        <v>13</v>
      </c>
      <c r="E670" s="9" t="s">
        <v>13</v>
      </c>
      <c r="F670" s="9" t="s">
        <v>13</v>
      </c>
      <c r="G670" s="9">
        <f>SUM(G671:G686)</f>
        <v>12071.49</v>
      </c>
      <c r="H670" s="9">
        <f t="shared" ref="H670:O670" si="199">SUM(H671:H686)</f>
        <v>10619.07</v>
      </c>
      <c r="I670" s="11">
        <f t="shared" si="199"/>
        <v>363</v>
      </c>
      <c r="J670" s="9">
        <f t="shared" si="199"/>
        <v>33369154.48</v>
      </c>
      <c r="K670" s="9">
        <f t="shared" si="199"/>
        <v>0</v>
      </c>
      <c r="L670" s="9">
        <f t="shared" si="199"/>
        <v>0</v>
      </c>
      <c r="M670" s="9">
        <f t="shared" si="199"/>
        <v>0</v>
      </c>
      <c r="N670" s="9">
        <f t="shared" si="199"/>
        <v>33369154.48</v>
      </c>
      <c r="O670" s="9">
        <f t="shared" si="199"/>
        <v>0</v>
      </c>
      <c r="P670" s="9" t="s">
        <v>13</v>
      </c>
      <c r="Q670" s="9" t="s">
        <v>13</v>
      </c>
      <c r="R670" s="9" t="s">
        <v>13</v>
      </c>
      <c r="S670" s="15" t="s">
        <v>13</v>
      </c>
    </row>
    <row r="671" spans="1:19" s="71" customFormat="1" ht="15.75" customHeight="1" x14ac:dyDescent="0.25">
      <c r="A671" s="237">
        <v>1</v>
      </c>
      <c r="B671" s="242">
        <v>4391</v>
      </c>
      <c r="C671" s="232" t="s">
        <v>342</v>
      </c>
      <c r="D671" s="236">
        <v>1966</v>
      </c>
      <c r="E671" s="236" t="s">
        <v>230</v>
      </c>
      <c r="F671" s="236" t="s">
        <v>82</v>
      </c>
      <c r="G671" s="9">
        <v>1076.2</v>
      </c>
      <c r="H671" s="9">
        <v>998.1</v>
      </c>
      <c r="I671" s="21">
        <v>33</v>
      </c>
      <c r="J671" s="9">
        <f>'Форма 2'!I2434</f>
        <v>3490355.7</v>
      </c>
      <c r="K671" s="9">
        <v>0</v>
      </c>
      <c r="L671" s="9">
        <v>0</v>
      </c>
      <c r="M671" s="9">
        <v>0</v>
      </c>
      <c r="N671" s="9">
        <f t="shared" ref="N671:N686" si="200">J671-K671-L671-M671-O671</f>
        <v>3490355.7</v>
      </c>
      <c r="O671" s="9">
        <v>0</v>
      </c>
      <c r="P671" s="9">
        <f t="shared" ref="P671:P686" si="201">J671/H671</f>
        <v>3497</v>
      </c>
      <c r="Q671" s="9">
        <f>'Форма 2'!K2434</f>
        <v>3497</v>
      </c>
      <c r="R671" s="16">
        <v>2022</v>
      </c>
      <c r="S671" s="168">
        <v>1</v>
      </c>
    </row>
    <row r="672" spans="1:19" s="71" customFormat="1" ht="15.75" customHeight="1" x14ac:dyDescent="0.25">
      <c r="A672" s="238">
        <f>A671+1</f>
        <v>2</v>
      </c>
      <c r="B672" s="238">
        <v>4593</v>
      </c>
      <c r="C672" s="243" t="s">
        <v>664</v>
      </c>
      <c r="D672" s="236">
        <v>1966</v>
      </c>
      <c r="E672" s="236" t="s">
        <v>230</v>
      </c>
      <c r="F672" s="236" t="s">
        <v>81</v>
      </c>
      <c r="G672" s="9">
        <v>1048.05</v>
      </c>
      <c r="H672" s="9">
        <v>977.75</v>
      </c>
      <c r="I672" s="21">
        <v>28</v>
      </c>
      <c r="J672" s="9">
        <f>'Форма 2'!I2439</f>
        <v>175017.25</v>
      </c>
      <c r="K672" s="9">
        <v>0</v>
      </c>
      <c r="L672" s="9">
        <v>0</v>
      </c>
      <c r="M672" s="9">
        <v>0</v>
      </c>
      <c r="N672" s="9">
        <f t="shared" si="200"/>
        <v>175017.25</v>
      </c>
      <c r="O672" s="9">
        <v>0</v>
      </c>
      <c r="P672" s="9">
        <f t="shared" si="201"/>
        <v>179</v>
      </c>
      <c r="Q672" s="9">
        <f>'Форма 2'!K2439</f>
        <v>179</v>
      </c>
      <c r="R672" s="16">
        <v>2022</v>
      </c>
      <c r="S672" s="168">
        <v>1</v>
      </c>
    </row>
    <row r="673" spans="1:19" s="71" customFormat="1" ht="15.75" customHeight="1" x14ac:dyDescent="0.25">
      <c r="A673" s="238">
        <f>A672+1</f>
        <v>3</v>
      </c>
      <c r="B673" s="238">
        <v>4394</v>
      </c>
      <c r="C673" s="243" t="s">
        <v>665</v>
      </c>
      <c r="D673" s="236">
        <v>1967</v>
      </c>
      <c r="E673" s="236" t="s">
        <v>230</v>
      </c>
      <c r="F673" s="236" t="s">
        <v>81</v>
      </c>
      <c r="G673" s="9">
        <v>1544.7</v>
      </c>
      <c r="H673" s="9">
        <v>1471.5</v>
      </c>
      <c r="I673" s="21">
        <v>42</v>
      </c>
      <c r="J673" s="9">
        <f>'Форма 2'!I2442</f>
        <v>244269</v>
      </c>
      <c r="K673" s="9">
        <v>0</v>
      </c>
      <c r="L673" s="9">
        <v>0</v>
      </c>
      <c r="M673" s="9">
        <v>0</v>
      </c>
      <c r="N673" s="9">
        <f t="shared" si="200"/>
        <v>244269</v>
      </c>
      <c r="O673" s="9">
        <v>0</v>
      </c>
      <c r="P673" s="9">
        <f t="shared" si="201"/>
        <v>166</v>
      </c>
      <c r="Q673" s="9">
        <f>'Форма 2'!K2442</f>
        <v>166</v>
      </c>
      <c r="R673" s="16">
        <v>2022</v>
      </c>
      <c r="S673" s="168">
        <v>1</v>
      </c>
    </row>
    <row r="674" spans="1:19" s="71" customFormat="1" ht="31.5" customHeight="1" x14ac:dyDescent="0.25">
      <c r="A674" s="237">
        <f>A673+1</f>
        <v>4</v>
      </c>
      <c r="B674" s="242">
        <v>4552</v>
      </c>
      <c r="C674" s="232" t="s">
        <v>343</v>
      </c>
      <c r="D674" s="236">
        <v>1963</v>
      </c>
      <c r="E674" s="236" t="s">
        <v>68</v>
      </c>
      <c r="F674" s="236" t="s">
        <v>82</v>
      </c>
      <c r="G674" s="22">
        <v>325.86</v>
      </c>
      <c r="H674" s="22">
        <v>301.45999999999998</v>
      </c>
      <c r="I674" s="257">
        <v>15</v>
      </c>
      <c r="J674" s="22">
        <f>'Форма 2'!I2445</f>
        <v>2317624.48</v>
      </c>
      <c r="K674" s="22">
        <v>0</v>
      </c>
      <c r="L674" s="22">
        <v>0</v>
      </c>
      <c r="M674" s="22">
        <v>0</v>
      </c>
      <c r="N674" s="22">
        <f t="shared" si="200"/>
        <v>2317624.48</v>
      </c>
      <c r="O674" s="22">
        <v>0</v>
      </c>
      <c r="P674" s="22">
        <f t="shared" si="201"/>
        <v>7688</v>
      </c>
      <c r="Q674" s="22">
        <f>'Форма 2'!K2445</f>
        <v>7688</v>
      </c>
      <c r="R674" s="31">
        <v>2022</v>
      </c>
      <c r="S674" s="168">
        <v>1</v>
      </c>
    </row>
    <row r="675" spans="1:19" s="71" customFormat="1" ht="31.5" customHeight="1" x14ac:dyDescent="0.25">
      <c r="A675" s="237">
        <f t="shared" ref="A675:A684" si="202">A674+1</f>
        <v>5</v>
      </c>
      <c r="B675" s="242">
        <v>4486</v>
      </c>
      <c r="C675" s="232" t="s">
        <v>345</v>
      </c>
      <c r="D675" s="236">
        <v>1963</v>
      </c>
      <c r="E675" s="236" t="s">
        <v>230</v>
      </c>
      <c r="F675" s="236" t="s">
        <v>82</v>
      </c>
      <c r="G675" s="22">
        <v>308.44</v>
      </c>
      <c r="H675" s="22">
        <v>285.2</v>
      </c>
      <c r="I675" s="257">
        <v>13</v>
      </c>
      <c r="J675" s="22">
        <f>'Форма 2'!I2448</f>
        <v>997344.4</v>
      </c>
      <c r="K675" s="22">
        <v>0</v>
      </c>
      <c r="L675" s="22">
        <v>0</v>
      </c>
      <c r="M675" s="22">
        <v>0</v>
      </c>
      <c r="N675" s="22">
        <f t="shared" si="200"/>
        <v>997344.4</v>
      </c>
      <c r="O675" s="22">
        <v>0</v>
      </c>
      <c r="P675" s="22">
        <f t="shared" si="201"/>
        <v>3497</v>
      </c>
      <c r="Q675" s="22">
        <f>'Форма 2'!K2448</f>
        <v>3497</v>
      </c>
      <c r="R675" s="31">
        <v>2022</v>
      </c>
      <c r="S675" s="168">
        <v>1</v>
      </c>
    </row>
    <row r="676" spans="1:19" s="71" customFormat="1" ht="31.5" customHeight="1" x14ac:dyDescent="0.25">
      <c r="A676" s="237">
        <f t="shared" si="202"/>
        <v>6</v>
      </c>
      <c r="B676" s="242">
        <v>4616</v>
      </c>
      <c r="C676" s="232" t="s">
        <v>346</v>
      </c>
      <c r="D676" s="236">
        <v>1963</v>
      </c>
      <c r="E676" s="236" t="s">
        <v>68</v>
      </c>
      <c r="F676" s="236" t="s">
        <v>82</v>
      </c>
      <c r="G676" s="22">
        <v>443.28</v>
      </c>
      <c r="H676" s="22">
        <v>404.18</v>
      </c>
      <c r="I676" s="257">
        <v>13</v>
      </c>
      <c r="J676" s="22">
        <f>'Форма 2'!I2453</f>
        <v>3107335.84</v>
      </c>
      <c r="K676" s="22">
        <v>0</v>
      </c>
      <c r="L676" s="22">
        <v>0</v>
      </c>
      <c r="M676" s="22">
        <v>0</v>
      </c>
      <c r="N676" s="22">
        <f t="shared" si="200"/>
        <v>3107335.84</v>
      </c>
      <c r="O676" s="22">
        <v>0</v>
      </c>
      <c r="P676" s="22">
        <f t="shared" si="201"/>
        <v>7688</v>
      </c>
      <c r="Q676" s="22">
        <f>'Форма 2'!K2453</f>
        <v>7688</v>
      </c>
      <c r="R676" s="31">
        <v>2022</v>
      </c>
      <c r="S676" s="168">
        <v>1</v>
      </c>
    </row>
    <row r="677" spans="1:19" s="71" customFormat="1" ht="15.75" customHeight="1" x14ac:dyDescent="0.25">
      <c r="A677" s="237">
        <f t="shared" si="202"/>
        <v>7</v>
      </c>
      <c r="B677" s="242">
        <v>4399</v>
      </c>
      <c r="C677" s="232" t="s">
        <v>431</v>
      </c>
      <c r="D677" s="236">
        <v>1967</v>
      </c>
      <c r="E677" s="236" t="s">
        <v>68</v>
      </c>
      <c r="F677" s="236" t="s">
        <v>82</v>
      </c>
      <c r="G677" s="9">
        <v>374.4</v>
      </c>
      <c r="H677" s="9">
        <v>351</v>
      </c>
      <c r="I677" s="21">
        <v>12</v>
      </c>
      <c r="J677" s="9">
        <f>'Форма 2'!I2456</f>
        <v>2698488</v>
      </c>
      <c r="K677" s="9">
        <v>0</v>
      </c>
      <c r="L677" s="9">
        <v>0</v>
      </c>
      <c r="M677" s="9">
        <v>0</v>
      </c>
      <c r="N677" s="9">
        <f t="shared" si="200"/>
        <v>2698488</v>
      </c>
      <c r="O677" s="9">
        <v>0</v>
      </c>
      <c r="P677" s="9">
        <f t="shared" si="201"/>
        <v>7688</v>
      </c>
      <c r="Q677" s="9">
        <f>'Форма 2'!K2456</f>
        <v>7688</v>
      </c>
      <c r="R677" s="16">
        <v>2022</v>
      </c>
      <c r="S677" s="168">
        <v>1</v>
      </c>
    </row>
    <row r="678" spans="1:19" s="71" customFormat="1" ht="15.75" customHeight="1" x14ac:dyDescent="0.25">
      <c r="A678" s="238">
        <f t="shared" si="202"/>
        <v>8</v>
      </c>
      <c r="B678" s="242">
        <v>4517</v>
      </c>
      <c r="C678" s="232" t="s">
        <v>666</v>
      </c>
      <c r="D678" s="236">
        <v>1971</v>
      </c>
      <c r="E678" s="251" t="s">
        <v>354</v>
      </c>
      <c r="F678" s="236" t="s">
        <v>81</v>
      </c>
      <c r="G678" s="9">
        <v>774</v>
      </c>
      <c r="H678" s="9">
        <v>714</v>
      </c>
      <c r="I678" s="21">
        <v>24</v>
      </c>
      <c r="J678" s="9">
        <f>'Форма 2'!I2459</f>
        <v>157080</v>
      </c>
      <c r="K678" s="9">
        <v>0</v>
      </c>
      <c r="L678" s="9">
        <v>0</v>
      </c>
      <c r="M678" s="9">
        <v>0</v>
      </c>
      <c r="N678" s="9">
        <f t="shared" si="200"/>
        <v>157080</v>
      </c>
      <c r="O678" s="9">
        <v>0</v>
      </c>
      <c r="P678" s="9">
        <f t="shared" si="201"/>
        <v>220</v>
      </c>
      <c r="Q678" s="9">
        <f>'Форма 2'!K2459</f>
        <v>220</v>
      </c>
      <c r="R678" s="16">
        <v>2022</v>
      </c>
      <c r="S678" s="168">
        <v>1</v>
      </c>
    </row>
    <row r="679" spans="1:19" s="71" customFormat="1" ht="15.75" customHeight="1" x14ac:dyDescent="0.25">
      <c r="A679" s="238">
        <f t="shared" si="202"/>
        <v>9</v>
      </c>
      <c r="B679" s="242">
        <v>4519</v>
      </c>
      <c r="C679" s="232" t="s">
        <v>671</v>
      </c>
      <c r="D679" s="236">
        <v>1959</v>
      </c>
      <c r="E679" s="236" t="s">
        <v>230</v>
      </c>
      <c r="F679" s="236" t="s">
        <v>81</v>
      </c>
      <c r="G679" s="9">
        <v>546.4</v>
      </c>
      <c r="H679" s="9">
        <v>493.4</v>
      </c>
      <c r="I679" s="21">
        <v>10</v>
      </c>
      <c r="J679" s="9">
        <f>'Форма 2'!I2463</f>
        <v>88318.6</v>
      </c>
      <c r="K679" s="9">
        <v>0</v>
      </c>
      <c r="L679" s="9">
        <v>0</v>
      </c>
      <c r="M679" s="9">
        <v>0</v>
      </c>
      <c r="N679" s="9">
        <f t="shared" si="200"/>
        <v>88318.6</v>
      </c>
      <c r="O679" s="9">
        <v>0</v>
      </c>
      <c r="P679" s="9">
        <f t="shared" si="201"/>
        <v>179</v>
      </c>
      <c r="Q679" s="9">
        <f>'Форма 2'!K2463</f>
        <v>179</v>
      </c>
      <c r="R679" s="16">
        <v>2022</v>
      </c>
      <c r="S679" s="168">
        <v>1</v>
      </c>
    </row>
    <row r="680" spans="1:19" s="71" customFormat="1" ht="15.75" customHeight="1" x14ac:dyDescent="0.25">
      <c r="A680" s="237">
        <f t="shared" si="202"/>
        <v>10</v>
      </c>
      <c r="B680" s="242">
        <v>4437</v>
      </c>
      <c r="C680" s="232" t="s">
        <v>347</v>
      </c>
      <c r="D680" s="236">
        <v>1965</v>
      </c>
      <c r="E680" s="236" t="s">
        <v>68</v>
      </c>
      <c r="F680" s="236" t="s">
        <v>82</v>
      </c>
      <c r="G680" s="9">
        <v>1037</v>
      </c>
      <c r="H680" s="9">
        <v>965.1</v>
      </c>
      <c r="I680" s="21">
        <v>33</v>
      </c>
      <c r="J680" s="9">
        <f>'Форма 2'!I2466</f>
        <v>7419688.7999999998</v>
      </c>
      <c r="K680" s="9">
        <v>0</v>
      </c>
      <c r="L680" s="9">
        <v>0</v>
      </c>
      <c r="M680" s="9">
        <v>0</v>
      </c>
      <c r="N680" s="9">
        <f t="shared" si="200"/>
        <v>7419688.7999999998</v>
      </c>
      <c r="O680" s="9">
        <v>0</v>
      </c>
      <c r="P680" s="9">
        <f t="shared" si="201"/>
        <v>7688</v>
      </c>
      <c r="Q680" s="9">
        <f>'Форма 2'!K2466</f>
        <v>7688</v>
      </c>
      <c r="R680" s="16">
        <v>2022</v>
      </c>
      <c r="S680" s="168">
        <v>1</v>
      </c>
    </row>
    <row r="681" spans="1:19" s="71" customFormat="1" ht="15.75" customHeight="1" x14ac:dyDescent="0.25">
      <c r="A681" s="238">
        <f t="shared" si="202"/>
        <v>11</v>
      </c>
      <c r="B681" s="242">
        <v>4438</v>
      </c>
      <c r="C681" s="232" t="s">
        <v>662</v>
      </c>
      <c r="D681" s="236">
        <v>1965</v>
      </c>
      <c r="E681" s="236" t="s">
        <v>68</v>
      </c>
      <c r="F681" s="236" t="s">
        <v>82</v>
      </c>
      <c r="G681" s="9">
        <v>1061.2</v>
      </c>
      <c r="H681" s="9">
        <v>986.2</v>
      </c>
      <c r="I681" s="21">
        <v>42</v>
      </c>
      <c r="J681" s="9">
        <f>'Форма 2'!I2469</f>
        <v>7581905.5999999996</v>
      </c>
      <c r="K681" s="9">
        <v>0</v>
      </c>
      <c r="L681" s="9">
        <v>0</v>
      </c>
      <c r="M681" s="9">
        <v>0</v>
      </c>
      <c r="N681" s="9">
        <f t="shared" si="200"/>
        <v>7581905.5999999996</v>
      </c>
      <c r="O681" s="9">
        <v>0</v>
      </c>
      <c r="P681" s="9">
        <f t="shared" si="201"/>
        <v>7688</v>
      </c>
      <c r="Q681" s="9">
        <f>'Форма 2'!K2469</f>
        <v>7688</v>
      </c>
      <c r="R681" s="16">
        <v>2022</v>
      </c>
      <c r="S681" s="168">
        <v>1</v>
      </c>
    </row>
    <row r="682" spans="1:19" s="71" customFormat="1" ht="15.75" customHeight="1" x14ac:dyDescent="0.25">
      <c r="A682" s="238">
        <f t="shared" si="202"/>
        <v>12</v>
      </c>
      <c r="B682" s="242">
        <v>4444</v>
      </c>
      <c r="C682" s="232" t="s">
        <v>668</v>
      </c>
      <c r="D682" s="236">
        <v>1970</v>
      </c>
      <c r="E682" s="251" t="s">
        <v>354</v>
      </c>
      <c r="F682" s="236" t="s">
        <v>81</v>
      </c>
      <c r="G682" s="9">
        <v>783.9</v>
      </c>
      <c r="H682" s="9">
        <v>725.1</v>
      </c>
      <c r="I682" s="21">
        <v>27</v>
      </c>
      <c r="J682" s="9">
        <f>'Форма 2'!I2472</f>
        <v>159522</v>
      </c>
      <c r="K682" s="9">
        <v>0</v>
      </c>
      <c r="L682" s="9">
        <v>0</v>
      </c>
      <c r="M682" s="9">
        <v>0</v>
      </c>
      <c r="N682" s="9">
        <f t="shared" si="200"/>
        <v>159522</v>
      </c>
      <c r="O682" s="9">
        <v>0</v>
      </c>
      <c r="P682" s="9">
        <f t="shared" si="201"/>
        <v>220</v>
      </c>
      <c r="Q682" s="9">
        <f>'Форма 2'!K2472</f>
        <v>220</v>
      </c>
      <c r="R682" s="16">
        <v>2022</v>
      </c>
      <c r="S682" s="168">
        <v>1</v>
      </c>
    </row>
    <row r="683" spans="1:19" s="71" customFormat="1" ht="15.75" customHeight="1" x14ac:dyDescent="0.25">
      <c r="A683" s="238">
        <f t="shared" si="202"/>
        <v>13</v>
      </c>
      <c r="B683" s="242">
        <v>4602</v>
      </c>
      <c r="C683" s="232" t="s">
        <v>669</v>
      </c>
      <c r="D683" s="236">
        <v>1970</v>
      </c>
      <c r="E683" s="251" t="s">
        <v>354</v>
      </c>
      <c r="F683" s="236" t="s">
        <v>81</v>
      </c>
      <c r="G683" s="9">
        <v>771.83</v>
      </c>
      <c r="H683" s="9">
        <v>708.47</v>
      </c>
      <c r="I683" s="21">
        <v>28</v>
      </c>
      <c r="J683" s="9">
        <f>'Форма 2'!I2476</f>
        <v>155863.4</v>
      </c>
      <c r="K683" s="9">
        <v>0</v>
      </c>
      <c r="L683" s="9">
        <v>0</v>
      </c>
      <c r="M683" s="9">
        <v>0</v>
      </c>
      <c r="N683" s="9">
        <f t="shared" si="200"/>
        <v>155863.4</v>
      </c>
      <c r="O683" s="9">
        <v>0</v>
      </c>
      <c r="P683" s="9">
        <f t="shared" si="201"/>
        <v>220</v>
      </c>
      <c r="Q683" s="9">
        <f>'Форма 2'!K2476</f>
        <v>220</v>
      </c>
      <c r="R683" s="16">
        <v>2022</v>
      </c>
      <c r="S683" s="168">
        <v>1</v>
      </c>
    </row>
    <row r="684" spans="1:19" s="71" customFormat="1" ht="15.75" customHeight="1" x14ac:dyDescent="0.25">
      <c r="A684" s="237">
        <f t="shared" si="202"/>
        <v>14</v>
      </c>
      <c r="B684" s="242">
        <v>4481</v>
      </c>
      <c r="C684" s="232" t="s">
        <v>351</v>
      </c>
      <c r="D684" s="236">
        <v>1965</v>
      </c>
      <c r="E684" s="236" t="s">
        <v>68</v>
      </c>
      <c r="F684" s="236" t="s">
        <v>82</v>
      </c>
      <c r="G684" s="9">
        <v>451.5</v>
      </c>
      <c r="H684" s="9">
        <v>388.18</v>
      </c>
      <c r="I684" s="21">
        <v>12</v>
      </c>
      <c r="J684" s="9">
        <f>'Форма 2'!I2480</f>
        <v>2984327.84</v>
      </c>
      <c r="K684" s="9">
        <v>0</v>
      </c>
      <c r="L684" s="9">
        <v>0</v>
      </c>
      <c r="M684" s="9">
        <v>0</v>
      </c>
      <c r="N684" s="9">
        <f t="shared" si="200"/>
        <v>2984327.84</v>
      </c>
      <c r="O684" s="9">
        <v>0</v>
      </c>
      <c r="P684" s="9">
        <f t="shared" si="201"/>
        <v>7688</v>
      </c>
      <c r="Q684" s="9">
        <f>'Форма 2'!K2480</f>
        <v>7688</v>
      </c>
      <c r="R684" s="16">
        <v>2022</v>
      </c>
      <c r="S684" s="168">
        <v>1</v>
      </c>
    </row>
    <row r="685" spans="1:19" s="71" customFormat="1" ht="15.75" customHeight="1" x14ac:dyDescent="0.25">
      <c r="A685" s="238">
        <f>A684+1</f>
        <v>15</v>
      </c>
      <c r="B685" s="242">
        <v>4459</v>
      </c>
      <c r="C685" s="232" t="s">
        <v>670</v>
      </c>
      <c r="D685" s="236">
        <v>1966</v>
      </c>
      <c r="E685" s="236" t="s">
        <v>230</v>
      </c>
      <c r="F685" s="236" t="s">
        <v>81</v>
      </c>
      <c r="G685" s="9">
        <v>685.23</v>
      </c>
      <c r="H685" s="9">
        <v>631.03</v>
      </c>
      <c r="I685" s="21">
        <v>21</v>
      </c>
      <c r="J685" s="9">
        <f>'Форма 2'!I2483</f>
        <v>112954.37</v>
      </c>
      <c r="K685" s="9">
        <v>0</v>
      </c>
      <c r="L685" s="9">
        <v>0</v>
      </c>
      <c r="M685" s="9">
        <v>0</v>
      </c>
      <c r="N685" s="9">
        <f t="shared" si="200"/>
        <v>112954.37</v>
      </c>
      <c r="O685" s="9">
        <v>0</v>
      </c>
      <c r="P685" s="9">
        <f t="shared" si="201"/>
        <v>179</v>
      </c>
      <c r="Q685" s="9">
        <f>'Форма 2'!K2483</f>
        <v>179</v>
      </c>
      <c r="R685" s="16">
        <v>2022</v>
      </c>
      <c r="S685" s="168">
        <v>1</v>
      </c>
    </row>
    <row r="686" spans="1:19" s="71" customFormat="1" ht="15.75" customHeight="1" x14ac:dyDescent="0.25">
      <c r="A686" s="238">
        <f>A685+1</f>
        <v>16</v>
      </c>
      <c r="B686" s="242">
        <v>4624</v>
      </c>
      <c r="C686" s="232" t="s">
        <v>663</v>
      </c>
      <c r="D686" s="236">
        <v>1984</v>
      </c>
      <c r="E686" s="236" t="s">
        <v>68</v>
      </c>
      <c r="F686" s="236" t="s">
        <v>82</v>
      </c>
      <c r="G686" s="9">
        <v>839.5</v>
      </c>
      <c r="H686" s="9">
        <v>218.4</v>
      </c>
      <c r="I686" s="21">
        <v>10</v>
      </c>
      <c r="J686" s="9">
        <f>'Форма 2'!I2486</f>
        <v>1679059.2</v>
      </c>
      <c r="K686" s="9">
        <v>0</v>
      </c>
      <c r="L686" s="9">
        <v>0</v>
      </c>
      <c r="M686" s="9">
        <v>0</v>
      </c>
      <c r="N686" s="9">
        <f t="shared" si="200"/>
        <v>1679059.2</v>
      </c>
      <c r="O686" s="9">
        <v>0</v>
      </c>
      <c r="P686" s="9">
        <f t="shared" si="201"/>
        <v>7688</v>
      </c>
      <c r="Q686" s="9">
        <f>'Форма 2'!K2486</f>
        <v>7688</v>
      </c>
      <c r="R686" s="16">
        <v>2022</v>
      </c>
      <c r="S686" s="168">
        <v>1</v>
      </c>
    </row>
    <row r="687" spans="1:19" s="71" customFormat="1" ht="15.75" customHeight="1" x14ac:dyDescent="0.25">
      <c r="A687" s="271" t="s">
        <v>515</v>
      </c>
      <c r="B687" s="272"/>
      <c r="C687" s="273"/>
      <c r="D687" s="17" t="s">
        <v>13</v>
      </c>
      <c r="E687" s="236" t="s">
        <v>13</v>
      </c>
      <c r="F687" s="236" t="s">
        <v>13</v>
      </c>
      <c r="G687" s="22">
        <f>SUM(G688:G689)</f>
        <v>823.9</v>
      </c>
      <c r="H687" s="22">
        <f t="shared" ref="H687:O687" si="203">SUM(H688:H689)</f>
        <v>745.3</v>
      </c>
      <c r="I687" s="15">
        <f t="shared" si="203"/>
        <v>31</v>
      </c>
      <c r="J687" s="22">
        <f t="shared" si="203"/>
        <v>3182359.9</v>
      </c>
      <c r="K687" s="22">
        <f t="shared" si="203"/>
        <v>0</v>
      </c>
      <c r="L687" s="22">
        <f t="shared" si="203"/>
        <v>0</v>
      </c>
      <c r="M687" s="22">
        <f t="shared" si="203"/>
        <v>0</v>
      </c>
      <c r="N687" s="22">
        <f t="shared" si="203"/>
        <v>3182359.9</v>
      </c>
      <c r="O687" s="22">
        <f t="shared" si="203"/>
        <v>0</v>
      </c>
      <c r="P687" s="22" t="s">
        <v>13</v>
      </c>
      <c r="Q687" s="22" t="s">
        <v>13</v>
      </c>
      <c r="R687" s="7" t="s">
        <v>13</v>
      </c>
      <c r="S687" s="15" t="s">
        <v>13</v>
      </c>
    </row>
    <row r="688" spans="1:19" s="71" customFormat="1" ht="15.75" customHeight="1" x14ac:dyDescent="0.25">
      <c r="A688" s="205">
        <v>1</v>
      </c>
      <c r="B688" s="242">
        <v>4771</v>
      </c>
      <c r="C688" s="252" t="s">
        <v>672</v>
      </c>
      <c r="D688" s="236">
        <v>1970</v>
      </c>
      <c r="E688" s="236" t="s">
        <v>181</v>
      </c>
      <c r="F688" s="236" t="s">
        <v>81</v>
      </c>
      <c r="G688" s="14">
        <v>408.9</v>
      </c>
      <c r="H688" s="14">
        <v>369</v>
      </c>
      <c r="I688" s="11">
        <v>15</v>
      </c>
      <c r="J688" s="22">
        <f>'Форма 2'!I2490</f>
        <v>95571</v>
      </c>
      <c r="K688" s="22">
        <v>0</v>
      </c>
      <c r="L688" s="22">
        <v>0</v>
      </c>
      <c r="M688" s="22">
        <v>0</v>
      </c>
      <c r="N688" s="22">
        <f>J688-K688-L688-M688-O688</f>
        <v>95571</v>
      </c>
      <c r="O688" s="22">
        <v>0</v>
      </c>
      <c r="P688" s="22">
        <f>J688/H688</f>
        <v>259</v>
      </c>
      <c r="Q688" s="22">
        <f>'Форма 2'!K2490</f>
        <v>259</v>
      </c>
      <c r="R688" s="16">
        <v>2022</v>
      </c>
      <c r="S688" s="15">
        <v>1</v>
      </c>
    </row>
    <row r="689" spans="1:19" s="71" customFormat="1" ht="15.75" customHeight="1" x14ac:dyDescent="0.25">
      <c r="A689" s="236">
        <f>A688+1</f>
        <v>2</v>
      </c>
      <c r="B689" s="236">
        <v>4777</v>
      </c>
      <c r="C689" s="252" t="s">
        <v>542</v>
      </c>
      <c r="D689" s="236">
        <v>1965</v>
      </c>
      <c r="E689" s="236" t="s">
        <v>181</v>
      </c>
      <c r="F689" s="236" t="s">
        <v>82</v>
      </c>
      <c r="G689" s="14">
        <v>415</v>
      </c>
      <c r="H689" s="14">
        <v>376.3</v>
      </c>
      <c r="I689" s="15">
        <v>16</v>
      </c>
      <c r="J689" s="22">
        <f>'Форма 2'!I2492</f>
        <v>3086788.9</v>
      </c>
      <c r="K689" s="22">
        <v>0</v>
      </c>
      <c r="L689" s="22">
        <v>0</v>
      </c>
      <c r="M689" s="22">
        <v>0</v>
      </c>
      <c r="N689" s="22">
        <v>3086788.9</v>
      </c>
      <c r="O689" s="22">
        <v>0</v>
      </c>
      <c r="P689" s="22">
        <f>J689/H689</f>
        <v>8203</v>
      </c>
      <c r="Q689" s="22">
        <f>'Форма 2'!K2492</f>
        <v>8203</v>
      </c>
      <c r="R689" s="16">
        <v>2022</v>
      </c>
      <c r="S689" s="168">
        <v>1</v>
      </c>
    </row>
    <row r="690" spans="1:19" ht="15.75" customHeight="1" x14ac:dyDescent="0.25">
      <c r="A690" s="277" t="s">
        <v>30</v>
      </c>
      <c r="B690" s="277"/>
      <c r="C690" s="277"/>
      <c r="D690" s="10" t="s">
        <v>13</v>
      </c>
      <c r="E690" s="9" t="s">
        <v>13</v>
      </c>
      <c r="F690" s="9" t="s">
        <v>13</v>
      </c>
      <c r="G690" s="9">
        <f>G691</f>
        <v>744.2</v>
      </c>
      <c r="H690" s="9">
        <f t="shared" ref="H690:O692" si="204">H691</f>
        <v>678.5</v>
      </c>
      <c r="I690" s="11">
        <f t="shared" si="204"/>
        <v>27</v>
      </c>
      <c r="J690" s="9">
        <f t="shared" si="204"/>
        <v>5565735.5</v>
      </c>
      <c r="K690" s="9">
        <f t="shared" si="204"/>
        <v>0</v>
      </c>
      <c r="L690" s="9">
        <f t="shared" si="204"/>
        <v>0</v>
      </c>
      <c r="M690" s="9">
        <f t="shared" si="204"/>
        <v>0</v>
      </c>
      <c r="N690" s="9">
        <f t="shared" si="204"/>
        <v>5565735.5</v>
      </c>
      <c r="O690" s="9">
        <f t="shared" si="204"/>
        <v>0</v>
      </c>
      <c r="P690" s="9" t="s">
        <v>13</v>
      </c>
      <c r="Q690" s="9" t="s">
        <v>13</v>
      </c>
      <c r="R690" s="9" t="s">
        <v>13</v>
      </c>
      <c r="S690" s="15" t="s">
        <v>13</v>
      </c>
    </row>
    <row r="691" spans="1:19" ht="15.75" customHeight="1" x14ac:dyDescent="0.25">
      <c r="A691" s="236">
        <v>1</v>
      </c>
      <c r="B691" s="236">
        <v>6712</v>
      </c>
      <c r="C691" s="252" t="s">
        <v>673</v>
      </c>
      <c r="D691" s="236">
        <v>1976</v>
      </c>
      <c r="E691" s="236" t="s">
        <v>68</v>
      </c>
      <c r="F691" s="251" t="s">
        <v>82</v>
      </c>
      <c r="G691" s="14">
        <v>744.2</v>
      </c>
      <c r="H691" s="14">
        <v>678.5</v>
      </c>
      <c r="I691" s="236">
        <v>27</v>
      </c>
      <c r="J691" s="22">
        <f>'Форма 2'!I2496</f>
        <v>5565735.5</v>
      </c>
      <c r="K691" s="22">
        <v>0</v>
      </c>
      <c r="L691" s="22">
        <v>0</v>
      </c>
      <c r="M691" s="22">
        <v>0</v>
      </c>
      <c r="N691" s="9">
        <f>J691-K691-L691-M691-O691</f>
        <v>5565735.5</v>
      </c>
      <c r="O691" s="14">
        <v>0</v>
      </c>
      <c r="P691" s="22">
        <f>J691/H691</f>
        <v>8203</v>
      </c>
      <c r="Q691" s="14">
        <f>'Форма 2'!K2496</f>
        <v>8203</v>
      </c>
      <c r="R691" s="206" t="s">
        <v>377</v>
      </c>
      <c r="S691" s="168">
        <v>1</v>
      </c>
    </row>
    <row r="692" spans="1:19" ht="15.75" customHeight="1" x14ac:dyDescent="0.25">
      <c r="A692" s="277" t="s">
        <v>33</v>
      </c>
      <c r="B692" s="277"/>
      <c r="C692" s="277"/>
      <c r="D692" s="10" t="s">
        <v>13</v>
      </c>
      <c r="E692" s="9" t="s">
        <v>13</v>
      </c>
      <c r="F692" s="9" t="s">
        <v>13</v>
      </c>
      <c r="G692" s="9">
        <f>G693</f>
        <v>7975.58</v>
      </c>
      <c r="H692" s="9">
        <f t="shared" si="204"/>
        <v>7239.6</v>
      </c>
      <c r="I692" s="11">
        <f t="shared" si="204"/>
        <v>117</v>
      </c>
      <c r="J692" s="9">
        <f t="shared" si="204"/>
        <v>1245211.2</v>
      </c>
      <c r="K692" s="9">
        <f t="shared" si="204"/>
        <v>0</v>
      </c>
      <c r="L692" s="9">
        <f t="shared" si="204"/>
        <v>0</v>
      </c>
      <c r="M692" s="9">
        <f t="shared" si="204"/>
        <v>0</v>
      </c>
      <c r="N692" s="9">
        <f t="shared" si="204"/>
        <v>1245211.2</v>
      </c>
      <c r="O692" s="9">
        <f t="shared" si="204"/>
        <v>0</v>
      </c>
      <c r="P692" s="9" t="s">
        <v>13</v>
      </c>
      <c r="Q692" s="9" t="s">
        <v>13</v>
      </c>
      <c r="R692" s="9" t="s">
        <v>13</v>
      </c>
      <c r="S692" s="15" t="s">
        <v>13</v>
      </c>
    </row>
    <row r="693" spans="1:19" ht="15.75" customHeight="1" x14ac:dyDescent="0.25">
      <c r="A693" s="17">
        <v>1</v>
      </c>
      <c r="B693" s="236">
        <v>5055</v>
      </c>
      <c r="C693" s="29" t="s">
        <v>287</v>
      </c>
      <c r="D693" s="13">
        <v>1987</v>
      </c>
      <c r="E693" s="13" t="s">
        <v>68</v>
      </c>
      <c r="F693" s="13" t="s">
        <v>81</v>
      </c>
      <c r="G693" s="9">
        <v>7975.58</v>
      </c>
      <c r="H693" s="9">
        <v>7239.6</v>
      </c>
      <c r="I693" s="11">
        <v>117</v>
      </c>
      <c r="J693" s="9">
        <f>'Форма 2'!I2500</f>
        <v>1245211.2</v>
      </c>
      <c r="K693" s="9">
        <v>0</v>
      </c>
      <c r="L693" s="9">
        <v>0</v>
      </c>
      <c r="M693" s="9">
        <v>0</v>
      </c>
      <c r="N693" s="9">
        <f>J693-K693-L693-M693-O693</f>
        <v>1245211.2</v>
      </c>
      <c r="O693" s="9">
        <v>0</v>
      </c>
      <c r="P693" s="9">
        <f>J693/H693</f>
        <v>172</v>
      </c>
      <c r="Q693" s="9">
        <f>'Форма 2'!K2500</f>
        <v>172</v>
      </c>
      <c r="R693" s="43">
        <v>2022</v>
      </c>
      <c r="S693" s="168">
        <v>1</v>
      </c>
    </row>
    <row r="694" spans="1:19" ht="15.75" customHeight="1" x14ac:dyDescent="0.25">
      <c r="A694" s="279" t="s">
        <v>47</v>
      </c>
      <c r="B694" s="279"/>
      <c r="C694" s="279"/>
      <c r="D694" s="10" t="s">
        <v>13</v>
      </c>
      <c r="E694" s="9" t="s">
        <v>13</v>
      </c>
      <c r="F694" s="9" t="s">
        <v>13</v>
      </c>
      <c r="G694" s="9">
        <f t="shared" ref="G694:O694" si="205">SUM(G695:G728)</f>
        <v>230055.67</v>
      </c>
      <c r="H694" s="9">
        <f t="shared" si="205"/>
        <v>193976.02</v>
      </c>
      <c r="I694" s="11">
        <f t="shared" si="205"/>
        <v>7310</v>
      </c>
      <c r="J694" s="9">
        <f t="shared" si="205"/>
        <v>275871638.66000003</v>
      </c>
      <c r="K694" s="9">
        <f t="shared" si="205"/>
        <v>0</v>
      </c>
      <c r="L694" s="9">
        <f t="shared" si="205"/>
        <v>0</v>
      </c>
      <c r="M694" s="9">
        <f t="shared" si="205"/>
        <v>0</v>
      </c>
      <c r="N694" s="9">
        <f t="shared" si="205"/>
        <v>275871638.66000003</v>
      </c>
      <c r="O694" s="9">
        <f t="shared" si="205"/>
        <v>0</v>
      </c>
      <c r="P694" s="9" t="s">
        <v>13</v>
      </c>
      <c r="Q694" s="9" t="s">
        <v>13</v>
      </c>
      <c r="R694" s="9" t="s">
        <v>13</v>
      </c>
      <c r="S694" s="15" t="s">
        <v>13</v>
      </c>
    </row>
    <row r="695" spans="1:19" s="71" customFormat="1" ht="15.75" customHeight="1" x14ac:dyDescent="0.25">
      <c r="A695" s="236">
        <v>1</v>
      </c>
      <c r="B695" s="236">
        <v>5956</v>
      </c>
      <c r="C695" s="252" t="s">
        <v>390</v>
      </c>
      <c r="D695" s="251">
        <v>1953</v>
      </c>
      <c r="E695" s="251" t="s">
        <v>93</v>
      </c>
      <c r="F695" s="251" t="s">
        <v>114</v>
      </c>
      <c r="G695" s="22">
        <v>1328.5</v>
      </c>
      <c r="H695" s="22">
        <v>1225.2</v>
      </c>
      <c r="I695" s="15">
        <v>46</v>
      </c>
      <c r="J695" s="22">
        <f>'Форма 2'!I2503</f>
        <v>3401400.24</v>
      </c>
      <c r="K695" s="22">
        <v>0</v>
      </c>
      <c r="L695" s="22">
        <v>0</v>
      </c>
      <c r="M695" s="22">
        <v>0</v>
      </c>
      <c r="N695" s="22">
        <f>J695-K695-L695-M695-O695</f>
        <v>3401400.24</v>
      </c>
      <c r="O695" s="22">
        <v>0</v>
      </c>
      <c r="P695" s="22">
        <f t="shared" ref="P695:P728" si="206">J695/H695</f>
        <v>2776.2</v>
      </c>
      <c r="Q695" s="22">
        <f>'Форма 2'!K2503</f>
        <v>4051</v>
      </c>
      <c r="R695" s="31">
        <v>2022</v>
      </c>
      <c r="S695" s="168">
        <v>1</v>
      </c>
    </row>
    <row r="696" spans="1:19" s="71" customFormat="1" ht="15.75" customHeight="1" x14ac:dyDescent="0.25">
      <c r="A696" s="236">
        <f>A695+1</f>
        <v>2</v>
      </c>
      <c r="B696" s="236">
        <v>5990</v>
      </c>
      <c r="C696" s="252" t="s">
        <v>391</v>
      </c>
      <c r="D696" s="251">
        <v>1960</v>
      </c>
      <c r="E696" s="251" t="s">
        <v>68</v>
      </c>
      <c r="F696" s="251" t="s">
        <v>114</v>
      </c>
      <c r="G696" s="22">
        <v>3890.8</v>
      </c>
      <c r="H696" s="22">
        <v>3134</v>
      </c>
      <c r="I696" s="15">
        <v>117</v>
      </c>
      <c r="J696" s="22">
        <f>'Форма 2'!I2510</f>
        <v>8329858.5999999996</v>
      </c>
      <c r="K696" s="22">
        <v>0</v>
      </c>
      <c r="L696" s="22">
        <v>0</v>
      </c>
      <c r="M696" s="22">
        <v>0</v>
      </c>
      <c r="N696" s="22">
        <f>J696-K696-L696-M696-O696</f>
        <v>8329858.5999999996</v>
      </c>
      <c r="O696" s="22">
        <v>0</v>
      </c>
      <c r="P696" s="22">
        <f t="shared" si="206"/>
        <v>2657.9</v>
      </c>
      <c r="Q696" s="22">
        <f>'Форма 2'!K2510</f>
        <v>3878</v>
      </c>
      <c r="R696" s="31">
        <v>2022</v>
      </c>
      <c r="S696" s="168">
        <v>1</v>
      </c>
    </row>
    <row r="697" spans="1:19" s="71" customFormat="1" ht="15.75" customHeight="1" x14ac:dyDescent="0.25">
      <c r="A697" s="236">
        <f t="shared" ref="A697" si="207">A696+1</f>
        <v>3</v>
      </c>
      <c r="B697" s="236">
        <v>5997</v>
      </c>
      <c r="C697" s="252" t="s">
        <v>674</v>
      </c>
      <c r="D697" s="251">
        <v>1962</v>
      </c>
      <c r="E697" s="251" t="s">
        <v>68</v>
      </c>
      <c r="F697" s="251" t="s">
        <v>82</v>
      </c>
      <c r="G697" s="22">
        <v>4486.8</v>
      </c>
      <c r="H697" s="22">
        <v>3458.9</v>
      </c>
      <c r="I697" s="15">
        <v>131</v>
      </c>
      <c r="J697" s="22">
        <f>'Форма 2'!I2513</f>
        <v>13133443.300000001</v>
      </c>
      <c r="K697" s="22">
        <v>0</v>
      </c>
      <c r="L697" s="22">
        <v>0</v>
      </c>
      <c r="M697" s="22">
        <v>0</v>
      </c>
      <c r="N697" s="22">
        <f>J697-K697-L697-M697-O697</f>
        <v>13133443.300000001</v>
      </c>
      <c r="O697" s="22">
        <v>0</v>
      </c>
      <c r="P697" s="22">
        <f>J697/H697</f>
        <v>3797</v>
      </c>
      <c r="Q697" s="22">
        <f>'Форма 2'!K2513</f>
        <v>3878</v>
      </c>
      <c r="R697" s="31">
        <v>2022</v>
      </c>
      <c r="S697" s="168">
        <v>1</v>
      </c>
    </row>
    <row r="698" spans="1:19" s="1" customFormat="1" ht="15.75" customHeight="1" x14ac:dyDescent="0.25">
      <c r="A698" s="236">
        <f t="shared" ref="A698:A699" si="208">A697+1</f>
        <v>4</v>
      </c>
      <c r="B698" s="236">
        <v>6007</v>
      </c>
      <c r="C698" s="252" t="s">
        <v>392</v>
      </c>
      <c r="D698" s="251">
        <v>1961</v>
      </c>
      <c r="E698" s="251" t="s">
        <v>68</v>
      </c>
      <c r="F698" s="251" t="s">
        <v>82</v>
      </c>
      <c r="G698" s="22">
        <v>4050.5</v>
      </c>
      <c r="H698" s="22">
        <v>3159.5</v>
      </c>
      <c r="I698" s="15">
        <v>121</v>
      </c>
      <c r="J698" s="22">
        <f>'Форма 2'!I2516</f>
        <v>11996621.5</v>
      </c>
      <c r="K698" s="22">
        <v>0</v>
      </c>
      <c r="L698" s="22">
        <v>0</v>
      </c>
      <c r="M698" s="22">
        <v>0</v>
      </c>
      <c r="N698" s="22">
        <f t="shared" ref="N698:N728" si="209">J698-K698-L698-M698-O698</f>
        <v>11996621.5</v>
      </c>
      <c r="O698" s="22">
        <v>0</v>
      </c>
      <c r="P698" s="22">
        <f t="shared" si="206"/>
        <v>3797</v>
      </c>
      <c r="Q698" s="22">
        <f>'Форма 2'!K2516</f>
        <v>3878</v>
      </c>
      <c r="R698" s="31">
        <v>2022</v>
      </c>
      <c r="S698" s="168">
        <v>1</v>
      </c>
    </row>
    <row r="699" spans="1:19" s="71" customFormat="1" ht="15.75" customHeight="1" x14ac:dyDescent="0.25">
      <c r="A699" s="236">
        <f t="shared" si="208"/>
        <v>5</v>
      </c>
      <c r="B699" s="242">
        <v>6024</v>
      </c>
      <c r="C699" s="232" t="s">
        <v>393</v>
      </c>
      <c r="D699" s="251">
        <v>1966</v>
      </c>
      <c r="E699" s="256" t="s">
        <v>68</v>
      </c>
      <c r="F699" s="251" t="s">
        <v>82</v>
      </c>
      <c r="G699" s="22">
        <v>2982.4</v>
      </c>
      <c r="H699" s="22">
        <v>2445.6</v>
      </c>
      <c r="I699" s="15">
        <v>98</v>
      </c>
      <c r="J699" s="22">
        <f>'Форма 2'!I2519</f>
        <v>5967264</v>
      </c>
      <c r="K699" s="22">
        <v>0</v>
      </c>
      <c r="L699" s="22">
        <v>0</v>
      </c>
      <c r="M699" s="22">
        <v>0</v>
      </c>
      <c r="N699" s="22">
        <f t="shared" si="209"/>
        <v>5967264</v>
      </c>
      <c r="O699" s="22">
        <v>0</v>
      </c>
      <c r="P699" s="14">
        <f t="shared" si="206"/>
        <v>2440</v>
      </c>
      <c r="Q699" s="22">
        <f>'Форма 2'!K2519</f>
        <v>2492</v>
      </c>
      <c r="R699" s="31">
        <v>2022</v>
      </c>
      <c r="S699" s="168">
        <v>1</v>
      </c>
    </row>
    <row r="700" spans="1:19" s="71" customFormat="1" ht="15.75" customHeight="1" x14ac:dyDescent="0.25">
      <c r="A700" s="236">
        <f t="shared" ref="A700:A727" si="210">A699+1</f>
        <v>6</v>
      </c>
      <c r="B700" s="236">
        <v>6031</v>
      </c>
      <c r="C700" s="252" t="s">
        <v>416</v>
      </c>
      <c r="D700" s="251" t="s">
        <v>243</v>
      </c>
      <c r="E700" s="256" t="s">
        <v>68</v>
      </c>
      <c r="F700" s="251" t="s">
        <v>82</v>
      </c>
      <c r="G700" s="22">
        <v>7107.46</v>
      </c>
      <c r="H700" s="22">
        <v>5197.3900000000003</v>
      </c>
      <c r="I700" s="15">
        <v>196</v>
      </c>
      <c r="J700" s="22">
        <f>'Форма 2'!I2522</f>
        <v>19734489.829999998</v>
      </c>
      <c r="K700" s="22">
        <v>0</v>
      </c>
      <c r="L700" s="22">
        <v>0</v>
      </c>
      <c r="M700" s="22">
        <v>0</v>
      </c>
      <c r="N700" s="22">
        <f t="shared" si="209"/>
        <v>19734489.829999998</v>
      </c>
      <c r="O700" s="22">
        <v>0</v>
      </c>
      <c r="P700" s="22">
        <f t="shared" si="206"/>
        <v>3797</v>
      </c>
      <c r="Q700" s="22">
        <f>'Форма 2'!K2522</f>
        <v>3878</v>
      </c>
      <c r="R700" s="31">
        <v>2022</v>
      </c>
      <c r="S700" s="168">
        <v>1</v>
      </c>
    </row>
    <row r="701" spans="1:19" s="71" customFormat="1" ht="15.75" customHeight="1" x14ac:dyDescent="0.25">
      <c r="A701" s="236">
        <f t="shared" si="210"/>
        <v>7</v>
      </c>
      <c r="B701" s="167">
        <v>6033</v>
      </c>
      <c r="C701" s="252" t="s">
        <v>678</v>
      </c>
      <c r="D701" s="251">
        <v>1971</v>
      </c>
      <c r="E701" s="256" t="s">
        <v>86</v>
      </c>
      <c r="F701" s="251" t="s">
        <v>81</v>
      </c>
      <c r="G701" s="22">
        <v>14549.38</v>
      </c>
      <c r="H701" s="22">
        <v>10846.3</v>
      </c>
      <c r="I701" s="15">
        <v>402</v>
      </c>
      <c r="J701" s="22">
        <f>'Форма 2'!I2525</f>
        <v>64562</v>
      </c>
      <c r="K701" s="22">
        <v>0</v>
      </c>
      <c r="L701" s="22">
        <v>0</v>
      </c>
      <c r="M701" s="22">
        <v>0</v>
      </c>
      <c r="N701" s="22">
        <f t="shared" si="209"/>
        <v>64562</v>
      </c>
      <c r="O701" s="22">
        <v>0</v>
      </c>
      <c r="P701" s="22">
        <f t="shared" si="206"/>
        <v>5.95</v>
      </c>
      <c r="Q701" s="22">
        <f>'Форма 2'!K2525</f>
        <v>5.95</v>
      </c>
      <c r="R701" s="31">
        <v>2022</v>
      </c>
      <c r="S701" s="168">
        <v>1</v>
      </c>
    </row>
    <row r="702" spans="1:19" s="71" customFormat="1" ht="31.5" customHeight="1" x14ac:dyDescent="0.25">
      <c r="A702" s="236">
        <f t="shared" si="210"/>
        <v>8</v>
      </c>
      <c r="B702" s="236">
        <v>6045</v>
      </c>
      <c r="C702" s="252" t="s">
        <v>560</v>
      </c>
      <c r="D702" s="251" t="s">
        <v>564</v>
      </c>
      <c r="E702" s="256" t="s">
        <v>86</v>
      </c>
      <c r="F702" s="251" t="s">
        <v>82</v>
      </c>
      <c r="G702" s="22">
        <v>39009.9</v>
      </c>
      <c r="H702" s="22">
        <v>34688.300000000003</v>
      </c>
      <c r="I702" s="15">
        <v>1375</v>
      </c>
      <c r="J702" s="22">
        <f>'Форма 2'!I2528</f>
        <v>2241647</v>
      </c>
      <c r="K702" s="22">
        <v>0</v>
      </c>
      <c r="L702" s="22">
        <v>0</v>
      </c>
      <c r="M702" s="22">
        <v>0</v>
      </c>
      <c r="N702" s="22">
        <f>J702-K702-L702-M702-O702</f>
        <v>2241647</v>
      </c>
      <c r="O702" s="22">
        <v>0</v>
      </c>
      <c r="P702" s="22">
        <f>J702/H702</f>
        <v>64.62</v>
      </c>
      <c r="Q702" s="22">
        <f>'Форма 2'!K2528</f>
        <v>66</v>
      </c>
      <c r="R702" s="31">
        <v>2022</v>
      </c>
      <c r="S702" s="168">
        <v>1</v>
      </c>
    </row>
    <row r="703" spans="1:19" s="71" customFormat="1" ht="47.25" customHeight="1" x14ac:dyDescent="0.25">
      <c r="A703" s="236">
        <f t="shared" si="210"/>
        <v>9</v>
      </c>
      <c r="B703" s="253">
        <v>6061</v>
      </c>
      <c r="C703" s="252" t="s">
        <v>462</v>
      </c>
      <c r="D703" s="251" t="s">
        <v>474</v>
      </c>
      <c r="E703" s="256" t="s">
        <v>86</v>
      </c>
      <c r="F703" s="251" t="s">
        <v>475</v>
      </c>
      <c r="G703" s="22">
        <v>46580.1</v>
      </c>
      <c r="H703" s="22">
        <v>43711.7</v>
      </c>
      <c r="I703" s="15">
        <v>1568</v>
      </c>
      <c r="J703" s="22">
        <f>'Форма 2'!I2531</f>
        <v>11466483</v>
      </c>
      <c r="K703" s="22">
        <v>0</v>
      </c>
      <c r="L703" s="22">
        <v>0</v>
      </c>
      <c r="M703" s="22">
        <v>0</v>
      </c>
      <c r="N703" s="22">
        <f>J703-K703-L703-M703-O703</f>
        <v>11466483</v>
      </c>
      <c r="O703" s="22">
        <v>0</v>
      </c>
      <c r="P703" s="22">
        <f>J703/H703</f>
        <v>262.32</v>
      </c>
      <c r="Q703" s="22">
        <f>'Форма 2'!K2531</f>
        <v>267.82</v>
      </c>
      <c r="R703" s="31">
        <v>2022</v>
      </c>
      <c r="S703" s="168">
        <v>1</v>
      </c>
    </row>
    <row r="704" spans="1:19" s="71" customFormat="1" ht="15.75" customHeight="1" x14ac:dyDescent="0.25">
      <c r="A704" s="236">
        <f>A703+1</f>
        <v>10</v>
      </c>
      <c r="B704" s="236">
        <v>5835</v>
      </c>
      <c r="C704" s="252" t="s">
        <v>394</v>
      </c>
      <c r="D704" s="251">
        <v>1960</v>
      </c>
      <c r="E704" s="251" t="s">
        <v>68</v>
      </c>
      <c r="F704" s="251" t="s">
        <v>114</v>
      </c>
      <c r="G704" s="22">
        <v>4087.2</v>
      </c>
      <c r="H704" s="22">
        <v>3133.1</v>
      </c>
      <c r="I704" s="15">
        <v>118</v>
      </c>
      <c r="J704" s="22">
        <f>'Форма 2'!I2550</f>
        <v>8327466.4900000002</v>
      </c>
      <c r="K704" s="22">
        <v>0</v>
      </c>
      <c r="L704" s="22">
        <v>0</v>
      </c>
      <c r="M704" s="22">
        <v>0</v>
      </c>
      <c r="N704" s="22">
        <f t="shared" si="209"/>
        <v>8327466.4900000002</v>
      </c>
      <c r="O704" s="22">
        <v>0</v>
      </c>
      <c r="P704" s="22">
        <f t="shared" si="206"/>
        <v>2657.9</v>
      </c>
      <c r="Q704" s="22">
        <f>'Форма 2'!K2550</f>
        <v>3878</v>
      </c>
      <c r="R704" s="31">
        <v>2022</v>
      </c>
      <c r="S704" s="168">
        <v>1</v>
      </c>
    </row>
    <row r="705" spans="1:19" s="71" customFormat="1" ht="15.75" customHeight="1" x14ac:dyDescent="0.25">
      <c r="A705" s="236">
        <f t="shared" si="210"/>
        <v>11</v>
      </c>
      <c r="B705" s="236">
        <v>5836</v>
      </c>
      <c r="C705" s="252" t="s">
        <v>395</v>
      </c>
      <c r="D705" s="251">
        <v>1959</v>
      </c>
      <c r="E705" s="251" t="s">
        <v>68</v>
      </c>
      <c r="F705" s="251" t="s">
        <v>114</v>
      </c>
      <c r="G705" s="22">
        <v>1657.2</v>
      </c>
      <c r="H705" s="22">
        <v>1222.0999999999999</v>
      </c>
      <c r="I705" s="15">
        <v>46</v>
      </c>
      <c r="J705" s="22">
        <f>'Форма 2'!I2553</f>
        <v>4308146.92</v>
      </c>
      <c r="K705" s="22">
        <v>0</v>
      </c>
      <c r="L705" s="22">
        <v>0</v>
      </c>
      <c r="M705" s="22">
        <v>0</v>
      </c>
      <c r="N705" s="22">
        <f t="shared" si="209"/>
        <v>4308146.92</v>
      </c>
      <c r="O705" s="22">
        <v>0</v>
      </c>
      <c r="P705" s="22">
        <f t="shared" si="206"/>
        <v>3525.2</v>
      </c>
      <c r="Q705" s="22">
        <f>'Форма 2'!K2553</f>
        <v>5144</v>
      </c>
      <c r="R705" s="31">
        <v>2022</v>
      </c>
      <c r="S705" s="168">
        <v>1</v>
      </c>
    </row>
    <row r="706" spans="1:19" s="71" customFormat="1" ht="15.75" customHeight="1" x14ac:dyDescent="0.25">
      <c r="A706" s="236">
        <f t="shared" si="210"/>
        <v>12</v>
      </c>
      <c r="B706" s="236">
        <v>5847</v>
      </c>
      <c r="C706" s="252" t="s">
        <v>396</v>
      </c>
      <c r="D706" s="251">
        <v>1969</v>
      </c>
      <c r="E706" s="256" t="s">
        <v>68</v>
      </c>
      <c r="F706" s="251" t="s">
        <v>114</v>
      </c>
      <c r="G706" s="22">
        <v>4420.6000000000004</v>
      </c>
      <c r="H706" s="22">
        <v>3433.2</v>
      </c>
      <c r="I706" s="15">
        <v>130</v>
      </c>
      <c r="J706" s="22">
        <f>'Форма 2'!I2556</f>
        <v>9125102.2799999993</v>
      </c>
      <c r="K706" s="22">
        <v>0</v>
      </c>
      <c r="L706" s="22">
        <v>0</v>
      </c>
      <c r="M706" s="22">
        <v>0</v>
      </c>
      <c r="N706" s="22">
        <f t="shared" si="209"/>
        <v>9125102.2799999993</v>
      </c>
      <c r="O706" s="22">
        <v>0</v>
      </c>
      <c r="P706" s="22">
        <f t="shared" si="206"/>
        <v>2657.9</v>
      </c>
      <c r="Q706" s="22">
        <f>'Форма 2'!K2556</f>
        <v>3878</v>
      </c>
      <c r="R706" s="31">
        <v>2022</v>
      </c>
      <c r="S706" s="168">
        <v>1</v>
      </c>
    </row>
    <row r="707" spans="1:19" s="71" customFormat="1" ht="15.75" customHeight="1" x14ac:dyDescent="0.25">
      <c r="A707" s="236">
        <f t="shared" si="210"/>
        <v>13</v>
      </c>
      <c r="B707" s="236">
        <v>5851</v>
      </c>
      <c r="C707" s="252" t="s">
        <v>675</v>
      </c>
      <c r="D707" s="236">
        <v>1951</v>
      </c>
      <c r="E707" s="256" t="s">
        <v>68</v>
      </c>
      <c r="F707" s="251" t="s">
        <v>82</v>
      </c>
      <c r="G707" s="22">
        <v>969</v>
      </c>
      <c r="H707" s="22">
        <v>878.68</v>
      </c>
      <c r="I707" s="15">
        <v>33</v>
      </c>
      <c r="J707" s="22">
        <f>'Форма 2'!I2559</f>
        <v>6613824.3600000003</v>
      </c>
      <c r="K707" s="22">
        <v>0</v>
      </c>
      <c r="L707" s="22">
        <v>0</v>
      </c>
      <c r="M707" s="22">
        <v>0</v>
      </c>
      <c r="N707" s="22">
        <f t="shared" si="209"/>
        <v>6613824.3600000003</v>
      </c>
      <c r="O707" s="22">
        <v>0</v>
      </c>
      <c r="P707" s="22">
        <f t="shared" si="206"/>
        <v>7527</v>
      </c>
      <c r="Q707" s="22">
        <f>'Форма 2'!K2559</f>
        <v>7688</v>
      </c>
      <c r="R707" s="31">
        <v>2022</v>
      </c>
      <c r="S707" s="168">
        <v>1</v>
      </c>
    </row>
    <row r="708" spans="1:19" s="71" customFormat="1" ht="15.75" customHeight="1" x14ac:dyDescent="0.25">
      <c r="A708" s="236">
        <f t="shared" si="210"/>
        <v>14</v>
      </c>
      <c r="B708" s="236">
        <v>5925</v>
      </c>
      <c r="C708" s="252" t="s">
        <v>398</v>
      </c>
      <c r="D708" s="251">
        <v>1969</v>
      </c>
      <c r="E708" s="256" t="s">
        <v>68</v>
      </c>
      <c r="F708" s="251" t="s">
        <v>114</v>
      </c>
      <c r="G708" s="22">
        <v>4607.8999999999996</v>
      </c>
      <c r="H708" s="22">
        <v>3413.9</v>
      </c>
      <c r="I708" s="15">
        <v>129</v>
      </c>
      <c r="J708" s="22">
        <f>'Форма 2'!I2562</f>
        <v>9073804.8100000005</v>
      </c>
      <c r="K708" s="22">
        <v>0</v>
      </c>
      <c r="L708" s="22">
        <v>0</v>
      </c>
      <c r="M708" s="22">
        <v>0</v>
      </c>
      <c r="N708" s="22">
        <f t="shared" si="209"/>
        <v>9073804.8100000005</v>
      </c>
      <c r="O708" s="22">
        <v>0</v>
      </c>
      <c r="P708" s="22">
        <f t="shared" si="206"/>
        <v>2657.9</v>
      </c>
      <c r="Q708" s="22">
        <f>'Форма 2'!K2562</f>
        <v>3878</v>
      </c>
      <c r="R708" s="31">
        <v>2022</v>
      </c>
      <c r="S708" s="168">
        <v>1</v>
      </c>
    </row>
    <row r="709" spans="1:19" s="71" customFormat="1" ht="15.75" customHeight="1" x14ac:dyDescent="0.25">
      <c r="A709" s="236">
        <f t="shared" si="210"/>
        <v>15</v>
      </c>
      <c r="B709" s="236">
        <v>5928</v>
      </c>
      <c r="C709" s="252" t="s">
        <v>399</v>
      </c>
      <c r="D709" s="251">
        <v>1968</v>
      </c>
      <c r="E709" s="256" t="s">
        <v>68</v>
      </c>
      <c r="F709" s="251" t="s">
        <v>114</v>
      </c>
      <c r="G709" s="22">
        <v>6751.7</v>
      </c>
      <c r="H709" s="22">
        <v>5262.7</v>
      </c>
      <c r="I709" s="15">
        <v>199</v>
      </c>
      <c r="J709" s="22">
        <f>'Форма 2'!I2565</f>
        <v>13987730.33</v>
      </c>
      <c r="K709" s="22">
        <v>0</v>
      </c>
      <c r="L709" s="22">
        <v>0</v>
      </c>
      <c r="M709" s="22">
        <v>0</v>
      </c>
      <c r="N709" s="22">
        <f t="shared" si="209"/>
        <v>13987730.33</v>
      </c>
      <c r="O709" s="22">
        <v>0</v>
      </c>
      <c r="P709" s="22">
        <f t="shared" si="206"/>
        <v>2657.9</v>
      </c>
      <c r="Q709" s="22">
        <f>'Форма 2'!K2565</f>
        <v>3878</v>
      </c>
      <c r="R709" s="31">
        <v>2022</v>
      </c>
      <c r="S709" s="168">
        <v>1</v>
      </c>
    </row>
    <row r="710" spans="1:19" s="71" customFormat="1" ht="15.75" customHeight="1" x14ac:dyDescent="0.25">
      <c r="A710" s="236">
        <f t="shared" si="210"/>
        <v>16</v>
      </c>
      <c r="B710" s="236">
        <v>6080</v>
      </c>
      <c r="C710" s="252" t="s">
        <v>400</v>
      </c>
      <c r="D710" s="251">
        <v>1961</v>
      </c>
      <c r="E710" s="251" t="s">
        <v>68</v>
      </c>
      <c r="F710" s="251" t="s">
        <v>82</v>
      </c>
      <c r="G710" s="22">
        <v>3234.2</v>
      </c>
      <c r="H710" s="22">
        <v>2511.4</v>
      </c>
      <c r="I710" s="15">
        <v>95</v>
      </c>
      <c r="J710" s="22">
        <f>'Форма 2'!I2568</f>
        <v>9535785.8000000007</v>
      </c>
      <c r="K710" s="22">
        <v>0</v>
      </c>
      <c r="L710" s="22">
        <v>0</v>
      </c>
      <c r="M710" s="22">
        <v>0</v>
      </c>
      <c r="N710" s="22">
        <f t="shared" si="209"/>
        <v>9535785.8000000007</v>
      </c>
      <c r="O710" s="22">
        <v>0</v>
      </c>
      <c r="P710" s="22">
        <f t="shared" si="206"/>
        <v>3797</v>
      </c>
      <c r="Q710" s="22">
        <f>'Форма 2'!K2568</f>
        <v>3878</v>
      </c>
      <c r="R710" s="31">
        <v>2022</v>
      </c>
      <c r="S710" s="168">
        <v>1</v>
      </c>
    </row>
    <row r="711" spans="1:19" s="71" customFormat="1" ht="15.75" customHeight="1" x14ac:dyDescent="0.25">
      <c r="A711" s="236">
        <f t="shared" si="210"/>
        <v>17</v>
      </c>
      <c r="B711" s="167">
        <v>6090</v>
      </c>
      <c r="C711" s="252" t="s">
        <v>676</v>
      </c>
      <c r="D711" s="251">
        <v>1962</v>
      </c>
      <c r="E711" s="251" t="s">
        <v>68</v>
      </c>
      <c r="F711" s="251" t="s">
        <v>82</v>
      </c>
      <c r="G711" s="22">
        <v>4386.8999999999996</v>
      </c>
      <c r="H711" s="22">
        <v>3430.2</v>
      </c>
      <c r="I711" s="15">
        <v>129</v>
      </c>
      <c r="J711" s="22">
        <f>'Форма 2'!I2571</f>
        <v>13024469.4</v>
      </c>
      <c r="K711" s="22">
        <v>0</v>
      </c>
      <c r="L711" s="22">
        <v>0</v>
      </c>
      <c r="M711" s="22">
        <v>0</v>
      </c>
      <c r="N711" s="22">
        <f>J711-K711-L711-M711-O711</f>
        <v>13024469.4</v>
      </c>
      <c r="O711" s="22">
        <v>0</v>
      </c>
      <c r="P711" s="22">
        <f>J711/H711</f>
        <v>3797</v>
      </c>
      <c r="Q711" s="22">
        <f>'Форма 2'!K2571</f>
        <v>3878</v>
      </c>
      <c r="R711" s="31">
        <v>2022</v>
      </c>
      <c r="S711" s="168">
        <v>1</v>
      </c>
    </row>
    <row r="712" spans="1:19" s="71" customFormat="1" ht="15.75" customHeight="1" x14ac:dyDescent="0.25">
      <c r="A712" s="236">
        <f t="shared" si="210"/>
        <v>18</v>
      </c>
      <c r="B712" s="236">
        <v>6117</v>
      </c>
      <c r="C712" s="252" t="s">
        <v>417</v>
      </c>
      <c r="D712" s="251" t="s">
        <v>243</v>
      </c>
      <c r="E712" s="251" t="s">
        <v>68</v>
      </c>
      <c r="F712" s="251" t="s">
        <v>82</v>
      </c>
      <c r="G712" s="22">
        <v>5741</v>
      </c>
      <c r="H712" s="22">
        <v>4372.33</v>
      </c>
      <c r="I712" s="15">
        <v>165</v>
      </c>
      <c r="J712" s="22">
        <f>'Форма 2'!I2574</f>
        <v>16601737.01</v>
      </c>
      <c r="K712" s="22">
        <v>0</v>
      </c>
      <c r="L712" s="22">
        <v>0</v>
      </c>
      <c r="M712" s="22">
        <v>0</v>
      </c>
      <c r="N712" s="22">
        <f t="shared" si="209"/>
        <v>16601737.01</v>
      </c>
      <c r="O712" s="22">
        <v>0</v>
      </c>
      <c r="P712" s="22">
        <f t="shared" si="206"/>
        <v>3797</v>
      </c>
      <c r="Q712" s="22">
        <f>'Форма 2'!K2574</f>
        <v>3878</v>
      </c>
      <c r="R712" s="31">
        <v>2022</v>
      </c>
      <c r="S712" s="168">
        <v>1</v>
      </c>
    </row>
    <row r="713" spans="1:19" s="71" customFormat="1" ht="15.75" customHeight="1" x14ac:dyDescent="0.25">
      <c r="A713" s="236">
        <f t="shared" si="210"/>
        <v>19</v>
      </c>
      <c r="B713" s="236">
        <v>6124</v>
      </c>
      <c r="C713" s="252" t="s">
        <v>681</v>
      </c>
      <c r="D713" s="236">
        <v>1970</v>
      </c>
      <c r="E713" s="251" t="s">
        <v>86</v>
      </c>
      <c r="F713" s="251" t="s">
        <v>81</v>
      </c>
      <c r="G713" s="22">
        <v>2962.9</v>
      </c>
      <c r="H713" s="22">
        <v>2318.6</v>
      </c>
      <c r="I713" s="15">
        <v>88</v>
      </c>
      <c r="J713" s="22">
        <f>'Форма 2'!I2577</f>
        <v>32281</v>
      </c>
      <c r="K713" s="22">
        <v>0</v>
      </c>
      <c r="L713" s="22">
        <v>0</v>
      </c>
      <c r="M713" s="22">
        <v>0</v>
      </c>
      <c r="N713" s="22">
        <f t="shared" si="209"/>
        <v>32281</v>
      </c>
      <c r="O713" s="22">
        <v>0</v>
      </c>
      <c r="P713" s="22">
        <f t="shared" si="206"/>
        <v>13.92</v>
      </c>
      <c r="Q713" s="22">
        <f>'Форма 2'!K2577</f>
        <v>13.92</v>
      </c>
      <c r="R713" s="31">
        <v>2022</v>
      </c>
      <c r="S713" s="168">
        <v>1</v>
      </c>
    </row>
    <row r="714" spans="1:19" s="71" customFormat="1" ht="15.75" customHeight="1" x14ac:dyDescent="0.25">
      <c r="A714" s="236">
        <f t="shared" si="210"/>
        <v>20</v>
      </c>
      <c r="B714" s="236">
        <v>6125</v>
      </c>
      <c r="C714" s="252" t="s">
        <v>418</v>
      </c>
      <c r="D714" s="251">
        <v>1969</v>
      </c>
      <c r="E714" s="256" t="s">
        <v>68</v>
      </c>
      <c r="F714" s="251" t="s">
        <v>81</v>
      </c>
      <c r="G714" s="22">
        <v>2916.2</v>
      </c>
      <c r="H714" s="22">
        <v>2272.8000000000002</v>
      </c>
      <c r="I714" s="15">
        <v>86</v>
      </c>
      <c r="J714" s="22">
        <f>'Форма 2'!I2579</f>
        <v>372739.2</v>
      </c>
      <c r="K714" s="22">
        <v>0</v>
      </c>
      <c r="L714" s="22">
        <v>0</v>
      </c>
      <c r="M714" s="22">
        <v>0</v>
      </c>
      <c r="N714" s="22">
        <f t="shared" si="209"/>
        <v>372739.2</v>
      </c>
      <c r="O714" s="22">
        <v>0</v>
      </c>
      <c r="P714" s="22">
        <f t="shared" si="206"/>
        <v>164</v>
      </c>
      <c r="Q714" s="22">
        <f>'Форма 2'!K2579</f>
        <v>164</v>
      </c>
      <c r="R714" s="31">
        <v>2022</v>
      </c>
      <c r="S714" s="168">
        <v>1</v>
      </c>
    </row>
    <row r="715" spans="1:19" s="71" customFormat="1" ht="15.75" customHeight="1" x14ac:dyDescent="0.25">
      <c r="A715" s="236">
        <f t="shared" si="210"/>
        <v>21</v>
      </c>
      <c r="B715" s="236">
        <v>6145</v>
      </c>
      <c r="C715" s="252" t="s">
        <v>401</v>
      </c>
      <c r="D715" s="251">
        <v>1954</v>
      </c>
      <c r="E715" s="251" t="s">
        <v>93</v>
      </c>
      <c r="F715" s="251" t="s">
        <v>82</v>
      </c>
      <c r="G715" s="22">
        <v>1799.8</v>
      </c>
      <c r="H715" s="22">
        <v>1653.94</v>
      </c>
      <c r="I715" s="15">
        <v>68</v>
      </c>
      <c r="J715" s="22">
        <f>'Форма 2'!I2581</f>
        <v>6559526.04</v>
      </c>
      <c r="K715" s="22">
        <v>0</v>
      </c>
      <c r="L715" s="22">
        <v>0</v>
      </c>
      <c r="M715" s="22">
        <v>0</v>
      </c>
      <c r="N715" s="22">
        <f t="shared" si="209"/>
        <v>6559526.04</v>
      </c>
      <c r="O715" s="22">
        <v>0</v>
      </c>
      <c r="P715" s="22">
        <f t="shared" si="206"/>
        <v>3966</v>
      </c>
      <c r="Q715" s="22">
        <f>'Форма 2'!K2581</f>
        <v>4051</v>
      </c>
      <c r="R715" s="31">
        <v>2022</v>
      </c>
      <c r="S715" s="168">
        <v>1</v>
      </c>
    </row>
    <row r="716" spans="1:19" s="71" customFormat="1" ht="15.75" customHeight="1" x14ac:dyDescent="0.25">
      <c r="A716" s="236">
        <f t="shared" si="210"/>
        <v>22</v>
      </c>
      <c r="B716" s="236">
        <v>6162</v>
      </c>
      <c r="C716" s="252" t="s">
        <v>677</v>
      </c>
      <c r="D716" s="236">
        <v>1962</v>
      </c>
      <c r="E716" s="251" t="s">
        <v>68</v>
      </c>
      <c r="F716" s="251" t="s">
        <v>82</v>
      </c>
      <c r="G716" s="22">
        <v>3301.2</v>
      </c>
      <c r="H716" s="22">
        <v>2535.1</v>
      </c>
      <c r="I716" s="15">
        <v>96</v>
      </c>
      <c r="J716" s="22">
        <f>'Форма 2'!I2588</f>
        <v>9625774.6999999993</v>
      </c>
      <c r="K716" s="22">
        <v>0</v>
      </c>
      <c r="L716" s="22">
        <v>0</v>
      </c>
      <c r="M716" s="22">
        <v>0</v>
      </c>
      <c r="N716" s="22">
        <f>J716-K716-L716-M716-O716</f>
        <v>9625774.6999999993</v>
      </c>
      <c r="O716" s="22">
        <v>0</v>
      </c>
      <c r="P716" s="22">
        <f>J716/H716</f>
        <v>3797</v>
      </c>
      <c r="Q716" s="22">
        <f>'Форма 2'!K2588</f>
        <v>3878</v>
      </c>
      <c r="R716" s="31">
        <v>2022</v>
      </c>
      <c r="S716" s="168">
        <v>1</v>
      </c>
    </row>
    <row r="717" spans="1:19" s="71" customFormat="1" ht="15.75" customHeight="1" x14ac:dyDescent="0.25">
      <c r="A717" s="236">
        <f t="shared" si="210"/>
        <v>23</v>
      </c>
      <c r="B717" s="236">
        <v>6163</v>
      </c>
      <c r="C717" s="252" t="s">
        <v>402</v>
      </c>
      <c r="D717" s="251">
        <v>1961</v>
      </c>
      <c r="E717" s="251" t="s">
        <v>68</v>
      </c>
      <c r="F717" s="251" t="s">
        <v>82</v>
      </c>
      <c r="G717" s="22">
        <v>3173.8</v>
      </c>
      <c r="H717" s="22">
        <v>2467.5</v>
      </c>
      <c r="I717" s="15">
        <v>93</v>
      </c>
      <c r="J717" s="22">
        <f>'Форма 2'!I2591</f>
        <v>9369097.5</v>
      </c>
      <c r="K717" s="22">
        <v>0</v>
      </c>
      <c r="L717" s="22">
        <v>0</v>
      </c>
      <c r="M717" s="22">
        <v>0</v>
      </c>
      <c r="N717" s="22">
        <f t="shared" si="209"/>
        <v>9369097.5</v>
      </c>
      <c r="O717" s="22">
        <v>0</v>
      </c>
      <c r="P717" s="22">
        <f t="shared" si="206"/>
        <v>3797</v>
      </c>
      <c r="Q717" s="22">
        <f>'Форма 2'!K2591</f>
        <v>3878</v>
      </c>
      <c r="R717" s="31">
        <v>2022</v>
      </c>
      <c r="S717" s="168">
        <v>1</v>
      </c>
    </row>
    <row r="718" spans="1:19" s="71" customFormat="1" ht="15.75" customHeight="1" x14ac:dyDescent="0.25">
      <c r="A718" s="236">
        <f t="shared" si="210"/>
        <v>24</v>
      </c>
      <c r="B718" s="236">
        <v>6304</v>
      </c>
      <c r="C718" s="252" t="s">
        <v>403</v>
      </c>
      <c r="D718" s="251">
        <v>1969</v>
      </c>
      <c r="E718" s="256" t="s">
        <v>68</v>
      </c>
      <c r="F718" s="251" t="s">
        <v>82</v>
      </c>
      <c r="G718" s="22">
        <v>4221.4799999999996</v>
      </c>
      <c r="H718" s="22">
        <v>3493.48</v>
      </c>
      <c r="I718" s="15">
        <v>132</v>
      </c>
      <c r="J718" s="22">
        <f>'Форма 2'!I2594</f>
        <v>13264743.560000001</v>
      </c>
      <c r="K718" s="22">
        <v>0</v>
      </c>
      <c r="L718" s="22">
        <v>0</v>
      </c>
      <c r="M718" s="22">
        <v>0</v>
      </c>
      <c r="N718" s="22">
        <f t="shared" si="209"/>
        <v>13264743.560000001</v>
      </c>
      <c r="O718" s="22">
        <v>0</v>
      </c>
      <c r="P718" s="22">
        <f t="shared" si="206"/>
        <v>3797</v>
      </c>
      <c r="Q718" s="22">
        <f>'Форма 2'!K2594</f>
        <v>3878</v>
      </c>
      <c r="R718" s="31">
        <v>2022</v>
      </c>
      <c r="S718" s="168">
        <v>1</v>
      </c>
    </row>
    <row r="719" spans="1:19" s="71" customFormat="1" ht="15.75" customHeight="1" x14ac:dyDescent="0.25">
      <c r="A719" s="236">
        <f t="shared" si="210"/>
        <v>25</v>
      </c>
      <c r="B719" s="236">
        <v>6320</v>
      </c>
      <c r="C719" s="252" t="s">
        <v>563</v>
      </c>
      <c r="D719" s="236">
        <v>1995</v>
      </c>
      <c r="E719" s="251" t="s">
        <v>86</v>
      </c>
      <c r="F719" s="251" t="s">
        <v>82</v>
      </c>
      <c r="G719" s="22">
        <v>7526</v>
      </c>
      <c r="H719" s="22">
        <v>6684.9</v>
      </c>
      <c r="I719" s="15">
        <v>253</v>
      </c>
      <c r="J719" s="22">
        <f>'Форма 2'!I2597</f>
        <v>6724941</v>
      </c>
      <c r="K719" s="22">
        <v>0</v>
      </c>
      <c r="L719" s="22">
        <v>0</v>
      </c>
      <c r="M719" s="22">
        <v>0</v>
      </c>
      <c r="N719" s="22">
        <f>J719-K719-L719-M719-O719</f>
        <v>6724941</v>
      </c>
      <c r="O719" s="22">
        <v>0</v>
      </c>
      <c r="P719" s="22">
        <f>J719/H719</f>
        <v>1005.99</v>
      </c>
      <c r="Q719" s="22">
        <f>'Форма 2'!K2597</f>
        <v>1027.53</v>
      </c>
      <c r="R719" s="31">
        <v>2022</v>
      </c>
      <c r="S719" s="168">
        <v>1</v>
      </c>
    </row>
    <row r="720" spans="1:19" s="71" customFormat="1" ht="15.75" customHeight="1" x14ac:dyDescent="0.25">
      <c r="A720" s="236">
        <f t="shared" si="210"/>
        <v>26</v>
      </c>
      <c r="B720" s="236">
        <v>6330</v>
      </c>
      <c r="C720" s="252" t="s">
        <v>557</v>
      </c>
      <c r="D720" s="236">
        <v>1996</v>
      </c>
      <c r="E720" s="251" t="s">
        <v>86</v>
      </c>
      <c r="F720" s="251" t="s">
        <v>82</v>
      </c>
      <c r="G720" s="22">
        <v>11732.1</v>
      </c>
      <c r="H720" s="22">
        <v>10514.2</v>
      </c>
      <c r="I720" s="15">
        <v>397</v>
      </c>
      <c r="J720" s="22">
        <f>'Форма 2'!I2604</f>
        <v>6724941</v>
      </c>
      <c r="K720" s="22">
        <v>0</v>
      </c>
      <c r="L720" s="22">
        <v>0</v>
      </c>
      <c r="M720" s="22">
        <v>0</v>
      </c>
      <c r="N720" s="22">
        <f>J720-K720-L720-M720-O720</f>
        <v>6724941</v>
      </c>
      <c r="O720" s="22">
        <v>0</v>
      </c>
      <c r="P720" s="22">
        <f>J720/H720</f>
        <v>639.61</v>
      </c>
      <c r="Q720" s="22">
        <f>'Форма 2'!K2604</f>
        <v>653.29</v>
      </c>
      <c r="R720" s="31">
        <v>2022</v>
      </c>
      <c r="S720" s="168">
        <v>1</v>
      </c>
    </row>
    <row r="721" spans="1:19" s="71" customFormat="1" ht="15.75" customHeight="1" x14ac:dyDescent="0.25">
      <c r="A721" s="236">
        <f t="shared" si="210"/>
        <v>27</v>
      </c>
      <c r="B721" s="167">
        <v>6334</v>
      </c>
      <c r="C721" s="252" t="s">
        <v>682</v>
      </c>
      <c r="D721" s="251">
        <v>1998</v>
      </c>
      <c r="E721" s="256" t="s">
        <v>86</v>
      </c>
      <c r="F721" s="251" t="s">
        <v>81</v>
      </c>
      <c r="G721" s="22">
        <v>9029.7999999999993</v>
      </c>
      <c r="H721" s="22">
        <v>8062.8</v>
      </c>
      <c r="I721" s="15">
        <v>305</v>
      </c>
      <c r="J721" s="22">
        <f>'Форма 2'!I2611</f>
        <v>64562</v>
      </c>
      <c r="K721" s="22">
        <v>0</v>
      </c>
      <c r="L721" s="22">
        <v>0</v>
      </c>
      <c r="M721" s="22">
        <v>0</v>
      </c>
      <c r="N721" s="22">
        <f>J721-K721-L721-M721-O721</f>
        <v>64562</v>
      </c>
      <c r="O721" s="22">
        <v>0</v>
      </c>
      <c r="P721" s="22">
        <f>J721/H721</f>
        <v>8.01</v>
      </c>
      <c r="Q721" s="22">
        <f>'Форма 2'!K2611</f>
        <v>8.01</v>
      </c>
      <c r="R721" s="31">
        <v>2022</v>
      </c>
      <c r="S721" s="168">
        <v>1</v>
      </c>
    </row>
    <row r="722" spans="1:19" s="71" customFormat="1" ht="15.75" customHeight="1" x14ac:dyDescent="0.25">
      <c r="A722" s="236">
        <f t="shared" si="210"/>
        <v>28</v>
      </c>
      <c r="B722" s="236">
        <v>6399</v>
      </c>
      <c r="C722" s="252" t="s">
        <v>409</v>
      </c>
      <c r="D722" s="251">
        <v>1959</v>
      </c>
      <c r="E722" s="251" t="s">
        <v>68</v>
      </c>
      <c r="F722" s="251" t="s">
        <v>114</v>
      </c>
      <c r="G722" s="22">
        <v>4252.8999999999996</v>
      </c>
      <c r="H722" s="22">
        <v>3130.7</v>
      </c>
      <c r="I722" s="15">
        <v>118</v>
      </c>
      <c r="J722" s="22">
        <f>'Форма 2'!I2614</f>
        <v>8321087.5300000003</v>
      </c>
      <c r="K722" s="22">
        <v>0</v>
      </c>
      <c r="L722" s="22">
        <v>0</v>
      </c>
      <c r="M722" s="22">
        <v>0</v>
      </c>
      <c r="N722" s="22">
        <f t="shared" si="209"/>
        <v>8321087.5300000003</v>
      </c>
      <c r="O722" s="22">
        <v>0</v>
      </c>
      <c r="P722" s="22">
        <f t="shared" si="206"/>
        <v>2657.9</v>
      </c>
      <c r="Q722" s="22">
        <f>'Форма 2'!K2614</f>
        <v>3878</v>
      </c>
      <c r="R722" s="31">
        <v>2022</v>
      </c>
      <c r="S722" s="168">
        <v>1</v>
      </c>
    </row>
    <row r="723" spans="1:19" s="71" customFormat="1" ht="15.75" customHeight="1" x14ac:dyDescent="0.25">
      <c r="A723" s="236">
        <f t="shared" si="210"/>
        <v>29</v>
      </c>
      <c r="B723" s="236">
        <v>6400</v>
      </c>
      <c r="C723" s="252" t="s">
        <v>410</v>
      </c>
      <c r="D723" s="251">
        <v>1960</v>
      </c>
      <c r="E723" s="251" t="s">
        <v>93</v>
      </c>
      <c r="F723" s="251" t="s">
        <v>114</v>
      </c>
      <c r="G723" s="22">
        <v>3898.9</v>
      </c>
      <c r="H723" s="22">
        <v>2810.7</v>
      </c>
      <c r="I723" s="15">
        <v>106</v>
      </c>
      <c r="J723" s="22">
        <f>'Форма 2'!I2617</f>
        <v>7803065.3399999999</v>
      </c>
      <c r="K723" s="22">
        <v>0</v>
      </c>
      <c r="L723" s="22">
        <v>0</v>
      </c>
      <c r="M723" s="22">
        <v>0</v>
      </c>
      <c r="N723" s="22">
        <f t="shared" si="209"/>
        <v>7803065.3399999999</v>
      </c>
      <c r="O723" s="22">
        <v>0</v>
      </c>
      <c r="P723" s="22">
        <f t="shared" si="206"/>
        <v>2776.2</v>
      </c>
      <c r="Q723" s="22">
        <f>'Форма 2'!K2617</f>
        <v>4051</v>
      </c>
      <c r="R723" s="31">
        <v>2022</v>
      </c>
      <c r="S723" s="168">
        <v>1</v>
      </c>
    </row>
    <row r="724" spans="1:19" s="71" customFormat="1" ht="15.75" customHeight="1" x14ac:dyDescent="0.25">
      <c r="A724" s="236">
        <f t="shared" si="210"/>
        <v>30</v>
      </c>
      <c r="B724" s="253">
        <v>6430</v>
      </c>
      <c r="C724" s="252" t="s">
        <v>411</v>
      </c>
      <c r="D724" s="251">
        <v>1961</v>
      </c>
      <c r="E724" s="251" t="s">
        <v>68</v>
      </c>
      <c r="F724" s="251" t="s">
        <v>82</v>
      </c>
      <c r="G724" s="22">
        <v>3270.4</v>
      </c>
      <c r="H724" s="22">
        <v>2506.4</v>
      </c>
      <c r="I724" s="15">
        <v>95</v>
      </c>
      <c r="J724" s="22">
        <f>'Форма 2'!I2624</f>
        <v>9516800.8000000007</v>
      </c>
      <c r="K724" s="22">
        <v>0</v>
      </c>
      <c r="L724" s="22">
        <v>0</v>
      </c>
      <c r="M724" s="22">
        <v>0</v>
      </c>
      <c r="N724" s="22">
        <f t="shared" si="209"/>
        <v>9516800.8000000007</v>
      </c>
      <c r="O724" s="22">
        <v>0</v>
      </c>
      <c r="P724" s="22">
        <f t="shared" si="206"/>
        <v>3797</v>
      </c>
      <c r="Q724" s="22">
        <f>'Форма 2'!K2624</f>
        <v>3878</v>
      </c>
      <c r="R724" s="31">
        <v>2022</v>
      </c>
      <c r="S724" s="168">
        <v>1</v>
      </c>
    </row>
    <row r="725" spans="1:19" s="71" customFormat="1" ht="15.75" customHeight="1" x14ac:dyDescent="0.25">
      <c r="A725" s="236">
        <f>A724+1</f>
        <v>31</v>
      </c>
      <c r="B725" s="236">
        <v>6433</v>
      </c>
      <c r="C725" s="252" t="s">
        <v>412</v>
      </c>
      <c r="D725" s="251">
        <v>1960</v>
      </c>
      <c r="E725" s="251" t="s">
        <v>68</v>
      </c>
      <c r="F725" s="251" t="s">
        <v>114</v>
      </c>
      <c r="G725" s="22">
        <v>3979.8</v>
      </c>
      <c r="H725" s="22">
        <v>3100.3</v>
      </c>
      <c r="I725" s="15">
        <v>114</v>
      </c>
      <c r="J725" s="22">
        <f>'Форма 2'!I2627</f>
        <v>8240287.3700000001</v>
      </c>
      <c r="K725" s="22">
        <v>0</v>
      </c>
      <c r="L725" s="22">
        <v>0</v>
      </c>
      <c r="M725" s="22">
        <v>0</v>
      </c>
      <c r="N725" s="22">
        <f t="shared" si="209"/>
        <v>8240287.3700000001</v>
      </c>
      <c r="O725" s="22">
        <v>0</v>
      </c>
      <c r="P725" s="22">
        <f t="shared" si="206"/>
        <v>2657.9</v>
      </c>
      <c r="Q725" s="22">
        <f>'Форма 2'!K2627</f>
        <v>3878</v>
      </c>
      <c r="R725" s="31">
        <v>2022</v>
      </c>
      <c r="S725" s="168">
        <v>1</v>
      </c>
    </row>
    <row r="726" spans="1:19" s="71" customFormat="1" ht="15.75" customHeight="1" x14ac:dyDescent="0.25">
      <c r="A726" s="236">
        <f t="shared" si="210"/>
        <v>32</v>
      </c>
      <c r="B726" s="236">
        <v>6436</v>
      </c>
      <c r="C726" s="252" t="s">
        <v>413</v>
      </c>
      <c r="D726" s="251">
        <v>1960</v>
      </c>
      <c r="E726" s="251" t="s">
        <v>68</v>
      </c>
      <c r="F726" s="251" t="s">
        <v>114</v>
      </c>
      <c r="G726" s="22">
        <v>3245</v>
      </c>
      <c r="H726" s="22">
        <v>3038.5</v>
      </c>
      <c r="I726" s="15">
        <v>115</v>
      </c>
      <c r="J726" s="22">
        <f>'Форма 2'!I2630</f>
        <v>8076029.1500000004</v>
      </c>
      <c r="K726" s="22">
        <v>0</v>
      </c>
      <c r="L726" s="22">
        <v>0</v>
      </c>
      <c r="M726" s="22">
        <v>0</v>
      </c>
      <c r="N726" s="22">
        <f t="shared" si="209"/>
        <v>8076029.1500000004</v>
      </c>
      <c r="O726" s="22">
        <v>0</v>
      </c>
      <c r="P726" s="22">
        <f t="shared" si="206"/>
        <v>2657.9</v>
      </c>
      <c r="Q726" s="22">
        <f>'Форма 2'!K2630</f>
        <v>3878</v>
      </c>
      <c r="R726" s="31">
        <v>2022</v>
      </c>
      <c r="S726" s="168">
        <v>1</v>
      </c>
    </row>
    <row r="727" spans="1:19" s="71" customFormat="1" ht="15.75" customHeight="1" x14ac:dyDescent="0.25">
      <c r="A727" s="236">
        <f t="shared" si="210"/>
        <v>33</v>
      </c>
      <c r="B727" s="253">
        <v>6439</v>
      </c>
      <c r="C727" s="252" t="s">
        <v>414</v>
      </c>
      <c r="D727" s="251">
        <v>1961</v>
      </c>
      <c r="E727" s="251" t="s">
        <v>68</v>
      </c>
      <c r="F727" s="251" t="s">
        <v>82</v>
      </c>
      <c r="G727" s="22">
        <v>4438.3999999999996</v>
      </c>
      <c r="H727" s="22">
        <v>3449.6</v>
      </c>
      <c r="I727" s="15">
        <v>130</v>
      </c>
      <c r="J727" s="22">
        <f>'Форма 2'!I2633</f>
        <v>13098131.199999999</v>
      </c>
      <c r="K727" s="22">
        <v>0</v>
      </c>
      <c r="L727" s="22">
        <v>0</v>
      </c>
      <c r="M727" s="22">
        <v>0</v>
      </c>
      <c r="N727" s="22">
        <f t="shared" si="209"/>
        <v>13098131.199999999</v>
      </c>
      <c r="O727" s="22">
        <v>0</v>
      </c>
      <c r="P727" s="22">
        <f t="shared" si="206"/>
        <v>3797</v>
      </c>
      <c r="Q727" s="22">
        <f>'Форма 2'!K2633</f>
        <v>3878</v>
      </c>
      <c r="R727" s="31">
        <v>2022</v>
      </c>
      <c r="S727" s="168">
        <v>1</v>
      </c>
    </row>
    <row r="728" spans="1:19" s="71" customFormat="1" ht="15.75" customHeight="1" x14ac:dyDescent="0.25">
      <c r="A728" s="236">
        <f>A727+1</f>
        <v>34</v>
      </c>
      <c r="B728" s="236">
        <v>6538</v>
      </c>
      <c r="C728" s="252" t="s">
        <v>415</v>
      </c>
      <c r="D728" s="251">
        <v>1926</v>
      </c>
      <c r="E728" s="251" t="s">
        <v>93</v>
      </c>
      <c r="F728" s="251" t="s">
        <v>114</v>
      </c>
      <c r="G728" s="22">
        <v>465.45</v>
      </c>
      <c r="H728" s="22">
        <v>412</v>
      </c>
      <c r="I728" s="15">
        <v>16</v>
      </c>
      <c r="J728" s="22">
        <f>'Форма 2'!I2636</f>
        <v>1143794.3999999999</v>
      </c>
      <c r="K728" s="22">
        <v>0</v>
      </c>
      <c r="L728" s="22">
        <v>0</v>
      </c>
      <c r="M728" s="22">
        <v>0</v>
      </c>
      <c r="N728" s="22">
        <f t="shared" si="209"/>
        <v>1143794.3999999999</v>
      </c>
      <c r="O728" s="22">
        <v>0</v>
      </c>
      <c r="P728" s="22">
        <f t="shared" si="206"/>
        <v>2776.2</v>
      </c>
      <c r="Q728" s="22">
        <f>'Форма 2'!K2636</f>
        <v>4050</v>
      </c>
      <c r="R728" s="31">
        <v>2022</v>
      </c>
      <c r="S728" s="168">
        <v>1</v>
      </c>
    </row>
    <row r="729" spans="1:19" s="185" customFormat="1" ht="15.75" customHeight="1" x14ac:dyDescent="0.25">
      <c r="A729" s="277" t="s">
        <v>41</v>
      </c>
      <c r="B729" s="277"/>
      <c r="C729" s="277"/>
      <c r="D729" s="10" t="s">
        <v>13</v>
      </c>
      <c r="E729" s="9" t="s">
        <v>13</v>
      </c>
      <c r="F729" s="9" t="s">
        <v>13</v>
      </c>
      <c r="G729" s="9">
        <f t="shared" ref="G729:O729" si="211">SUM(G730:G744)</f>
        <v>102064.3</v>
      </c>
      <c r="H729" s="9">
        <f t="shared" si="211"/>
        <v>80870.41</v>
      </c>
      <c r="I729" s="11">
        <f t="shared" si="211"/>
        <v>3262</v>
      </c>
      <c r="J729" s="9">
        <f t="shared" si="211"/>
        <v>69137993.340000004</v>
      </c>
      <c r="K729" s="9">
        <f t="shared" si="211"/>
        <v>0</v>
      </c>
      <c r="L729" s="9">
        <f t="shared" si="211"/>
        <v>0</v>
      </c>
      <c r="M729" s="9">
        <f t="shared" si="211"/>
        <v>0</v>
      </c>
      <c r="N729" s="9">
        <f t="shared" si="211"/>
        <v>69137993.340000004</v>
      </c>
      <c r="O729" s="9">
        <f t="shared" si="211"/>
        <v>0</v>
      </c>
      <c r="P729" s="9" t="s">
        <v>13</v>
      </c>
      <c r="Q729" s="9" t="s">
        <v>13</v>
      </c>
      <c r="R729" s="9" t="s">
        <v>13</v>
      </c>
      <c r="S729" s="15" t="s">
        <v>13</v>
      </c>
    </row>
    <row r="730" spans="1:19" s="71" customFormat="1" ht="15.75" customHeight="1" x14ac:dyDescent="0.25">
      <c r="A730" s="33">
        <v>1</v>
      </c>
      <c r="B730" s="247">
        <v>5079</v>
      </c>
      <c r="C730" s="234" t="s">
        <v>333</v>
      </c>
      <c r="D730" s="33">
        <v>1971</v>
      </c>
      <c r="E730" s="33" t="s">
        <v>93</v>
      </c>
      <c r="F730" s="33" t="s">
        <v>82</v>
      </c>
      <c r="G730" s="35">
        <v>772.9</v>
      </c>
      <c r="H730" s="35">
        <v>712.3</v>
      </c>
      <c r="I730" s="39">
        <v>27</v>
      </c>
      <c r="J730" s="9">
        <f>'Форма 2'!I2644</f>
        <v>3045082.5</v>
      </c>
      <c r="K730" s="9">
        <v>0</v>
      </c>
      <c r="L730" s="36">
        <v>0</v>
      </c>
      <c r="M730" s="36">
        <v>0</v>
      </c>
      <c r="N730" s="9">
        <f t="shared" ref="N730:N740" si="212">J730-K730-L730-M730-O730</f>
        <v>3045082.5</v>
      </c>
      <c r="O730" s="9">
        <v>0</v>
      </c>
      <c r="P730" s="9">
        <f t="shared" ref="P730:P740" si="213">J730/H730</f>
        <v>4275</v>
      </c>
      <c r="Q730" s="9">
        <f>'Форма 2'!K2644</f>
        <v>4275</v>
      </c>
      <c r="R730" s="31" t="s">
        <v>377</v>
      </c>
      <c r="S730" s="15">
        <v>1</v>
      </c>
    </row>
    <row r="731" spans="1:19" s="71" customFormat="1" ht="15.75" customHeight="1" x14ac:dyDescent="0.25">
      <c r="A731" s="33">
        <f t="shared" ref="A731:A744" si="214">A730+1</f>
        <v>2</v>
      </c>
      <c r="B731" s="247">
        <v>5080</v>
      </c>
      <c r="C731" s="234" t="s">
        <v>334</v>
      </c>
      <c r="D731" s="33">
        <v>1972</v>
      </c>
      <c r="E731" s="33" t="s">
        <v>93</v>
      </c>
      <c r="F731" s="33" t="s">
        <v>82</v>
      </c>
      <c r="G731" s="35">
        <v>761.2</v>
      </c>
      <c r="H731" s="35">
        <v>704</v>
      </c>
      <c r="I731" s="39">
        <v>27</v>
      </c>
      <c r="J731" s="9">
        <f>'Форма 2'!I2651</f>
        <v>3009600</v>
      </c>
      <c r="K731" s="9">
        <v>0</v>
      </c>
      <c r="L731" s="36">
        <v>0</v>
      </c>
      <c r="M731" s="36">
        <v>0</v>
      </c>
      <c r="N731" s="9">
        <f t="shared" si="212"/>
        <v>3009600</v>
      </c>
      <c r="O731" s="9">
        <v>0</v>
      </c>
      <c r="P731" s="9">
        <f t="shared" si="213"/>
        <v>4275</v>
      </c>
      <c r="Q731" s="9">
        <f>'Форма 2'!K2651</f>
        <v>4275</v>
      </c>
      <c r="R731" s="31" t="s">
        <v>377</v>
      </c>
      <c r="S731" s="15">
        <v>1</v>
      </c>
    </row>
    <row r="732" spans="1:19" s="71" customFormat="1" ht="15.75" customHeight="1" x14ac:dyDescent="0.25">
      <c r="A732" s="33">
        <f t="shared" si="214"/>
        <v>3</v>
      </c>
      <c r="B732" s="247">
        <v>5091</v>
      </c>
      <c r="C732" s="232" t="s">
        <v>335</v>
      </c>
      <c r="D732" s="251">
        <v>1978</v>
      </c>
      <c r="E732" s="33" t="s">
        <v>68</v>
      </c>
      <c r="F732" s="33" t="s">
        <v>82</v>
      </c>
      <c r="G732" s="35">
        <v>2829.6</v>
      </c>
      <c r="H732" s="9">
        <v>2295.21</v>
      </c>
      <c r="I732" s="30">
        <v>87</v>
      </c>
      <c r="J732" s="9">
        <f>'Форма 2'!I2658</f>
        <v>6688241.9400000004</v>
      </c>
      <c r="K732" s="9">
        <v>0</v>
      </c>
      <c r="L732" s="36">
        <v>0</v>
      </c>
      <c r="M732" s="36">
        <v>0</v>
      </c>
      <c r="N732" s="9">
        <f t="shared" si="212"/>
        <v>6688241.9400000004</v>
      </c>
      <c r="O732" s="9">
        <v>0</v>
      </c>
      <c r="P732" s="9">
        <f t="shared" si="213"/>
        <v>2914</v>
      </c>
      <c r="Q732" s="9">
        <f>'Форма 2'!K2658</f>
        <v>2914</v>
      </c>
      <c r="R732" s="31" t="s">
        <v>377</v>
      </c>
      <c r="S732" s="236">
        <v>1</v>
      </c>
    </row>
    <row r="733" spans="1:19" s="71" customFormat="1" ht="15.75" customHeight="1" x14ac:dyDescent="0.25">
      <c r="A733" s="33">
        <f t="shared" si="214"/>
        <v>4</v>
      </c>
      <c r="B733" s="247">
        <v>5097</v>
      </c>
      <c r="C733" s="232" t="s">
        <v>336</v>
      </c>
      <c r="D733" s="251">
        <v>1972</v>
      </c>
      <c r="E733" s="33" t="s">
        <v>93</v>
      </c>
      <c r="F733" s="33" t="s">
        <v>82</v>
      </c>
      <c r="G733" s="35">
        <v>395.6</v>
      </c>
      <c r="H733" s="9">
        <v>371</v>
      </c>
      <c r="I733" s="30">
        <v>34</v>
      </c>
      <c r="J733" s="9">
        <f>'Форма 2'!I2661</f>
        <v>1586025</v>
      </c>
      <c r="K733" s="9">
        <v>0</v>
      </c>
      <c r="L733" s="36">
        <v>0</v>
      </c>
      <c r="M733" s="36">
        <v>0</v>
      </c>
      <c r="N733" s="9">
        <f t="shared" si="212"/>
        <v>1586025</v>
      </c>
      <c r="O733" s="9">
        <v>0</v>
      </c>
      <c r="P733" s="9">
        <f t="shared" si="213"/>
        <v>4275</v>
      </c>
      <c r="Q733" s="9">
        <f>'Форма 2'!K2661</f>
        <v>4275</v>
      </c>
      <c r="R733" s="31" t="s">
        <v>377</v>
      </c>
      <c r="S733" s="236">
        <v>1</v>
      </c>
    </row>
    <row r="734" spans="1:19" s="71" customFormat="1" x14ac:dyDescent="0.25">
      <c r="A734" s="33">
        <f t="shared" si="214"/>
        <v>5</v>
      </c>
      <c r="B734" s="259">
        <v>5100</v>
      </c>
      <c r="C734" s="234" t="s">
        <v>683</v>
      </c>
      <c r="D734" s="34">
        <v>1974</v>
      </c>
      <c r="E734" s="33" t="s">
        <v>107</v>
      </c>
      <c r="F734" s="33" t="s">
        <v>82</v>
      </c>
      <c r="G734" s="35">
        <v>3099.7</v>
      </c>
      <c r="H734" s="9">
        <v>2705.3</v>
      </c>
      <c r="I734" s="30">
        <v>139</v>
      </c>
      <c r="J734" s="9">
        <f>'Форма 2'!I2668</f>
        <v>13020608.9</v>
      </c>
      <c r="K734" s="36">
        <v>0</v>
      </c>
      <c r="L734" s="36">
        <v>0</v>
      </c>
      <c r="M734" s="36">
        <v>0</v>
      </c>
      <c r="N734" s="9">
        <f t="shared" si="212"/>
        <v>13020608.9</v>
      </c>
      <c r="O734" s="9">
        <v>0</v>
      </c>
      <c r="P734" s="9">
        <f t="shared" si="213"/>
        <v>4813</v>
      </c>
      <c r="Q734" s="9">
        <f>'Форма 2'!K2668</f>
        <v>4813</v>
      </c>
      <c r="R734" s="38" t="s">
        <v>377</v>
      </c>
      <c r="S734" s="236">
        <v>1</v>
      </c>
    </row>
    <row r="735" spans="1:19" s="71" customFormat="1" ht="15.75" customHeight="1" x14ac:dyDescent="0.25">
      <c r="A735" s="33">
        <f>A734+1</f>
        <v>6</v>
      </c>
      <c r="B735" s="247">
        <v>5107</v>
      </c>
      <c r="C735" s="232" t="s">
        <v>234</v>
      </c>
      <c r="D735" s="251">
        <v>1972</v>
      </c>
      <c r="E735" s="33" t="s">
        <v>93</v>
      </c>
      <c r="F735" s="33" t="s">
        <v>82</v>
      </c>
      <c r="G735" s="35">
        <v>804.2</v>
      </c>
      <c r="H735" s="9">
        <v>743</v>
      </c>
      <c r="I735" s="30">
        <v>43</v>
      </c>
      <c r="J735" s="9">
        <f>'Форма 2'!I2677</f>
        <v>3176325</v>
      </c>
      <c r="K735" s="9">
        <v>0</v>
      </c>
      <c r="L735" s="36">
        <v>0</v>
      </c>
      <c r="M735" s="36">
        <v>0</v>
      </c>
      <c r="N735" s="9">
        <f t="shared" si="212"/>
        <v>3176325</v>
      </c>
      <c r="O735" s="9">
        <v>0</v>
      </c>
      <c r="P735" s="9">
        <f t="shared" si="213"/>
        <v>4275</v>
      </c>
      <c r="Q735" s="9">
        <f>'Форма 2'!K2677</f>
        <v>4275</v>
      </c>
      <c r="R735" s="31" t="s">
        <v>377</v>
      </c>
      <c r="S735" s="236">
        <v>1</v>
      </c>
    </row>
    <row r="736" spans="1:19" s="71" customFormat="1" ht="15.75" customHeight="1" x14ac:dyDescent="0.25">
      <c r="A736" s="33">
        <f>A735+1</f>
        <v>7</v>
      </c>
      <c r="B736" s="247">
        <v>5112</v>
      </c>
      <c r="C736" s="232" t="s">
        <v>338</v>
      </c>
      <c r="D736" s="251">
        <v>1973</v>
      </c>
      <c r="E736" s="33" t="s">
        <v>93</v>
      </c>
      <c r="F736" s="33" t="s">
        <v>82</v>
      </c>
      <c r="G736" s="35">
        <v>806.9</v>
      </c>
      <c r="H736" s="9">
        <v>745.9</v>
      </c>
      <c r="I736" s="30">
        <v>48</v>
      </c>
      <c r="J736" s="9">
        <f>'Форма 2'!I2684</f>
        <v>3188722.5</v>
      </c>
      <c r="K736" s="9">
        <v>0</v>
      </c>
      <c r="L736" s="36">
        <v>0</v>
      </c>
      <c r="M736" s="36">
        <v>0</v>
      </c>
      <c r="N736" s="9">
        <f t="shared" si="212"/>
        <v>3188722.5</v>
      </c>
      <c r="O736" s="9">
        <v>0</v>
      </c>
      <c r="P736" s="9">
        <f t="shared" si="213"/>
        <v>4275</v>
      </c>
      <c r="Q736" s="9">
        <f>'Форма 2'!K2684</f>
        <v>4275</v>
      </c>
      <c r="R736" s="31" t="s">
        <v>377</v>
      </c>
      <c r="S736" s="236">
        <v>1</v>
      </c>
    </row>
    <row r="737" spans="1:19" s="71" customFormat="1" ht="15.75" customHeight="1" x14ac:dyDescent="0.25">
      <c r="A737" s="33">
        <f t="shared" si="214"/>
        <v>8</v>
      </c>
      <c r="B737" s="251">
        <v>5115</v>
      </c>
      <c r="C737" s="232" t="s">
        <v>339</v>
      </c>
      <c r="D737" s="251">
        <v>1974</v>
      </c>
      <c r="E737" s="33" t="s">
        <v>93</v>
      </c>
      <c r="F737" s="33" t="s">
        <v>82</v>
      </c>
      <c r="G737" s="35">
        <v>941.4</v>
      </c>
      <c r="H737" s="9">
        <v>860.4</v>
      </c>
      <c r="I737" s="30">
        <v>57</v>
      </c>
      <c r="J737" s="9">
        <f>'Форма 2'!I2691</f>
        <v>3678210</v>
      </c>
      <c r="K737" s="9">
        <v>0</v>
      </c>
      <c r="L737" s="36">
        <v>0</v>
      </c>
      <c r="M737" s="36">
        <v>0</v>
      </c>
      <c r="N737" s="9">
        <f t="shared" si="212"/>
        <v>3678210</v>
      </c>
      <c r="O737" s="9">
        <v>0</v>
      </c>
      <c r="P737" s="9">
        <f t="shared" si="213"/>
        <v>4275</v>
      </c>
      <c r="Q737" s="9">
        <f>'Форма 2'!K2691</f>
        <v>4275</v>
      </c>
      <c r="R737" s="31" t="s">
        <v>377</v>
      </c>
      <c r="S737" s="236">
        <v>1</v>
      </c>
    </row>
    <row r="738" spans="1:19" s="71" customFormat="1" ht="15.75" customHeight="1" x14ac:dyDescent="0.25">
      <c r="A738" s="236">
        <f t="shared" si="214"/>
        <v>9</v>
      </c>
      <c r="B738" s="167">
        <v>5146</v>
      </c>
      <c r="C738" s="252" t="s">
        <v>686</v>
      </c>
      <c r="D738" s="251">
        <v>1979</v>
      </c>
      <c r="E738" s="256" t="s">
        <v>68</v>
      </c>
      <c r="F738" s="251" t="s">
        <v>81</v>
      </c>
      <c r="G738" s="22">
        <v>4626</v>
      </c>
      <c r="H738" s="22">
        <v>3974</v>
      </c>
      <c r="I738" s="15">
        <v>153</v>
      </c>
      <c r="J738" s="22">
        <f>'Форма 2'!I2698</f>
        <v>695450</v>
      </c>
      <c r="K738" s="22">
        <v>0</v>
      </c>
      <c r="L738" s="22">
        <v>0</v>
      </c>
      <c r="M738" s="22">
        <v>0</v>
      </c>
      <c r="N738" s="22">
        <f t="shared" si="212"/>
        <v>695450</v>
      </c>
      <c r="O738" s="22">
        <v>0</v>
      </c>
      <c r="P738" s="22">
        <f t="shared" si="213"/>
        <v>175</v>
      </c>
      <c r="Q738" s="22">
        <f>'Форма 2'!K2698</f>
        <v>175</v>
      </c>
      <c r="R738" s="31">
        <v>2022</v>
      </c>
      <c r="S738" s="236">
        <v>1</v>
      </c>
    </row>
    <row r="739" spans="1:19" s="71" customFormat="1" ht="15.75" customHeight="1" x14ac:dyDescent="0.25">
      <c r="A739" s="33">
        <f t="shared" si="214"/>
        <v>10</v>
      </c>
      <c r="B739" s="167">
        <v>5182</v>
      </c>
      <c r="C739" s="252" t="s">
        <v>687</v>
      </c>
      <c r="D739" s="251">
        <v>1993</v>
      </c>
      <c r="E739" s="256" t="s">
        <v>86</v>
      </c>
      <c r="F739" s="251" t="s">
        <v>81</v>
      </c>
      <c r="G739" s="22">
        <v>12129.9</v>
      </c>
      <c r="H739" s="22">
        <v>9311.9</v>
      </c>
      <c r="I739" s="15">
        <v>352</v>
      </c>
      <c r="J739" s="22">
        <f>'Форма 2'!I2700</f>
        <v>64562</v>
      </c>
      <c r="K739" s="22">
        <v>0</v>
      </c>
      <c r="L739" s="22">
        <v>0</v>
      </c>
      <c r="M739" s="22">
        <v>0</v>
      </c>
      <c r="N739" s="22">
        <f t="shared" si="212"/>
        <v>64562</v>
      </c>
      <c r="O739" s="22">
        <v>0</v>
      </c>
      <c r="P739" s="22">
        <f t="shared" si="213"/>
        <v>6.93</v>
      </c>
      <c r="Q739" s="22">
        <f>'Форма 2'!K2700</f>
        <v>6.93</v>
      </c>
      <c r="R739" s="31">
        <v>2022</v>
      </c>
      <c r="S739" s="236">
        <v>1</v>
      </c>
    </row>
    <row r="740" spans="1:19" s="71" customFormat="1" ht="15.75" customHeight="1" x14ac:dyDescent="0.25">
      <c r="A740" s="33">
        <f t="shared" si="214"/>
        <v>11</v>
      </c>
      <c r="B740" s="259">
        <v>5184</v>
      </c>
      <c r="C740" s="232" t="s">
        <v>684</v>
      </c>
      <c r="D740" s="236">
        <v>1988</v>
      </c>
      <c r="E740" s="33" t="s">
        <v>68</v>
      </c>
      <c r="F740" s="33" t="s">
        <v>82</v>
      </c>
      <c r="G740" s="35">
        <v>3126.8</v>
      </c>
      <c r="H740" s="9">
        <v>2757.5</v>
      </c>
      <c r="I740" s="30">
        <v>104</v>
      </c>
      <c r="J740" s="9">
        <f>'Форма 2'!I2703</f>
        <v>10023512.5</v>
      </c>
      <c r="K740" s="9">
        <v>0</v>
      </c>
      <c r="L740" s="36">
        <v>0</v>
      </c>
      <c r="M740" s="36">
        <v>0</v>
      </c>
      <c r="N740" s="9">
        <f t="shared" si="212"/>
        <v>10023512.5</v>
      </c>
      <c r="O740" s="9">
        <v>0</v>
      </c>
      <c r="P740" s="9">
        <f t="shared" si="213"/>
        <v>3635</v>
      </c>
      <c r="Q740" s="9">
        <f>'Форма 2'!K2703</f>
        <v>3635</v>
      </c>
      <c r="R740" s="37" t="s">
        <v>377</v>
      </c>
      <c r="S740" s="236">
        <v>1</v>
      </c>
    </row>
    <row r="741" spans="1:19" s="71" customFormat="1" ht="15.75" customHeight="1" x14ac:dyDescent="0.25">
      <c r="A741" s="33">
        <f t="shared" si="214"/>
        <v>12</v>
      </c>
      <c r="B741" s="237">
        <v>5187</v>
      </c>
      <c r="C741" s="234" t="s">
        <v>566</v>
      </c>
      <c r="D741" s="34">
        <v>1992</v>
      </c>
      <c r="E741" s="33" t="s">
        <v>86</v>
      </c>
      <c r="F741" s="34" t="s">
        <v>87</v>
      </c>
      <c r="G741" s="35">
        <v>17524.400000000001</v>
      </c>
      <c r="H741" s="35">
        <v>13834.8</v>
      </c>
      <c r="I741" s="39">
        <v>523</v>
      </c>
      <c r="J741" s="9">
        <f>'Форма 2'!I2706</f>
        <v>4708360</v>
      </c>
      <c r="K741" s="9">
        <v>0</v>
      </c>
      <c r="L741" s="36">
        <v>0</v>
      </c>
      <c r="M741" s="36">
        <v>0</v>
      </c>
      <c r="N741" s="9">
        <f>J741-K741-L741-M741-O741</f>
        <v>4708360</v>
      </c>
      <c r="O741" s="9">
        <v>0</v>
      </c>
      <c r="P741" s="9">
        <f>J741/H741</f>
        <v>340.33</v>
      </c>
      <c r="Q741" s="9">
        <f>'Форма 2'!K2706</f>
        <v>340.33</v>
      </c>
      <c r="R741" s="37" t="s">
        <v>377</v>
      </c>
      <c r="S741" s="15">
        <v>1</v>
      </c>
    </row>
    <row r="742" spans="1:19" s="71" customFormat="1" ht="15.75" customHeight="1" x14ac:dyDescent="0.25">
      <c r="A742" s="33">
        <f t="shared" si="214"/>
        <v>13</v>
      </c>
      <c r="B742" s="236">
        <v>5216</v>
      </c>
      <c r="C742" s="252" t="s">
        <v>688</v>
      </c>
      <c r="D742" s="251">
        <v>1996</v>
      </c>
      <c r="E742" s="256" t="s">
        <v>86</v>
      </c>
      <c r="F742" s="251" t="s">
        <v>81</v>
      </c>
      <c r="G742" s="22">
        <v>18406.7</v>
      </c>
      <c r="H742" s="22">
        <v>14060.3</v>
      </c>
      <c r="I742" s="15">
        <v>531</v>
      </c>
      <c r="J742" s="22">
        <f>'Форма 2'!I2715</f>
        <v>193686</v>
      </c>
      <c r="K742" s="22">
        <v>0</v>
      </c>
      <c r="L742" s="22">
        <v>0</v>
      </c>
      <c r="M742" s="22">
        <v>0</v>
      </c>
      <c r="N742" s="22">
        <f>J742-K742-L742-M742-O742</f>
        <v>193686</v>
      </c>
      <c r="O742" s="22">
        <v>0</v>
      </c>
      <c r="P742" s="22">
        <f>J742/H742</f>
        <v>13.78</v>
      </c>
      <c r="Q742" s="22">
        <f>'Форма 2'!K2715</f>
        <v>13.78</v>
      </c>
      <c r="R742" s="31">
        <v>2022</v>
      </c>
      <c r="S742" s="15">
        <v>1</v>
      </c>
    </row>
    <row r="743" spans="1:19" s="71" customFormat="1" ht="15.75" customHeight="1" x14ac:dyDescent="0.25">
      <c r="A743" s="236">
        <f>A742+1</f>
        <v>14</v>
      </c>
      <c r="B743" s="236">
        <v>5230</v>
      </c>
      <c r="C743" s="252" t="s">
        <v>689</v>
      </c>
      <c r="D743" s="251">
        <v>1994</v>
      </c>
      <c r="E743" s="251" t="s">
        <v>86</v>
      </c>
      <c r="F743" s="251" t="s">
        <v>81</v>
      </c>
      <c r="G743" s="22">
        <v>15217.1</v>
      </c>
      <c r="H743" s="22">
        <v>11489.7</v>
      </c>
      <c r="I743" s="15">
        <v>521</v>
      </c>
      <c r="J743" s="22">
        <f>'Форма 2'!I2722</f>
        <v>32281</v>
      </c>
      <c r="K743" s="22">
        <v>0</v>
      </c>
      <c r="L743" s="22">
        <v>0</v>
      </c>
      <c r="M743" s="22">
        <v>0</v>
      </c>
      <c r="N743" s="22">
        <f>J743-K743-L743-M743-O743</f>
        <v>32281</v>
      </c>
      <c r="O743" s="22">
        <v>0</v>
      </c>
      <c r="P743" s="22">
        <f>J743/H743</f>
        <v>2.81</v>
      </c>
      <c r="Q743" s="22">
        <f>'Форма 2'!K2722</f>
        <v>2.81</v>
      </c>
      <c r="R743" s="31">
        <v>2022</v>
      </c>
      <c r="S743" s="15">
        <v>1</v>
      </c>
    </row>
    <row r="744" spans="1:19" s="71" customFormat="1" ht="15.75" customHeight="1" x14ac:dyDescent="0.25">
      <c r="A744" s="33">
        <f t="shared" si="214"/>
        <v>15</v>
      </c>
      <c r="B744" s="238">
        <v>5291</v>
      </c>
      <c r="C744" s="234" t="s">
        <v>567</v>
      </c>
      <c r="D744" s="34">
        <v>1991</v>
      </c>
      <c r="E744" s="33" t="s">
        <v>86</v>
      </c>
      <c r="F744" s="34" t="s">
        <v>82</v>
      </c>
      <c r="G744" s="35">
        <v>20621.900000000001</v>
      </c>
      <c r="H744" s="35">
        <v>16305.1</v>
      </c>
      <c r="I744" s="39">
        <v>616</v>
      </c>
      <c r="J744" s="9">
        <f>'Форма 2'!I2724</f>
        <v>16027326</v>
      </c>
      <c r="K744" s="9">
        <v>0</v>
      </c>
      <c r="L744" s="36">
        <v>0</v>
      </c>
      <c r="M744" s="36">
        <v>0</v>
      </c>
      <c r="N744" s="9">
        <f>J744-K744-L744-M744-O744</f>
        <v>16027326</v>
      </c>
      <c r="O744" s="9">
        <v>0</v>
      </c>
      <c r="P744" s="9">
        <f>J744/H744</f>
        <v>982.96</v>
      </c>
      <c r="Q744" s="9">
        <f>'Форма 2'!K2724</f>
        <v>982.96</v>
      </c>
      <c r="R744" s="37" t="s">
        <v>377</v>
      </c>
      <c r="S744" s="15">
        <v>1</v>
      </c>
    </row>
    <row r="745" spans="1:19" ht="15.75" customHeight="1" x14ac:dyDescent="0.25">
      <c r="A745" s="282" t="s">
        <v>42</v>
      </c>
      <c r="B745" s="282"/>
      <c r="C745" s="282"/>
      <c r="D745" s="13" t="s">
        <v>13</v>
      </c>
      <c r="E745" s="17" t="s">
        <v>13</v>
      </c>
      <c r="F745" s="17" t="s">
        <v>13</v>
      </c>
      <c r="G745" s="9">
        <f t="shared" ref="G745:O745" si="215">G746+G773+G784+G816</f>
        <v>491561.39</v>
      </c>
      <c r="H745" s="9">
        <f t="shared" si="215"/>
        <v>412733.17</v>
      </c>
      <c r="I745" s="11">
        <f t="shared" si="215"/>
        <v>15085</v>
      </c>
      <c r="J745" s="9">
        <f t="shared" si="215"/>
        <v>749392682.23000002</v>
      </c>
      <c r="K745" s="9">
        <f t="shared" si="215"/>
        <v>0</v>
      </c>
      <c r="L745" s="9">
        <f t="shared" si="215"/>
        <v>0</v>
      </c>
      <c r="M745" s="9">
        <f t="shared" si="215"/>
        <v>0</v>
      </c>
      <c r="N745" s="9">
        <f t="shared" si="215"/>
        <v>749392682.23000002</v>
      </c>
      <c r="O745" s="9">
        <f t="shared" si="215"/>
        <v>0</v>
      </c>
      <c r="P745" s="9" t="s">
        <v>13</v>
      </c>
      <c r="Q745" s="9" t="s">
        <v>13</v>
      </c>
      <c r="R745" s="9" t="s">
        <v>13</v>
      </c>
      <c r="S745" s="22" t="s">
        <v>13</v>
      </c>
    </row>
    <row r="746" spans="1:19" ht="15.75" customHeight="1" x14ac:dyDescent="0.25">
      <c r="A746" s="282" t="s">
        <v>91</v>
      </c>
      <c r="B746" s="282"/>
      <c r="C746" s="282"/>
      <c r="D746" s="13" t="s">
        <v>13</v>
      </c>
      <c r="E746" s="17" t="s">
        <v>13</v>
      </c>
      <c r="F746" s="17" t="s">
        <v>13</v>
      </c>
      <c r="G746" s="9">
        <f t="shared" ref="G746:O746" si="216">SUM(G747:G772)</f>
        <v>74585.94</v>
      </c>
      <c r="H746" s="9">
        <f t="shared" si="216"/>
        <v>63988.37</v>
      </c>
      <c r="I746" s="11">
        <f t="shared" si="216"/>
        <v>2422</v>
      </c>
      <c r="J746" s="9">
        <f t="shared" si="216"/>
        <v>133144336.41</v>
      </c>
      <c r="K746" s="9">
        <f t="shared" si="216"/>
        <v>0</v>
      </c>
      <c r="L746" s="9">
        <f t="shared" si="216"/>
        <v>0</v>
      </c>
      <c r="M746" s="9">
        <f t="shared" si="216"/>
        <v>0</v>
      </c>
      <c r="N746" s="9">
        <f t="shared" si="216"/>
        <v>133144336.41</v>
      </c>
      <c r="O746" s="9">
        <f t="shared" si="216"/>
        <v>0</v>
      </c>
      <c r="P746" s="17" t="s">
        <v>13</v>
      </c>
      <c r="Q746" s="17" t="s">
        <v>13</v>
      </c>
      <c r="R746" s="17" t="s">
        <v>13</v>
      </c>
      <c r="S746" s="236" t="s">
        <v>13</v>
      </c>
    </row>
    <row r="747" spans="1:19" s="71" customFormat="1" ht="15.75" customHeight="1" x14ac:dyDescent="0.25">
      <c r="A747" s="236">
        <v>1</v>
      </c>
      <c r="B747" s="236">
        <v>757</v>
      </c>
      <c r="C747" s="29" t="s">
        <v>92</v>
      </c>
      <c r="D747" s="13">
        <v>1984</v>
      </c>
      <c r="E747" s="13" t="s">
        <v>112</v>
      </c>
      <c r="F747" s="13" t="s">
        <v>82</v>
      </c>
      <c r="G747" s="9">
        <v>1323.5</v>
      </c>
      <c r="H747" s="9">
        <v>1020.67</v>
      </c>
      <c r="I747" s="11">
        <v>41</v>
      </c>
      <c r="J747" s="9">
        <f>'Форма 2'!I2740</f>
        <v>7788732.7699999996</v>
      </c>
      <c r="K747" s="9">
        <v>0</v>
      </c>
      <c r="L747" s="9">
        <v>0</v>
      </c>
      <c r="M747" s="9">
        <v>0</v>
      </c>
      <c r="N747" s="9">
        <f t="shared" ref="N747:N767" si="217">J747-K747-L747-M747-O747</f>
        <v>7788732.7699999996</v>
      </c>
      <c r="O747" s="9">
        <v>0</v>
      </c>
      <c r="P747" s="9">
        <f t="shared" ref="P747:P767" si="218">J747/H747</f>
        <v>7631</v>
      </c>
      <c r="Q747" s="9">
        <f>'Форма 2'!K2740</f>
        <v>7631</v>
      </c>
      <c r="R747" s="37" t="s">
        <v>377</v>
      </c>
      <c r="S747" s="168">
        <v>1</v>
      </c>
    </row>
    <row r="748" spans="1:19" s="71" customFormat="1" ht="15.75" customHeight="1" x14ac:dyDescent="0.25">
      <c r="A748" s="236">
        <f>A747+1</f>
        <v>2</v>
      </c>
      <c r="B748" s="236">
        <v>887</v>
      </c>
      <c r="C748" s="29" t="s">
        <v>187</v>
      </c>
      <c r="D748" s="13">
        <v>1993</v>
      </c>
      <c r="E748" s="13" t="s">
        <v>112</v>
      </c>
      <c r="F748" s="13" t="s">
        <v>82</v>
      </c>
      <c r="G748" s="9">
        <v>2904.4</v>
      </c>
      <c r="H748" s="9">
        <v>2590.4</v>
      </c>
      <c r="I748" s="11">
        <v>98</v>
      </c>
      <c r="J748" s="9">
        <f>'Форма 2'!I2745</f>
        <v>18688855.050000001</v>
      </c>
      <c r="K748" s="9">
        <v>0</v>
      </c>
      <c r="L748" s="9">
        <v>0</v>
      </c>
      <c r="M748" s="9">
        <v>0</v>
      </c>
      <c r="N748" s="9">
        <f t="shared" si="217"/>
        <v>18688855.050000001</v>
      </c>
      <c r="O748" s="9">
        <v>0</v>
      </c>
      <c r="P748" s="9">
        <f t="shared" si="218"/>
        <v>7214.66</v>
      </c>
      <c r="Q748" s="9">
        <f>'Форма 2'!K2745</f>
        <v>8273</v>
      </c>
      <c r="R748" s="37" t="s">
        <v>377</v>
      </c>
      <c r="S748" s="168">
        <v>1</v>
      </c>
    </row>
    <row r="749" spans="1:19" s="71" customFormat="1" ht="15.75" customHeight="1" x14ac:dyDescent="0.25">
      <c r="A749" s="236">
        <f>A748+1</f>
        <v>3</v>
      </c>
      <c r="B749" s="236">
        <v>504</v>
      </c>
      <c r="C749" s="233" t="s">
        <v>738</v>
      </c>
      <c r="D749" s="13">
        <v>1965</v>
      </c>
      <c r="E749" s="13" t="s">
        <v>68</v>
      </c>
      <c r="F749" s="13" t="s">
        <v>82</v>
      </c>
      <c r="G749" s="9">
        <v>3367.85</v>
      </c>
      <c r="H749" s="9">
        <v>3172.4</v>
      </c>
      <c r="I749" s="11">
        <v>120</v>
      </c>
      <c r="J749" s="9">
        <f>'Форма 2'!I2750</f>
        <v>12302567.199999999</v>
      </c>
      <c r="K749" s="9">
        <v>0</v>
      </c>
      <c r="L749" s="9">
        <v>0</v>
      </c>
      <c r="M749" s="9">
        <v>0</v>
      </c>
      <c r="N749" s="9">
        <f t="shared" si="217"/>
        <v>12302567.199999999</v>
      </c>
      <c r="O749" s="9">
        <v>0</v>
      </c>
      <c r="P749" s="9">
        <f t="shared" si="218"/>
        <v>3878</v>
      </c>
      <c r="Q749" s="9">
        <f>'Форма 2'!K2750</f>
        <v>3878</v>
      </c>
      <c r="R749" s="37" t="s">
        <v>377</v>
      </c>
      <c r="S749" s="168">
        <v>1</v>
      </c>
    </row>
    <row r="750" spans="1:19" s="71" customFormat="1" ht="15" customHeight="1" x14ac:dyDescent="0.25">
      <c r="A750" s="236">
        <f>A749+1</f>
        <v>4</v>
      </c>
      <c r="B750" s="236">
        <v>190</v>
      </c>
      <c r="C750" s="233" t="s">
        <v>615</v>
      </c>
      <c r="D750" s="13">
        <v>1953</v>
      </c>
      <c r="E750" s="13" t="s">
        <v>95</v>
      </c>
      <c r="F750" s="13" t="s">
        <v>82</v>
      </c>
      <c r="G750" s="9">
        <v>1211.5999999999999</v>
      </c>
      <c r="H750" s="9">
        <v>1091.8</v>
      </c>
      <c r="I750" s="11">
        <v>37</v>
      </c>
      <c r="J750" s="9">
        <f>'Форма 2'!I2753</f>
        <v>395231.6</v>
      </c>
      <c r="K750" s="9">
        <v>0</v>
      </c>
      <c r="L750" s="9">
        <v>0</v>
      </c>
      <c r="M750" s="9">
        <v>0</v>
      </c>
      <c r="N750" s="9">
        <f t="shared" si="217"/>
        <v>395231.6</v>
      </c>
      <c r="O750" s="9">
        <v>0</v>
      </c>
      <c r="P750" s="9">
        <f t="shared" si="218"/>
        <v>362</v>
      </c>
      <c r="Q750" s="9">
        <f>'Форма 2'!K2753</f>
        <v>362</v>
      </c>
      <c r="R750" s="37" t="s">
        <v>377</v>
      </c>
      <c r="S750" s="168">
        <v>1</v>
      </c>
    </row>
    <row r="751" spans="1:19" s="71" customFormat="1" ht="15" customHeight="1" x14ac:dyDescent="0.25">
      <c r="A751" s="236">
        <f t="shared" ref="A751:A763" si="219">A750+1</f>
        <v>5</v>
      </c>
      <c r="B751" s="236">
        <v>197</v>
      </c>
      <c r="C751" s="233" t="s">
        <v>616</v>
      </c>
      <c r="D751" s="13">
        <v>1953</v>
      </c>
      <c r="E751" s="13" t="s">
        <v>95</v>
      </c>
      <c r="F751" s="13" t="s">
        <v>82</v>
      </c>
      <c r="G751" s="9">
        <v>1060.9000000000001</v>
      </c>
      <c r="H751" s="9">
        <v>1027.9000000000001</v>
      </c>
      <c r="I751" s="11">
        <v>39</v>
      </c>
      <c r="J751" s="9">
        <f>'Форма 2'!I2756</f>
        <v>372099.8</v>
      </c>
      <c r="K751" s="9">
        <v>0</v>
      </c>
      <c r="L751" s="9">
        <v>0</v>
      </c>
      <c r="M751" s="9">
        <v>0</v>
      </c>
      <c r="N751" s="9">
        <f>J751-K751-L751-M751-O751</f>
        <v>372099.8</v>
      </c>
      <c r="O751" s="9">
        <v>0</v>
      </c>
      <c r="P751" s="9">
        <f>J751/H751</f>
        <v>362</v>
      </c>
      <c r="Q751" s="9">
        <f>'Форма 2'!K2756</f>
        <v>362</v>
      </c>
      <c r="R751" s="37" t="s">
        <v>377</v>
      </c>
      <c r="S751" s="168">
        <v>1</v>
      </c>
    </row>
    <row r="752" spans="1:19" s="71" customFormat="1" ht="15" customHeight="1" x14ac:dyDescent="0.25">
      <c r="A752" s="236">
        <f t="shared" si="219"/>
        <v>6</v>
      </c>
      <c r="B752" s="236">
        <v>347</v>
      </c>
      <c r="C752" s="233" t="s">
        <v>617</v>
      </c>
      <c r="D752" s="13">
        <v>1960</v>
      </c>
      <c r="E752" s="13" t="s">
        <v>95</v>
      </c>
      <c r="F752" s="13" t="s">
        <v>82</v>
      </c>
      <c r="G752" s="9">
        <v>3366.7</v>
      </c>
      <c r="H752" s="9">
        <v>3127.4</v>
      </c>
      <c r="I752" s="11">
        <v>118</v>
      </c>
      <c r="J752" s="9">
        <f>'Форма 2'!I2759</f>
        <v>1272851.8</v>
      </c>
      <c r="K752" s="9">
        <v>0</v>
      </c>
      <c r="L752" s="9">
        <v>0</v>
      </c>
      <c r="M752" s="9">
        <v>0</v>
      </c>
      <c r="N752" s="9">
        <f>J752-K752-L752-M752-O752</f>
        <v>1272851.8</v>
      </c>
      <c r="O752" s="9">
        <v>0</v>
      </c>
      <c r="P752" s="9">
        <f>J752/H752</f>
        <v>407</v>
      </c>
      <c r="Q752" s="9">
        <f>'Форма 2'!K2759</f>
        <v>407</v>
      </c>
      <c r="R752" s="37" t="s">
        <v>377</v>
      </c>
      <c r="S752" s="168">
        <v>1</v>
      </c>
    </row>
    <row r="753" spans="1:19" s="71" customFormat="1" ht="15" customHeight="1" x14ac:dyDescent="0.25">
      <c r="A753" s="236">
        <f t="shared" si="219"/>
        <v>7</v>
      </c>
      <c r="B753" s="236">
        <v>348</v>
      </c>
      <c r="C753" s="233" t="s">
        <v>618</v>
      </c>
      <c r="D753" s="13">
        <v>1960</v>
      </c>
      <c r="E753" s="13" t="s">
        <v>95</v>
      </c>
      <c r="F753" s="13" t="s">
        <v>82</v>
      </c>
      <c r="G753" s="9">
        <v>4148</v>
      </c>
      <c r="H753" s="9">
        <v>3202.33</v>
      </c>
      <c r="I753" s="11">
        <v>120</v>
      </c>
      <c r="J753" s="9">
        <f>'Форма 2'!I2762</f>
        <v>1303348.31</v>
      </c>
      <c r="K753" s="9">
        <v>0</v>
      </c>
      <c r="L753" s="9">
        <v>0</v>
      </c>
      <c r="M753" s="9">
        <v>0</v>
      </c>
      <c r="N753" s="9">
        <f>J753-K753-L753-M753-O753</f>
        <v>1303348.31</v>
      </c>
      <c r="O753" s="9">
        <v>0</v>
      </c>
      <c r="P753" s="9">
        <f>J753/H753</f>
        <v>407</v>
      </c>
      <c r="Q753" s="9">
        <f>'Форма 2'!K2762</f>
        <v>407</v>
      </c>
      <c r="R753" s="37" t="s">
        <v>377</v>
      </c>
      <c r="S753" s="168">
        <v>1</v>
      </c>
    </row>
    <row r="754" spans="1:19" s="71" customFormat="1" ht="15" customHeight="1" x14ac:dyDescent="0.25">
      <c r="A754" s="236">
        <f>A753+1</f>
        <v>8</v>
      </c>
      <c r="B754" s="236">
        <v>234</v>
      </c>
      <c r="C754" s="233" t="s">
        <v>739</v>
      </c>
      <c r="D754" s="13">
        <v>1956</v>
      </c>
      <c r="E754" s="13" t="s">
        <v>68</v>
      </c>
      <c r="F754" s="13" t="s">
        <v>82</v>
      </c>
      <c r="G754" s="9">
        <v>1463.3</v>
      </c>
      <c r="H754" s="9">
        <v>1369.3</v>
      </c>
      <c r="I754" s="11">
        <v>52</v>
      </c>
      <c r="J754" s="9">
        <f>'Форма 2'!I2765</f>
        <v>7043679.2000000002</v>
      </c>
      <c r="K754" s="9">
        <v>0</v>
      </c>
      <c r="L754" s="9">
        <v>0</v>
      </c>
      <c r="M754" s="9">
        <v>0</v>
      </c>
      <c r="N754" s="9">
        <f>J754-K754-L754-M754-O754</f>
        <v>7043679.2000000002</v>
      </c>
      <c r="O754" s="9">
        <v>0</v>
      </c>
      <c r="P754" s="9">
        <f>J754/H754</f>
        <v>5144</v>
      </c>
      <c r="Q754" s="9">
        <f>'Форма 2'!K2765</f>
        <v>5144</v>
      </c>
      <c r="R754" s="37" t="s">
        <v>377</v>
      </c>
      <c r="S754" s="168">
        <v>1</v>
      </c>
    </row>
    <row r="755" spans="1:19" s="71" customFormat="1" ht="15.75" customHeight="1" x14ac:dyDescent="0.25">
      <c r="A755" s="236">
        <f t="shared" si="219"/>
        <v>9</v>
      </c>
      <c r="B755" s="236">
        <v>870</v>
      </c>
      <c r="C755" s="29" t="s">
        <v>190</v>
      </c>
      <c r="D755" s="13">
        <v>1991</v>
      </c>
      <c r="E755" s="13" t="s">
        <v>68</v>
      </c>
      <c r="F755" s="13" t="s">
        <v>82</v>
      </c>
      <c r="G755" s="9">
        <v>3789.5</v>
      </c>
      <c r="H755" s="9">
        <v>3342.5</v>
      </c>
      <c r="I755" s="11">
        <v>126</v>
      </c>
      <c r="J755" s="9">
        <f>'Форма 2'!I2768</f>
        <v>11064099.52</v>
      </c>
      <c r="K755" s="9">
        <v>0</v>
      </c>
      <c r="L755" s="9">
        <v>0</v>
      </c>
      <c r="M755" s="9">
        <v>0</v>
      </c>
      <c r="N755" s="9">
        <f t="shared" si="217"/>
        <v>11064099.52</v>
      </c>
      <c r="O755" s="9">
        <v>0</v>
      </c>
      <c r="P755" s="9">
        <f t="shared" si="218"/>
        <v>3310.13</v>
      </c>
      <c r="Q755" s="9">
        <f>'Форма 2'!K2768</f>
        <v>3878</v>
      </c>
      <c r="R755" s="37" t="s">
        <v>377</v>
      </c>
      <c r="S755" s="168">
        <v>1</v>
      </c>
    </row>
    <row r="756" spans="1:19" s="71" customFormat="1" ht="15.75" customHeight="1" x14ac:dyDescent="0.25">
      <c r="A756" s="236">
        <f t="shared" si="219"/>
        <v>10</v>
      </c>
      <c r="B756" s="236">
        <v>827</v>
      </c>
      <c r="C756" s="29" t="s">
        <v>369</v>
      </c>
      <c r="D756" s="13">
        <v>1988</v>
      </c>
      <c r="E756" s="13" t="s">
        <v>68</v>
      </c>
      <c r="F756" s="13" t="s">
        <v>82</v>
      </c>
      <c r="G756" s="9">
        <v>4656.7</v>
      </c>
      <c r="H756" s="9">
        <v>4235.7</v>
      </c>
      <c r="I756" s="11">
        <v>160</v>
      </c>
      <c r="J756" s="9">
        <f>'Форма 2'!I2771</f>
        <v>16426044.6</v>
      </c>
      <c r="K756" s="9">
        <v>0</v>
      </c>
      <c r="L756" s="9">
        <v>0</v>
      </c>
      <c r="M756" s="9">
        <v>0</v>
      </c>
      <c r="N756" s="9">
        <f t="shared" si="217"/>
        <v>16426044.6</v>
      </c>
      <c r="O756" s="9">
        <v>0</v>
      </c>
      <c r="P756" s="9">
        <f t="shared" si="218"/>
        <v>3878</v>
      </c>
      <c r="Q756" s="9">
        <f>'Форма 2'!K2771</f>
        <v>3878</v>
      </c>
      <c r="R756" s="37" t="s">
        <v>377</v>
      </c>
      <c r="S756" s="168">
        <v>1</v>
      </c>
    </row>
    <row r="757" spans="1:19" s="71" customFormat="1" ht="15" customHeight="1" x14ac:dyDescent="0.25">
      <c r="A757" s="236">
        <f t="shared" si="219"/>
        <v>11</v>
      </c>
      <c r="B757" s="236">
        <v>293</v>
      </c>
      <c r="C757" s="233" t="s">
        <v>619</v>
      </c>
      <c r="D757" s="13">
        <v>1958</v>
      </c>
      <c r="E757" s="13" t="s">
        <v>95</v>
      </c>
      <c r="F757" s="13" t="s">
        <v>82</v>
      </c>
      <c r="G757" s="9">
        <v>1357.2</v>
      </c>
      <c r="H757" s="9">
        <v>1262.0999999999999</v>
      </c>
      <c r="I757" s="11">
        <v>61</v>
      </c>
      <c r="J757" s="9">
        <f>'Форма 2'!I2774</f>
        <v>456880.2</v>
      </c>
      <c r="K757" s="9">
        <v>0</v>
      </c>
      <c r="L757" s="9">
        <v>0</v>
      </c>
      <c r="M757" s="9">
        <v>0</v>
      </c>
      <c r="N757" s="9">
        <f t="shared" si="217"/>
        <v>456880.2</v>
      </c>
      <c r="O757" s="9">
        <v>0</v>
      </c>
      <c r="P757" s="9">
        <f t="shared" si="218"/>
        <v>362</v>
      </c>
      <c r="Q757" s="9">
        <f>'Форма 2'!K2774</f>
        <v>362</v>
      </c>
      <c r="R757" s="37" t="s">
        <v>377</v>
      </c>
      <c r="S757" s="168">
        <v>1</v>
      </c>
    </row>
    <row r="758" spans="1:19" s="71" customFormat="1" ht="15" customHeight="1" x14ac:dyDescent="0.25">
      <c r="A758" s="236">
        <f t="shared" si="219"/>
        <v>12</v>
      </c>
      <c r="B758" s="236">
        <v>471</v>
      </c>
      <c r="C758" s="233" t="s">
        <v>620</v>
      </c>
      <c r="D758" s="13">
        <v>1964</v>
      </c>
      <c r="E758" s="13" t="s">
        <v>68</v>
      </c>
      <c r="F758" s="13" t="s">
        <v>82</v>
      </c>
      <c r="G758" s="9">
        <v>1675.3</v>
      </c>
      <c r="H758" s="9">
        <v>1568.8</v>
      </c>
      <c r="I758" s="11">
        <v>59</v>
      </c>
      <c r="J758" s="9">
        <f>'Форма 2'!I2777</f>
        <v>6083806.4000000004</v>
      </c>
      <c r="K758" s="9">
        <v>0</v>
      </c>
      <c r="L758" s="9">
        <v>0</v>
      </c>
      <c r="M758" s="9">
        <v>0</v>
      </c>
      <c r="N758" s="9">
        <f>J758-K758-L758-M758-O758</f>
        <v>6083806.4000000004</v>
      </c>
      <c r="O758" s="9">
        <v>0</v>
      </c>
      <c r="P758" s="9">
        <f>J758/H758</f>
        <v>3878</v>
      </c>
      <c r="Q758" s="9">
        <f>'Форма 2'!K2777</f>
        <v>3878</v>
      </c>
      <c r="R758" s="37" t="s">
        <v>377</v>
      </c>
      <c r="S758" s="168">
        <v>1</v>
      </c>
    </row>
    <row r="759" spans="1:19" s="71" customFormat="1" ht="15" customHeight="1" x14ac:dyDescent="0.25">
      <c r="A759" s="236">
        <f t="shared" si="219"/>
        <v>13</v>
      </c>
      <c r="B759" s="236">
        <v>340</v>
      </c>
      <c r="C759" s="233" t="s">
        <v>621</v>
      </c>
      <c r="D759" s="13">
        <v>1960</v>
      </c>
      <c r="E759" s="13" t="s">
        <v>95</v>
      </c>
      <c r="F759" s="13" t="s">
        <v>82</v>
      </c>
      <c r="G759" s="9">
        <v>1457.55</v>
      </c>
      <c r="H759" s="9">
        <v>1359.55</v>
      </c>
      <c r="I759" s="11">
        <v>51</v>
      </c>
      <c r="J759" s="9">
        <f>'Форма 2'!I2780</f>
        <v>492157.1</v>
      </c>
      <c r="K759" s="9">
        <v>0</v>
      </c>
      <c r="L759" s="9">
        <v>0</v>
      </c>
      <c r="M759" s="9">
        <v>0</v>
      </c>
      <c r="N759" s="9">
        <f t="shared" si="217"/>
        <v>492157.1</v>
      </c>
      <c r="O759" s="9">
        <v>0</v>
      </c>
      <c r="P759" s="9">
        <f t="shared" si="218"/>
        <v>362</v>
      </c>
      <c r="Q759" s="9">
        <f>'Форма 2'!K2780</f>
        <v>362</v>
      </c>
      <c r="R759" s="37" t="s">
        <v>377</v>
      </c>
      <c r="S759" s="168">
        <v>1</v>
      </c>
    </row>
    <row r="760" spans="1:19" s="71" customFormat="1" ht="15" customHeight="1" x14ac:dyDescent="0.25">
      <c r="A760" s="236">
        <f t="shared" si="219"/>
        <v>14</v>
      </c>
      <c r="B760" s="236">
        <v>341</v>
      </c>
      <c r="C760" s="233" t="s">
        <v>622</v>
      </c>
      <c r="D760" s="13">
        <v>1960</v>
      </c>
      <c r="E760" s="13" t="s">
        <v>95</v>
      </c>
      <c r="F760" s="13" t="s">
        <v>82</v>
      </c>
      <c r="G760" s="9">
        <v>1366.6</v>
      </c>
      <c r="H760" s="9">
        <v>1268.5999999999999</v>
      </c>
      <c r="I760" s="11">
        <v>48</v>
      </c>
      <c r="J760" s="9">
        <f>'Форма 2'!I2783</f>
        <v>459233.2</v>
      </c>
      <c r="K760" s="9">
        <v>0</v>
      </c>
      <c r="L760" s="9">
        <v>0</v>
      </c>
      <c r="M760" s="9">
        <v>0</v>
      </c>
      <c r="N760" s="9">
        <f t="shared" si="217"/>
        <v>459233.2</v>
      </c>
      <c r="O760" s="9">
        <v>0</v>
      </c>
      <c r="P760" s="9">
        <f t="shared" si="218"/>
        <v>362</v>
      </c>
      <c r="Q760" s="9">
        <f>'Форма 2'!K2783</f>
        <v>362</v>
      </c>
      <c r="R760" s="37" t="s">
        <v>377</v>
      </c>
      <c r="S760" s="168">
        <v>1</v>
      </c>
    </row>
    <row r="761" spans="1:19" s="71" customFormat="1" ht="15" customHeight="1" x14ac:dyDescent="0.25">
      <c r="A761" s="236">
        <f t="shared" si="219"/>
        <v>15</v>
      </c>
      <c r="B761" s="236">
        <v>34</v>
      </c>
      <c r="C761" s="233" t="s">
        <v>740</v>
      </c>
      <c r="D761" s="13">
        <v>1900</v>
      </c>
      <c r="E761" s="13" t="s">
        <v>90</v>
      </c>
      <c r="F761" s="13" t="s">
        <v>82</v>
      </c>
      <c r="G761" s="9">
        <v>323.3</v>
      </c>
      <c r="H761" s="9">
        <v>257.7</v>
      </c>
      <c r="I761" s="11">
        <v>18</v>
      </c>
      <c r="J761" s="9">
        <f>'Форма 2'!I2786</f>
        <v>184513.2</v>
      </c>
      <c r="K761" s="9">
        <v>0</v>
      </c>
      <c r="L761" s="9">
        <v>0</v>
      </c>
      <c r="M761" s="9">
        <v>0</v>
      </c>
      <c r="N761" s="9">
        <f t="shared" si="217"/>
        <v>184513.2</v>
      </c>
      <c r="O761" s="9">
        <v>0</v>
      </c>
      <c r="P761" s="9">
        <f t="shared" si="218"/>
        <v>716</v>
      </c>
      <c r="Q761" s="9">
        <f>'Форма 2'!K2786</f>
        <v>716</v>
      </c>
      <c r="R761" s="37" t="s">
        <v>377</v>
      </c>
      <c r="S761" s="168">
        <v>1</v>
      </c>
    </row>
    <row r="762" spans="1:19" s="71" customFormat="1" ht="15" customHeight="1" x14ac:dyDescent="0.25">
      <c r="A762" s="236">
        <f t="shared" si="219"/>
        <v>16</v>
      </c>
      <c r="B762" s="236">
        <v>294</v>
      </c>
      <c r="C762" s="233" t="s">
        <v>623</v>
      </c>
      <c r="D762" s="13">
        <v>1958</v>
      </c>
      <c r="E762" s="13" t="s">
        <v>95</v>
      </c>
      <c r="F762" s="13" t="s">
        <v>82</v>
      </c>
      <c r="G762" s="9">
        <v>4068.1</v>
      </c>
      <c r="H762" s="9">
        <v>3808.2</v>
      </c>
      <c r="I762" s="11">
        <v>77</v>
      </c>
      <c r="J762" s="9">
        <f>'Форма 2'!I2789</f>
        <v>1549937.4</v>
      </c>
      <c r="K762" s="9">
        <v>0</v>
      </c>
      <c r="L762" s="9">
        <v>0</v>
      </c>
      <c r="M762" s="9">
        <v>0</v>
      </c>
      <c r="N762" s="9">
        <f t="shared" si="217"/>
        <v>1549937.4</v>
      </c>
      <c r="O762" s="9">
        <v>0</v>
      </c>
      <c r="P762" s="9">
        <f t="shared" si="218"/>
        <v>407</v>
      </c>
      <c r="Q762" s="9">
        <f>'Форма 2'!K2789</f>
        <v>407</v>
      </c>
      <c r="R762" s="37" t="s">
        <v>377</v>
      </c>
      <c r="S762" s="168">
        <v>1</v>
      </c>
    </row>
    <row r="763" spans="1:19" s="71" customFormat="1" ht="15" customHeight="1" x14ac:dyDescent="0.25">
      <c r="A763" s="236">
        <f t="shared" si="219"/>
        <v>17</v>
      </c>
      <c r="B763" s="236">
        <v>326</v>
      </c>
      <c r="C763" s="233" t="s">
        <v>624</v>
      </c>
      <c r="D763" s="13">
        <v>1959</v>
      </c>
      <c r="E763" s="13" t="s">
        <v>95</v>
      </c>
      <c r="F763" s="13" t="s">
        <v>82</v>
      </c>
      <c r="G763" s="9">
        <v>1992.7</v>
      </c>
      <c r="H763" s="9">
        <v>1786.7</v>
      </c>
      <c r="I763" s="11">
        <v>65</v>
      </c>
      <c r="J763" s="9">
        <f>'Форма 2'!I2792</f>
        <v>646785.4</v>
      </c>
      <c r="K763" s="9">
        <v>0</v>
      </c>
      <c r="L763" s="9">
        <v>0</v>
      </c>
      <c r="M763" s="9">
        <v>0</v>
      </c>
      <c r="N763" s="9">
        <f t="shared" si="217"/>
        <v>646785.4</v>
      </c>
      <c r="O763" s="9">
        <v>0</v>
      </c>
      <c r="P763" s="9">
        <f t="shared" si="218"/>
        <v>362</v>
      </c>
      <c r="Q763" s="9">
        <f>'Форма 2'!K2792</f>
        <v>362</v>
      </c>
      <c r="R763" s="37" t="s">
        <v>377</v>
      </c>
      <c r="S763" s="168">
        <v>1</v>
      </c>
    </row>
    <row r="764" spans="1:19" s="71" customFormat="1" ht="15.75" customHeight="1" x14ac:dyDescent="0.25">
      <c r="A764" s="236">
        <f t="shared" ref="A764:A772" si="220">A763+1</f>
        <v>18</v>
      </c>
      <c r="B764" s="236">
        <v>892</v>
      </c>
      <c r="C764" s="29" t="s">
        <v>193</v>
      </c>
      <c r="D764" s="13">
        <v>1994</v>
      </c>
      <c r="E764" s="13" t="s">
        <v>68</v>
      </c>
      <c r="F764" s="13" t="s">
        <v>82</v>
      </c>
      <c r="G764" s="9">
        <v>7811.9</v>
      </c>
      <c r="H764" s="9">
        <v>5985.4</v>
      </c>
      <c r="I764" s="11">
        <v>223</v>
      </c>
      <c r="J764" s="9">
        <f>'Форма 2'!I2795</f>
        <v>17901290.420000002</v>
      </c>
      <c r="K764" s="9">
        <v>0</v>
      </c>
      <c r="L764" s="9">
        <v>0</v>
      </c>
      <c r="M764" s="9">
        <v>0</v>
      </c>
      <c r="N764" s="9">
        <f t="shared" si="217"/>
        <v>17901290.420000002</v>
      </c>
      <c r="O764" s="9">
        <v>0</v>
      </c>
      <c r="P764" s="9">
        <f t="shared" si="218"/>
        <v>2990.83</v>
      </c>
      <c r="Q764" s="9">
        <f>'Форма 2'!K2795</f>
        <v>3878</v>
      </c>
      <c r="R764" s="37" t="s">
        <v>377</v>
      </c>
      <c r="S764" s="168">
        <v>1</v>
      </c>
    </row>
    <row r="765" spans="1:19" s="71" customFormat="1" ht="15.75" customHeight="1" x14ac:dyDescent="0.25">
      <c r="A765" s="236">
        <f t="shared" si="220"/>
        <v>19</v>
      </c>
      <c r="B765" s="236">
        <v>828</v>
      </c>
      <c r="C765" s="29" t="s">
        <v>194</v>
      </c>
      <c r="D765" s="13">
        <v>1988</v>
      </c>
      <c r="E765" s="13" t="s">
        <v>68</v>
      </c>
      <c r="F765" s="13" t="s">
        <v>82</v>
      </c>
      <c r="G765" s="9">
        <v>14358.52</v>
      </c>
      <c r="H765" s="9">
        <v>11340.2</v>
      </c>
      <c r="I765" s="11">
        <v>479</v>
      </c>
      <c r="J765" s="9">
        <f>'Форма 2'!I2798</f>
        <v>13870631</v>
      </c>
      <c r="K765" s="9">
        <v>0</v>
      </c>
      <c r="L765" s="9">
        <v>0</v>
      </c>
      <c r="M765" s="9">
        <v>0</v>
      </c>
      <c r="N765" s="9">
        <f t="shared" si="217"/>
        <v>13870631</v>
      </c>
      <c r="O765" s="9">
        <v>0</v>
      </c>
      <c r="P765" s="9">
        <f t="shared" si="218"/>
        <v>1223.1400000000001</v>
      </c>
      <c r="Q765" s="9">
        <f>'Форма 2'!K2798</f>
        <v>2492</v>
      </c>
      <c r="R765" s="37" t="s">
        <v>377</v>
      </c>
      <c r="S765" s="168">
        <v>1</v>
      </c>
    </row>
    <row r="766" spans="1:19" s="71" customFormat="1" ht="15.75" customHeight="1" x14ac:dyDescent="0.25">
      <c r="A766" s="236">
        <f t="shared" si="220"/>
        <v>20</v>
      </c>
      <c r="B766" s="236">
        <v>453</v>
      </c>
      <c r="C766" s="29" t="s">
        <v>98</v>
      </c>
      <c r="D766" s="13">
        <v>1963</v>
      </c>
      <c r="E766" s="13" t="s">
        <v>95</v>
      </c>
      <c r="F766" s="13" t="s">
        <v>82</v>
      </c>
      <c r="G766" s="9">
        <v>2721.1</v>
      </c>
      <c r="H766" s="9">
        <v>2506.3000000000002</v>
      </c>
      <c r="I766" s="11">
        <v>90</v>
      </c>
      <c r="J766" s="9">
        <f>'Форма 2'!I2801</f>
        <v>755836</v>
      </c>
      <c r="K766" s="9">
        <v>0</v>
      </c>
      <c r="L766" s="9">
        <v>0</v>
      </c>
      <c r="M766" s="9">
        <v>0</v>
      </c>
      <c r="N766" s="9">
        <f t="shared" si="217"/>
        <v>755836</v>
      </c>
      <c r="O766" s="9">
        <v>0</v>
      </c>
      <c r="P766" s="9">
        <f t="shared" si="218"/>
        <v>301.57</v>
      </c>
      <c r="Q766" s="9">
        <f>'Форма 2'!K2801</f>
        <v>362</v>
      </c>
      <c r="R766" s="37" t="s">
        <v>377</v>
      </c>
      <c r="S766" s="168">
        <v>1</v>
      </c>
    </row>
    <row r="767" spans="1:19" s="71" customFormat="1" ht="15.75" customHeight="1" x14ac:dyDescent="0.25">
      <c r="A767" s="236">
        <f t="shared" si="220"/>
        <v>21</v>
      </c>
      <c r="B767" s="236">
        <v>169</v>
      </c>
      <c r="C767" s="233" t="s">
        <v>741</v>
      </c>
      <c r="D767" s="13">
        <v>1952</v>
      </c>
      <c r="E767" s="13" t="s">
        <v>112</v>
      </c>
      <c r="F767" s="13" t="s">
        <v>82</v>
      </c>
      <c r="G767" s="9">
        <v>2166.1999999999998</v>
      </c>
      <c r="H767" s="9">
        <v>1896.3</v>
      </c>
      <c r="I767" s="11">
        <v>92</v>
      </c>
      <c r="J767" s="9">
        <f>'Форма 2'!I2804</f>
        <v>11635696.800000001</v>
      </c>
      <c r="K767" s="9">
        <v>0</v>
      </c>
      <c r="L767" s="9">
        <v>0</v>
      </c>
      <c r="M767" s="9">
        <v>0</v>
      </c>
      <c r="N767" s="9">
        <f t="shared" si="217"/>
        <v>11635696.800000001</v>
      </c>
      <c r="O767" s="9">
        <v>0</v>
      </c>
      <c r="P767" s="9">
        <f t="shared" si="218"/>
        <v>6136</v>
      </c>
      <c r="Q767" s="9">
        <f>'Форма 2'!K2804</f>
        <v>6136</v>
      </c>
      <c r="R767" s="37" t="s">
        <v>377</v>
      </c>
      <c r="S767" s="168">
        <v>1</v>
      </c>
    </row>
    <row r="768" spans="1:19" s="71" customFormat="1" ht="15" customHeight="1" x14ac:dyDescent="0.25">
      <c r="A768" s="236">
        <f t="shared" si="220"/>
        <v>22</v>
      </c>
      <c r="B768" s="236">
        <v>179</v>
      </c>
      <c r="C768" s="233" t="s">
        <v>625</v>
      </c>
      <c r="D768" s="13">
        <v>1953</v>
      </c>
      <c r="E768" s="13" t="s">
        <v>95</v>
      </c>
      <c r="F768" s="13" t="s">
        <v>82</v>
      </c>
      <c r="G768" s="9">
        <v>910.9</v>
      </c>
      <c r="H768" s="9">
        <v>840.9</v>
      </c>
      <c r="I768" s="11">
        <v>32</v>
      </c>
      <c r="J768" s="9">
        <f>'Форма 2'!I2807</f>
        <v>304405.8</v>
      </c>
      <c r="K768" s="9">
        <v>0</v>
      </c>
      <c r="L768" s="9">
        <v>0</v>
      </c>
      <c r="M768" s="9">
        <v>0</v>
      </c>
      <c r="N768" s="9">
        <f>J768-K768-L768-M768-O768</f>
        <v>304405.8</v>
      </c>
      <c r="O768" s="9">
        <v>0</v>
      </c>
      <c r="P768" s="9">
        <f>J768/H768</f>
        <v>362</v>
      </c>
      <c r="Q768" s="9">
        <f>'Форма 2'!K2807</f>
        <v>362</v>
      </c>
      <c r="R768" s="37" t="s">
        <v>377</v>
      </c>
      <c r="S768" s="168">
        <v>1</v>
      </c>
    </row>
    <row r="769" spans="1:19" s="71" customFormat="1" ht="15" customHeight="1" x14ac:dyDescent="0.25">
      <c r="A769" s="236">
        <f t="shared" si="220"/>
        <v>23</v>
      </c>
      <c r="B769" s="236">
        <v>262</v>
      </c>
      <c r="C769" s="233" t="s">
        <v>626</v>
      </c>
      <c r="D769" s="13">
        <v>1956</v>
      </c>
      <c r="E769" s="13" t="s">
        <v>95</v>
      </c>
      <c r="F769" s="13" t="s">
        <v>82</v>
      </c>
      <c r="G769" s="9">
        <v>1047.7</v>
      </c>
      <c r="H769" s="9">
        <v>990.5</v>
      </c>
      <c r="I769" s="11">
        <v>37</v>
      </c>
      <c r="J769" s="9">
        <f>'Форма 2'!I2810</f>
        <v>358561</v>
      </c>
      <c r="K769" s="9">
        <v>0</v>
      </c>
      <c r="L769" s="9">
        <v>0</v>
      </c>
      <c r="M769" s="9">
        <v>0</v>
      </c>
      <c r="N769" s="9">
        <f>J769-K769-L769-M769-O769</f>
        <v>358561</v>
      </c>
      <c r="O769" s="9">
        <v>0</v>
      </c>
      <c r="P769" s="9">
        <f>J769/H769</f>
        <v>362</v>
      </c>
      <c r="Q769" s="9">
        <f>'Форма 2'!K2810</f>
        <v>362</v>
      </c>
      <c r="R769" s="37" t="s">
        <v>377</v>
      </c>
      <c r="S769" s="168">
        <v>1</v>
      </c>
    </row>
    <row r="770" spans="1:19" s="71" customFormat="1" ht="15" customHeight="1" x14ac:dyDescent="0.25">
      <c r="A770" s="236">
        <f t="shared" si="220"/>
        <v>24</v>
      </c>
      <c r="B770" s="236">
        <v>263</v>
      </c>
      <c r="C770" s="233" t="s">
        <v>627</v>
      </c>
      <c r="D770" s="13">
        <v>1957</v>
      </c>
      <c r="E770" s="13" t="s">
        <v>95</v>
      </c>
      <c r="F770" s="13" t="s">
        <v>82</v>
      </c>
      <c r="G770" s="9">
        <v>1381.7</v>
      </c>
      <c r="H770" s="9">
        <v>994.7</v>
      </c>
      <c r="I770" s="11">
        <v>34</v>
      </c>
      <c r="J770" s="9">
        <f>'Форма 2'!I2813</f>
        <v>360081.4</v>
      </c>
      <c r="K770" s="9">
        <v>0</v>
      </c>
      <c r="L770" s="9">
        <v>0</v>
      </c>
      <c r="M770" s="9">
        <v>0</v>
      </c>
      <c r="N770" s="9">
        <f>J770-K770-L770-M770-O770</f>
        <v>360081.4</v>
      </c>
      <c r="O770" s="9">
        <v>0</v>
      </c>
      <c r="P770" s="9">
        <f>J770/H770</f>
        <v>362</v>
      </c>
      <c r="Q770" s="9">
        <f>'Форма 2'!K2813</f>
        <v>362</v>
      </c>
      <c r="R770" s="37" t="s">
        <v>377</v>
      </c>
      <c r="S770" s="168">
        <v>1</v>
      </c>
    </row>
    <row r="771" spans="1:19" s="71" customFormat="1" ht="15" customHeight="1" x14ac:dyDescent="0.25">
      <c r="A771" s="236">
        <f t="shared" si="220"/>
        <v>25</v>
      </c>
      <c r="B771" s="236">
        <v>245</v>
      </c>
      <c r="C771" s="233" t="s">
        <v>628</v>
      </c>
      <c r="D771" s="13">
        <v>1956</v>
      </c>
      <c r="E771" s="13" t="s">
        <v>95</v>
      </c>
      <c r="F771" s="13" t="s">
        <v>82</v>
      </c>
      <c r="G771" s="9">
        <v>2880.5</v>
      </c>
      <c r="H771" s="9">
        <v>2691.8</v>
      </c>
      <c r="I771" s="11">
        <v>95</v>
      </c>
      <c r="J771" s="9">
        <f>'Форма 2'!I2816</f>
        <v>974431.6</v>
      </c>
      <c r="K771" s="9">
        <v>0</v>
      </c>
      <c r="L771" s="9">
        <v>0</v>
      </c>
      <c r="M771" s="9">
        <v>0</v>
      </c>
      <c r="N771" s="9">
        <f>J771-K771-L771-M771-O771</f>
        <v>974431.6</v>
      </c>
      <c r="O771" s="9">
        <v>0</v>
      </c>
      <c r="P771" s="9">
        <f>J771/H771</f>
        <v>362</v>
      </c>
      <c r="Q771" s="9">
        <f>'Форма 2'!K2816</f>
        <v>362</v>
      </c>
      <c r="R771" s="37" t="s">
        <v>377</v>
      </c>
      <c r="S771" s="168">
        <v>1</v>
      </c>
    </row>
    <row r="772" spans="1:19" s="71" customFormat="1" ht="15" customHeight="1" x14ac:dyDescent="0.25">
      <c r="A772" s="236">
        <f t="shared" si="220"/>
        <v>26</v>
      </c>
      <c r="B772" s="236">
        <v>352</v>
      </c>
      <c r="C772" s="233" t="s">
        <v>629</v>
      </c>
      <c r="D772" s="13">
        <v>1960</v>
      </c>
      <c r="E772" s="13" t="s">
        <v>95</v>
      </c>
      <c r="F772" s="13" t="s">
        <v>82</v>
      </c>
      <c r="G772" s="9">
        <v>1774.22</v>
      </c>
      <c r="H772" s="9">
        <v>1250.22</v>
      </c>
      <c r="I772" s="11">
        <v>50</v>
      </c>
      <c r="J772" s="9">
        <f>'Форма 2'!I2819</f>
        <v>452579.64</v>
      </c>
      <c r="K772" s="9">
        <v>0</v>
      </c>
      <c r="L772" s="9">
        <v>0</v>
      </c>
      <c r="M772" s="9">
        <v>0</v>
      </c>
      <c r="N772" s="9">
        <f>J772-K772-L772-M772-O772</f>
        <v>452579.64</v>
      </c>
      <c r="O772" s="9">
        <v>0</v>
      </c>
      <c r="P772" s="9">
        <f>J772/H772</f>
        <v>362</v>
      </c>
      <c r="Q772" s="9">
        <f>'Форма 2'!K2819</f>
        <v>362</v>
      </c>
      <c r="R772" s="37" t="s">
        <v>377</v>
      </c>
      <c r="S772" s="168">
        <v>1</v>
      </c>
    </row>
    <row r="773" spans="1:19" s="71" customFormat="1" ht="15.75" customHeight="1" x14ac:dyDescent="0.25">
      <c r="A773" s="282" t="s">
        <v>101</v>
      </c>
      <c r="B773" s="282"/>
      <c r="C773" s="282"/>
      <c r="D773" s="13" t="s">
        <v>13</v>
      </c>
      <c r="E773" s="17" t="s">
        <v>13</v>
      </c>
      <c r="F773" s="17" t="s">
        <v>13</v>
      </c>
      <c r="G773" s="9">
        <f>SUM(G774:G783)</f>
        <v>148144.81</v>
      </c>
      <c r="H773" s="9">
        <f t="shared" ref="H773:O773" si="221">SUM(H774:H783)</f>
        <v>124955.88</v>
      </c>
      <c r="I773" s="11">
        <f t="shared" si="221"/>
        <v>4775</v>
      </c>
      <c r="J773" s="9">
        <f t="shared" si="221"/>
        <v>222376703.06</v>
      </c>
      <c r="K773" s="9">
        <f t="shared" si="221"/>
        <v>0</v>
      </c>
      <c r="L773" s="9">
        <f t="shared" si="221"/>
        <v>0</v>
      </c>
      <c r="M773" s="9">
        <f t="shared" si="221"/>
        <v>0</v>
      </c>
      <c r="N773" s="9">
        <f t="shared" si="221"/>
        <v>222376703.06</v>
      </c>
      <c r="O773" s="9">
        <f t="shared" si="221"/>
        <v>0</v>
      </c>
      <c r="P773" s="17" t="s">
        <v>13</v>
      </c>
      <c r="Q773" s="17" t="s">
        <v>13</v>
      </c>
      <c r="R773" s="17" t="s">
        <v>13</v>
      </c>
      <c r="S773" s="236" t="s">
        <v>13</v>
      </c>
    </row>
    <row r="774" spans="1:19" s="71" customFormat="1" ht="15" customHeight="1" x14ac:dyDescent="0.25">
      <c r="A774" s="236">
        <f>A772+1</f>
        <v>27</v>
      </c>
      <c r="B774" s="236">
        <v>1239</v>
      </c>
      <c r="C774" s="233" t="s">
        <v>630</v>
      </c>
      <c r="D774" s="13">
        <v>1993</v>
      </c>
      <c r="E774" s="13" t="s">
        <v>86</v>
      </c>
      <c r="F774" s="13" t="s">
        <v>82</v>
      </c>
      <c r="G774" s="9">
        <v>8398.2999999999993</v>
      </c>
      <c r="H774" s="9">
        <v>6398.3</v>
      </c>
      <c r="I774" s="11">
        <v>189</v>
      </c>
      <c r="J774" s="9">
        <f>'Форма 2'!I2822</f>
        <v>6868854</v>
      </c>
      <c r="K774" s="9">
        <v>0</v>
      </c>
      <c r="L774" s="9">
        <v>0</v>
      </c>
      <c r="M774" s="9">
        <v>0</v>
      </c>
      <c r="N774" s="9">
        <f>J774-K774-L774-M774-O774</f>
        <v>6868854</v>
      </c>
      <c r="O774" s="9">
        <v>0</v>
      </c>
      <c r="P774" s="9">
        <f>J774/H774</f>
        <v>1073.54</v>
      </c>
      <c r="Q774" s="9">
        <f>'Форма 2'!K2822</f>
        <v>1073.54</v>
      </c>
      <c r="R774" s="37" t="s">
        <v>377</v>
      </c>
      <c r="S774" s="168">
        <v>1</v>
      </c>
    </row>
    <row r="775" spans="1:19" s="71" customFormat="1" ht="15.75" customHeight="1" x14ac:dyDescent="0.25">
      <c r="A775" s="236">
        <f t="shared" ref="A775:A783" si="222">A774+1</f>
        <v>28</v>
      </c>
      <c r="B775" s="236">
        <v>1242</v>
      </c>
      <c r="C775" s="29" t="s">
        <v>198</v>
      </c>
      <c r="D775" s="13">
        <v>1985</v>
      </c>
      <c r="E775" s="13" t="s">
        <v>354</v>
      </c>
      <c r="F775" s="13" t="s">
        <v>114</v>
      </c>
      <c r="G775" s="9">
        <v>12311.8</v>
      </c>
      <c r="H775" s="9">
        <v>10059.200000000001</v>
      </c>
      <c r="I775" s="11">
        <v>292</v>
      </c>
      <c r="J775" s="9">
        <f>'Форма 2'!I2829</f>
        <v>13709491.09</v>
      </c>
      <c r="K775" s="9">
        <v>0</v>
      </c>
      <c r="L775" s="9">
        <v>0</v>
      </c>
      <c r="M775" s="9">
        <v>0</v>
      </c>
      <c r="N775" s="9">
        <f t="shared" ref="N775:N783" si="223">J775-K775-L775-M775-O775</f>
        <v>13709491.09</v>
      </c>
      <c r="O775" s="9">
        <v>0</v>
      </c>
      <c r="P775" s="9">
        <f t="shared" ref="P775:P783" si="224">J775/H775</f>
        <v>1362.88</v>
      </c>
      <c r="Q775" s="9">
        <f>'Форма 2'!K2829</f>
        <v>3419</v>
      </c>
      <c r="R775" s="37" t="s">
        <v>377</v>
      </c>
      <c r="S775" s="168">
        <v>1</v>
      </c>
    </row>
    <row r="776" spans="1:19" s="71" customFormat="1" ht="15" customHeight="1" x14ac:dyDescent="0.25">
      <c r="A776" s="236">
        <f t="shared" si="222"/>
        <v>29</v>
      </c>
      <c r="B776" s="236">
        <v>1397</v>
      </c>
      <c r="C776" s="233" t="s">
        <v>631</v>
      </c>
      <c r="D776" s="13">
        <v>1997</v>
      </c>
      <c r="E776" s="13" t="s">
        <v>86</v>
      </c>
      <c r="F776" s="13" t="s">
        <v>82</v>
      </c>
      <c r="G776" s="9">
        <v>8350.7999999999993</v>
      </c>
      <c r="H776" s="9">
        <v>7809.1</v>
      </c>
      <c r="I776" s="11">
        <v>295</v>
      </c>
      <c r="J776" s="9">
        <f>'Форма 2'!I2836</f>
        <v>9158472</v>
      </c>
      <c r="K776" s="9">
        <v>0</v>
      </c>
      <c r="L776" s="9">
        <v>0</v>
      </c>
      <c r="M776" s="9">
        <v>0</v>
      </c>
      <c r="N776" s="9">
        <f>J776-K776-L776-M776-O776</f>
        <v>9158472</v>
      </c>
      <c r="O776" s="9">
        <v>0</v>
      </c>
      <c r="P776" s="9">
        <f>J776/H776</f>
        <v>1172.79</v>
      </c>
      <c r="Q776" s="9">
        <f>'Форма 2'!K2836</f>
        <v>1172.79</v>
      </c>
      <c r="R776" s="37" t="s">
        <v>377</v>
      </c>
      <c r="S776" s="168">
        <v>1</v>
      </c>
    </row>
    <row r="777" spans="1:19" s="71" customFormat="1" ht="15.75" customHeight="1" x14ac:dyDescent="0.25">
      <c r="A777" s="236">
        <f t="shared" si="222"/>
        <v>30</v>
      </c>
      <c r="B777" s="236">
        <v>1279</v>
      </c>
      <c r="C777" s="29" t="s">
        <v>370</v>
      </c>
      <c r="D777" s="13">
        <v>1995</v>
      </c>
      <c r="E777" s="13" t="s">
        <v>68</v>
      </c>
      <c r="F777" s="13" t="s">
        <v>82</v>
      </c>
      <c r="G777" s="9">
        <v>5034</v>
      </c>
      <c r="H777" s="9">
        <v>4031.2</v>
      </c>
      <c r="I777" s="11">
        <v>105</v>
      </c>
      <c r="J777" s="9">
        <f>'Форма 2'!I2845</f>
        <v>15632993.6</v>
      </c>
      <c r="K777" s="9">
        <v>0</v>
      </c>
      <c r="L777" s="9">
        <v>0</v>
      </c>
      <c r="M777" s="9">
        <v>0</v>
      </c>
      <c r="N777" s="9">
        <f t="shared" si="223"/>
        <v>15632993.6</v>
      </c>
      <c r="O777" s="9">
        <v>0</v>
      </c>
      <c r="P777" s="9">
        <f t="shared" si="224"/>
        <v>3878</v>
      </c>
      <c r="Q777" s="9">
        <f>'Форма 2'!K2845</f>
        <v>3878</v>
      </c>
      <c r="R777" s="37" t="s">
        <v>377</v>
      </c>
      <c r="S777" s="168">
        <v>1</v>
      </c>
    </row>
    <row r="778" spans="1:19" s="71" customFormat="1" ht="15.75" customHeight="1" x14ac:dyDescent="0.25">
      <c r="A778" s="236">
        <f>A777+1</f>
        <v>31</v>
      </c>
      <c r="B778" s="236">
        <v>1057</v>
      </c>
      <c r="C778" s="233" t="s">
        <v>535</v>
      </c>
      <c r="D778" s="13" t="s">
        <v>548</v>
      </c>
      <c r="E778" s="13" t="s">
        <v>68</v>
      </c>
      <c r="F778" s="13" t="s">
        <v>82</v>
      </c>
      <c r="G778" s="9">
        <v>20649.8</v>
      </c>
      <c r="H778" s="9">
        <v>15850.4</v>
      </c>
      <c r="I778" s="11">
        <v>599</v>
      </c>
      <c r="J778" s="9">
        <f>'Форма 2'!I2848</f>
        <v>39499196.799999997</v>
      </c>
      <c r="K778" s="9">
        <v>0</v>
      </c>
      <c r="L778" s="9">
        <v>0</v>
      </c>
      <c r="M778" s="9">
        <v>0</v>
      </c>
      <c r="N778" s="9">
        <f t="shared" si="223"/>
        <v>39499196.799999997</v>
      </c>
      <c r="O778" s="9">
        <v>0</v>
      </c>
      <c r="P778" s="9">
        <f t="shared" si="224"/>
        <v>2492</v>
      </c>
      <c r="Q778" s="9">
        <f>'Форма 2'!K2848</f>
        <v>2492</v>
      </c>
      <c r="R778" s="37" t="s">
        <v>377</v>
      </c>
      <c r="S778" s="168">
        <v>1</v>
      </c>
    </row>
    <row r="779" spans="1:19" s="71" customFormat="1" ht="15" customHeight="1" x14ac:dyDescent="0.25">
      <c r="A779" s="236">
        <f t="shared" si="222"/>
        <v>32</v>
      </c>
      <c r="B779" s="236">
        <v>1020</v>
      </c>
      <c r="C779" s="233" t="s">
        <v>632</v>
      </c>
      <c r="D779" s="13">
        <v>1958</v>
      </c>
      <c r="E779" s="13" t="s">
        <v>95</v>
      </c>
      <c r="F779" s="13" t="s">
        <v>82</v>
      </c>
      <c r="G779" s="9">
        <v>2254.0100000000002</v>
      </c>
      <c r="H779" s="9">
        <v>2062.31</v>
      </c>
      <c r="I779" s="11">
        <v>79</v>
      </c>
      <c r="J779" s="9">
        <f>'Форма 2'!I2851</f>
        <v>746556.22</v>
      </c>
      <c r="K779" s="9">
        <v>0</v>
      </c>
      <c r="L779" s="9">
        <v>0</v>
      </c>
      <c r="M779" s="9">
        <v>0</v>
      </c>
      <c r="N779" s="9">
        <f t="shared" si="223"/>
        <v>746556.22</v>
      </c>
      <c r="O779" s="9">
        <v>0</v>
      </c>
      <c r="P779" s="9">
        <f t="shared" si="224"/>
        <v>362</v>
      </c>
      <c r="Q779" s="9">
        <f>'Форма 2'!K2851</f>
        <v>362</v>
      </c>
      <c r="R779" s="37" t="s">
        <v>377</v>
      </c>
      <c r="S779" s="168">
        <v>1</v>
      </c>
    </row>
    <row r="780" spans="1:19" s="71" customFormat="1" ht="15.75" customHeight="1" x14ac:dyDescent="0.25">
      <c r="A780" s="236">
        <f t="shared" si="222"/>
        <v>33</v>
      </c>
      <c r="B780" s="236">
        <v>1417</v>
      </c>
      <c r="C780" s="29" t="s">
        <v>371</v>
      </c>
      <c r="D780" s="13">
        <v>1988</v>
      </c>
      <c r="E780" s="13" t="s">
        <v>68</v>
      </c>
      <c r="F780" s="13" t="s">
        <v>82</v>
      </c>
      <c r="G780" s="9">
        <v>42248.3</v>
      </c>
      <c r="H780" s="9">
        <v>37493.51</v>
      </c>
      <c r="I780" s="11">
        <v>1666</v>
      </c>
      <c r="J780" s="9">
        <f>'Форма 2'!I2854</f>
        <v>53295852.82</v>
      </c>
      <c r="K780" s="9">
        <v>0</v>
      </c>
      <c r="L780" s="9">
        <v>0</v>
      </c>
      <c r="M780" s="9">
        <v>0</v>
      </c>
      <c r="N780" s="9">
        <f t="shared" si="223"/>
        <v>53295852.82</v>
      </c>
      <c r="O780" s="9">
        <v>0</v>
      </c>
      <c r="P780" s="9">
        <f t="shared" si="224"/>
        <v>1421.47</v>
      </c>
      <c r="Q780" s="9">
        <f>'Форма 2'!K2854</f>
        <v>2492</v>
      </c>
      <c r="R780" s="37" t="s">
        <v>377</v>
      </c>
      <c r="S780" s="168">
        <v>1</v>
      </c>
    </row>
    <row r="781" spans="1:19" s="71" customFormat="1" ht="15.75" customHeight="1" x14ac:dyDescent="0.25">
      <c r="A781" s="236">
        <f t="shared" si="222"/>
        <v>34</v>
      </c>
      <c r="B781" s="236">
        <v>1362</v>
      </c>
      <c r="C781" s="29" t="s">
        <v>199</v>
      </c>
      <c r="D781" s="13">
        <v>1983</v>
      </c>
      <c r="E781" s="13" t="s">
        <v>89</v>
      </c>
      <c r="F781" s="13" t="s">
        <v>114</v>
      </c>
      <c r="G781" s="9">
        <v>21732</v>
      </c>
      <c r="H781" s="9">
        <v>16594.099999999999</v>
      </c>
      <c r="I781" s="11">
        <v>624</v>
      </c>
      <c r="J781" s="9">
        <f>'Форма 2'!I2857</f>
        <v>19079896.18</v>
      </c>
      <c r="K781" s="9">
        <v>0</v>
      </c>
      <c r="L781" s="9">
        <v>0</v>
      </c>
      <c r="M781" s="9">
        <v>0</v>
      </c>
      <c r="N781" s="9">
        <f t="shared" si="223"/>
        <v>19079896.18</v>
      </c>
      <c r="O781" s="9">
        <v>0</v>
      </c>
      <c r="P781" s="9">
        <f t="shared" si="224"/>
        <v>1149.8</v>
      </c>
      <c r="Q781" s="9">
        <f>'Форма 2'!K2857</f>
        <v>1628</v>
      </c>
      <c r="R781" s="37" t="s">
        <v>377</v>
      </c>
      <c r="S781" s="168">
        <v>1</v>
      </c>
    </row>
    <row r="782" spans="1:19" s="71" customFormat="1" ht="15.75" customHeight="1" x14ac:dyDescent="0.25">
      <c r="A782" s="236">
        <f t="shared" si="222"/>
        <v>35</v>
      </c>
      <c r="B782" s="236">
        <v>1628</v>
      </c>
      <c r="C782" s="29" t="s">
        <v>104</v>
      </c>
      <c r="D782" s="13">
        <v>1978</v>
      </c>
      <c r="E782" s="13" t="s">
        <v>68</v>
      </c>
      <c r="F782" s="13" t="s">
        <v>82</v>
      </c>
      <c r="G782" s="9">
        <v>6619.2</v>
      </c>
      <c r="H782" s="9">
        <v>6113.76</v>
      </c>
      <c r="I782" s="11">
        <v>288</v>
      </c>
      <c r="J782" s="9">
        <f>'Форма 2'!I2860</f>
        <v>18173742.350000001</v>
      </c>
      <c r="K782" s="9">
        <v>0</v>
      </c>
      <c r="L782" s="9">
        <v>0</v>
      </c>
      <c r="M782" s="9">
        <v>0</v>
      </c>
      <c r="N782" s="9">
        <f t="shared" si="223"/>
        <v>18173742.350000001</v>
      </c>
      <c r="O782" s="9">
        <v>0</v>
      </c>
      <c r="P782" s="9">
        <f t="shared" si="224"/>
        <v>2972.6</v>
      </c>
      <c r="Q782" s="9">
        <f>'Форма 2'!K2860</f>
        <v>3878</v>
      </c>
      <c r="R782" s="37" t="s">
        <v>377</v>
      </c>
      <c r="S782" s="168">
        <v>1</v>
      </c>
    </row>
    <row r="783" spans="1:19" s="71" customFormat="1" ht="15.75" customHeight="1" x14ac:dyDescent="0.25">
      <c r="A783" s="236">
        <f t="shared" si="222"/>
        <v>36</v>
      </c>
      <c r="B783" s="236">
        <v>1473</v>
      </c>
      <c r="C783" s="29" t="s">
        <v>200</v>
      </c>
      <c r="D783" s="13">
        <v>1985</v>
      </c>
      <c r="E783" s="13" t="s">
        <v>68</v>
      </c>
      <c r="F783" s="13" t="s">
        <v>82</v>
      </c>
      <c r="G783" s="9">
        <v>20546.599999999999</v>
      </c>
      <c r="H783" s="9">
        <v>18544</v>
      </c>
      <c r="I783" s="11">
        <v>638</v>
      </c>
      <c r="J783" s="9">
        <f>'Форма 2'!I2863</f>
        <v>46211648</v>
      </c>
      <c r="K783" s="9">
        <v>0</v>
      </c>
      <c r="L783" s="9">
        <v>0</v>
      </c>
      <c r="M783" s="9">
        <v>0</v>
      </c>
      <c r="N783" s="9">
        <f t="shared" si="223"/>
        <v>46211648</v>
      </c>
      <c r="O783" s="9">
        <v>0</v>
      </c>
      <c r="P783" s="9">
        <f t="shared" si="224"/>
        <v>2492</v>
      </c>
      <c r="Q783" s="9">
        <f>'Форма 2'!K2863</f>
        <v>2492</v>
      </c>
      <c r="R783" s="37" t="s">
        <v>377</v>
      </c>
      <c r="S783" s="168">
        <v>1</v>
      </c>
    </row>
    <row r="784" spans="1:19" s="71" customFormat="1" ht="15.75" customHeight="1" x14ac:dyDescent="0.25">
      <c r="A784" s="282" t="s">
        <v>105</v>
      </c>
      <c r="B784" s="282"/>
      <c r="C784" s="282"/>
      <c r="D784" s="13" t="s">
        <v>13</v>
      </c>
      <c r="E784" s="17" t="s">
        <v>13</v>
      </c>
      <c r="F784" s="17" t="s">
        <v>13</v>
      </c>
      <c r="G784" s="9">
        <f>SUM(G785:G815)</f>
        <v>173143.99</v>
      </c>
      <c r="H784" s="9">
        <f t="shared" ref="H784:O784" si="225">SUM(H785:H815)</f>
        <v>144135.67999999999</v>
      </c>
      <c r="I784" s="11">
        <f t="shared" si="225"/>
        <v>5079</v>
      </c>
      <c r="J784" s="9">
        <f t="shared" si="225"/>
        <v>267577644.19</v>
      </c>
      <c r="K784" s="9">
        <f t="shared" si="225"/>
        <v>0</v>
      </c>
      <c r="L784" s="9">
        <f t="shared" si="225"/>
        <v>0</v>
      </c>
      <c r="M784" s="9">
        <f t="shared" si="225"/>
        <v>0</v>
      </c>
      <c r="N784" s="9">
        <f t="shared" si="225"/>
        <v>267577644.19</v>
      </c>
      <c r="O784" s="9">
        <f t="shared" si="225"/>
        <v>0</v>
      </c>
      <c r="P784" s="17" t="s">
        <v>13</v>
      </c>
      <c r="Q784" s="17" t="s">
        <v>13</v>
      </c>
      <c r="R784" s="17" t="s">
        <v>13</v>
      </c>
      <c r="S784" s="236" t="s">
        <v>13</v>
      </c>
    </row>
    <row r="785" spans="1:19" s="71" customFormat="1" ht="15.75" customHeight="1" x14ac:dyDescent="0.25">
      <c r="A785" s="236">
        <f>A783+1</f>
        <v>37</v>
      </c>
      <c r="B785" s="236">
        <v>3130</v>
      </c>
      <c r="C785" s="233" t="s">
        <v>742</v>
      </c>
      <c r="D785" s="13">
        <v>1969</v>
      </c>
      <c r="E785" s="13" t="s">
        <v>68</v>
      </c>
      <c r="F785" s="13" t="s">
        <v>82</v>
      </c>
      <c r="G785" s="9">
        <v>3981.3</v>
      </c>
      <c r="H785" s="9">
        <v>3111.2</v>
      </c>
      <c r="I785" s="11">
        <v>108</v>
      </c>
      <c r="J785" s="9">
        <f>'Форма 2'!I2866</f>
        <v>12065233.6</v>
      </c>
      <c r="K785" s="9">
        <v>0</v>
      </c>
      <c r="L785" s="9">
        <v>0</v>
      </c>
      <c r="M785" s="9">
        <v>0</v>
      </c>
      <c r="N785" s="9">
        <f t="shared" ref="N785" si="226">J785-K785-L785-M785-O785</f>
        <v>12065233.6</v>
      </c>
      <c r="O785" s="9">
        <v>0</v>
      </c>
      <c r="P785" s="9">
        <f t="shared" ref="P785" si="227">J785/H785</f>
        <v>3878</v>
      </c>
      <c r="Q785" s="9">
        <f>'Форма 2'!K2866</f>
        <v>3878</v>
      </c>
      <c r="R785" s="37" t="s">
        <v>377</v>
      </c>
      <c r="S785" s="168">
        <v>1</v>
      </c>
    </row>
    <row r="786" spans="1:19" s="71" customFormat="1" ht="15" customHeight="1" x14ac:dyDescent="0.25">
      <c r="A786" s="236">
        <f>A785+1</f>
        <v>38</v>
      </c>
      <c r="B786" s="236">
        <v>3379</v>
      </c>
      <c r="C786" s="233" t="s">
        <v>633</v>
      </c>
      <c r="D786" s="13">
        <v>1956</v>
      </c>
      <c r="E786" s="13" t="s">
        <v>68</v>
      </c>
      <c r="F786" s="13" t="s">
        <v>82</v>
      </c>
      <c r="G786" s="9">
        <v>2034.36</v>
      </c>
      <c r="H786" s="9">
        <v>1879.46</v>
      </c>
      <c r="I786" s="11">
        <v>77</v>
      </c>
      <c r="J786" s="9">
        <f>'Форма 2'!I2869</f>
        <v>9667942.2400000002</v>
      </c>
      <c r="K786" s="9">
        <v>0</v>
      </c>
      <c r="L786" s="9">
        <v>0</v>
      </c>
      <c r="M786" s="9">
        <v>0</v>
      </c>
      <c r="N786" s="9">
        <f>J786-K786-L786-M786-O786</f>
        <v>9667942.2400000002</v>
      </c>
      <c r="O786" s="9">
        <v>0</v>
      </c>
      <c r="P786" s="9">
        <f>J786/H786</f>
        <v>5144</v>
      </c>
      <c r="Q786" s="9">
        <f>'Форма 2'!K2869</f>
        <v>5144</v>
      </c>
      <c r="R786" s="37" t="s">
        <v>377</v>
      </c>
      <c r="S786" s="168">
        <v>1</v>
      </c>
    </row>
    <row r="787" spans="1:19" s="71" customFormat="1" ht="15" customHeight="1" x14ac:dyDescent="0.25">
      <c r="A787" s="236">
        <f t="shared" ref="A787" si="228">A786+1</f>
        <v>39</v>
      </c>
      <c r="B787" s="236">
        <v>3053</v>
      </c>
      <c r="C787" s="233" t="s">
        <v>743</v>
      </c>
      <c r="D787" s="13">
        <v>1968</v>
      </c>
      <c r="E787" s="13" t="s">
        <v>68</v>
      </c>
      <c r="F787" s="13" t="s">
        <v>82</v>
      </c>
      <c r="G787" s="9">
        <v>3910.58</v>
      </c>
      <c r="H787" s="9">
        <v>3625.88</v>
      </c>
      <c r="I787" s="11">
        <v>137</v>
      </c>
      <c r="J787" s="9">
        <f>'Форма 2'!I2872</f>
        <v>14061162.640000001</v>
      </c>
      <c r="K787" s="9">
        <v>0</v>
      </c>
      <c r="L787" s="9">
        <v>0</v>
      </c>
      <c r="M787" s="9">
        <v>0</v>
      </c>
      <c r="N787" s="9">
        <f t="shared" ref="N787" si="229">J787-K787-L787-M787-O787</f>
        <v>14061162.640000001</v>
      </c>
      <c r="O787" s="9">
        <v>0</v>
      </c>
      <c r="P787" s="9">
        <f t="shared" ref="P787" si="230">J787/H787</f>
        <v>3878</v>
      </c>
      <c r="Q787" s="9">
        <f>'Форма 2'!K2872</f>
        <v>3878</v>
      </c>
      <c r="R787" s="37" t="s">
        <v>377</v>
      </c>
      <c r="S787" s="168">
        <v>1</v>
      </c>
    </row>
    <row r="788" spans="1:19" s="71" customFormat="1" ht="15" customHeight="1" x14ac:dyDescent="0.25">
      <c r="A788" s="236">
        <f t="shared" ref="A788:A790" si="231">A787+1</f>
        <v>40</v>
      </c>
      <c r="B788" s="236">
        <v>3081</v>
      </c>
      <c r="C788" s="233" t="s">
        <v>634</v>
      </c>
      <c r="D788" s="13">
        <v>1990</v>
      </c>
      <c r="E788" s="13" t="s">
        <v>86</v>
      </c>
      <c r="F788" s="13" t="s">
        <v>82</v>
      </c>
      <c r="G788" s="9">
        <v>15156.7</v>
      </c>
      <c r="H788" s="9">
        <v>12256.9</v>
      </c>
      <c r="I788" s="11">
        <v>379</v>
      </c>
      <c r="J788" s="9">
        <f>'Форма 2'!I2875</f>
        <v>6868854</v>
      </c>
      <c r="K788" s="9">
        <v>0</v>
      </c>
      <c r="L788" s="9">
        <v>0</v>
      </c>
      <c r="M788" s="9">
        <v>0</v>
      </c>
      <c r="N788" s="9">
        <f>J788-K788-L788-M788-O788</f>
        <v>6868854</v>
      </c>
      <c r="O788" s="9">
        <v>0</v>
      </c>
      <c r="P788" s="9">
        <f>J788/H788</f>
        <v>560.41</v>
      </c>
      <c r="Q788" s="9">
        <f>'Форма 2'!K2875</f>
        <v>560.41</v>
      </c>
      <c r="R788" s="37" t="s">
        <v>377</v>
      </c>
      <c r="S788" s="168">
        <v>1</v>
      </c>
    </row>
    <row r="789" spans="1:19" s="71" customFormat="1" ht="15" customHeight="1" x14ac:dyDescent="0.25">
      <c r="A789" s="236">
        <f t="shared" si="231"/>
        <v>41</v>
      </c>
      <c r="B789" s="236">
        <v>3162</v>
      </c>
      <c r="C789" s="233" t="s">
        <v>744</v>
      </c>
      <c r="D789" s="13">
        <v>1973</v>
      </c>
      <c r="E789" s="13" t="s">
        <v>68</v>
      </c>
      <c r="F789" s="13" t="s">
        <v>82</v>
      </c>
      <c r="G789" s="9">
        <v>2906</v>
      </c>
      <c r="H789" s="9">
        <v>2639.6</v>
      </c>
      <c r="I789" s="11">
        <v>100</v>
      </c>
      <c r="J789" s="9">
        <f>'Форма 2'!I2882</f>
        <v>10236368.800000001</v>
      </c>
      <c r="K789" s="9">
        <v>0</v>
      </c>
      <c r="L789" s="9">
        <v>0</v>
      </c>
      <c r="M789" s="9">
        <v>0</v>
      </c>
      <c r="N789" s="9">
        <f t="shared" ref="N789" si="232">J789-K789-L789-M789-O789</f>
        <v>10236368.800000001</v>
      </c>
      <c r="O789" s="9">
        <v>0</v>
      </c>
      <c r="P789" s="9">
        <f t="shared" ref="P789" si="233">J789/H789</f>
        <v>3878</v>
      </c>
      <c r="Q789" s="9">
        <f>'Форма 2'!K2882</f>
        <v>3878</v>
      </c>
      <c r="R789" s="37" t="s">
        <v>377</v>
      </c>
      <c r="S789" s="168">
        <v>1</v>
      </c>
    </row>
    <row r="790" spans="1:19" s="71" customFormat="1" ht="15" customHeight="1" x14ac:dyDescent="0.25">
      <c r="A790" s="236">
        <f t="shared" si="231"/>
        <v>42</v>
      </c>
      <c r="B790" s="236">
        <v>4374</v>
      </c>
      <c r="C790" s="233" t="s">
        <v>635</v>
      </c>
      <c r="D790" s="13">
        <v>1995</v>
      </c>
      <c r="E790" s="13" t="s">
        <v>86</v>
      </c>
      <c r="F790" s="13" t="s">
        <v>82</v>
      </c>
      <c r="G790" s="9">
        <v>8883.2999999999993</v>
      </c>
      <c r="H790" s="9">
        <v>6931.5</v>
      </c>
      <c r="I790" s="11">
        <v>262</v>
      </c>
      <c r="J790" s="9">
        <f>'Форма 2'!I2885</f>
        <v>6868854</v>
      </c>
      <c r="K790" s="9">
        <v>0</v>
      </c>
      <c r="L790" s="9">
        <v>0</v>
      </c>
      <c r="M790" s="9">
        <v>0</v>
      </c>
      <c r="N790" s="9">
        <f>J790-K790-L790-M790-O790</f>
        <v>6868854</v>
      </c>
      <c r="O790" s="9">
        <v>0</v>
      </c>
      <c r="P790" s="9">
        <f>J790/H790</f>
        <v>990.96</v>
      </c>
      <c r="Q790" s="9">
        <f>'Форма 2'!K2885</f>
        <v>990.96</v>
      </c>
      <c r="R790" s="37" t="s">
        <v>377</v>
      </c>
      <c r="S790" s="168">
        <v>1</v>
      </c>
    </row>
    <row r="791" spans="1:19" s="71" customFormat="1" ht="15.75" customHeight="1" x14ac:dyDescent="0.25">
      <c r="A791" s="236">
        <f t="shared" ref="A791:A815" si="234">A790+1</f>
        <v>43</v>
      </c>
      <c r="B791" s="236">
        <v>4329</v>
      </c>
      <c r="C791" s="29" t="s">
        <v>109</v>
      </c>
      <c r="D791" s="13">
        <v>1989</v>
      </c>
      <c r="E791" s="13" t="s">
        <v>68</v>
      </c>
      <c r="F791" s="13" t="s">
        <v>82</v>
      </c>
      <c r="G791" s="9">
        <v>8753.5</v>
      </c>
      <c r="H791" s="9">
        <v>7336.1</v>
      </c>
      <c r="I791" s="11">
        <v>253</v>
      </c>
      <c r="J791" s="9">
        <f>'Форма 2'!I2892</f>
        <v>15249632.75</v>
      </c>
      <c r="K791" s="9">
        <v>0</v>
      </c>
      <c r="L791" s="9">
        <v>0</v>
      </c>
      <c r="M791" s="9">
        <v>0</v>
      </c>
      <c r="N791" s="9">
        <f t="shared" ref="N791:N815" si="235">J791-K791-L791-M791-O791</f>
        <v>15249632.75</v>
      </c>
      <c r="O791" s="9">
        <v>0</v>
      </c>
      <c r="P791" s="9">
        <f t="shared" ref="P791:P815" si="236">J791/H791</f>
        <v>2078.71</v>
      </c>
      <c r="Q791" s="9">
        <f>'Форма 2'!K2892</f>
        <v>2492</v>
      </c>
      <c r="R791" s="37" t="s">
        <v>377</v>
      </c>
      <c r="S791" s="168">
        <v>1</v>
      </c>
    </row>
    <row r="792" spans="1:19" s="71" customFormat="1" ht="15.75" customHeight="1" x14ac:dyDescent="0.25">
      <c r="A792" s="236">
        <f t="shared" si="234"/>
        <v>44</v>
      </c>
      <c r="B792" s="236">
        <v>4335</v>
      </c>
      <c r="C792" s="29" t="s">
        <v>530</v>
      </c>
      <c r="D792" s="17">
        <v>1966</v>
      </c>
      <c r="E792" s="13" t="s">
        <v>112</v>
      </c>
      <c r="F792" s="13" t="s">
        <v>87</v>
      </c>
      <c r="G792" s="9">
        <v>3606.8</v>
      </c>
      <c r="H792" s="9">
        <v>2109.1999999999998</v>
      </c>
      <c r="I792" s="65">
        <v>80</v>
      </c>
      <c r="J792" s="9">
        <f>'Форма 2'!I2895</f>
        <v>3904129.2</v>
      </c>
      <c r="K792" s="9">
        <v>0</v>
      </c>
      <c r="L792" s="9">
        <v>0</v>
      </c>
      <c r="M792" s="9">
        <v>0</v>
      </c>
      <c r="N792" s="9">
        <f>J792-K792-L792-M792-O792</f>
        <v>3904129.2</v>
      </c>
      <c r="O792" s="9">
        <v>0</v>
      </c>
      <c r="P792" s="9">
        <f>J792/H792</f>
        <v>1851</v>
      </c>
      <c r="Q792" s="9">
        <f>'Форма 2'!K2895</f>
        <v>1851</v>
      </c>
      <c r="R792" s="37" t="s">
        <v>377</v>
      </c>
      <c r="S792" s="168">
        <v>1</v>
      </c>
    </row>
    <row r="793" spans="1:19" s="71" customFormat="1" ht="15.75" customHeight="1" x14ac:dyDescent="0.25">
      <c r="A793" s="236">
        <f t="shared" si="234"/>
        <v>45</v>
      </c>
      <c r="B793" s="236">
        <v>3112</v>
      </c>
      <c r="C793" s="29" t="s">
        <v>373</v>
      </c>
      <c r="D793" s="13">
        <v>1983</v>
      </c>
      <c r="E793" s="13" t="s">
        <v>68</v>
      </c>
      <c r="F793" s="13" t="s">
        <v>82</v>
      </c>
      <c r="G793" s="9">
        <v>21446.799999999999</v>
      </c>
      <c r="H793" s="9">
        <v>16849.099999999999</v>
      </c>
      <c r="I793" s="11">
        <v>546</v>
      </c>
      <c r="J793" s="9">
        <f>'Форма 2'!I2899</f>
        <v>41987957.200000003</v>
      </c>
      <c r="K793" s="9">
        <v>0</v>
      </c>
      <c r="L793" s="9">
        <v>0</v>
      </c>
      <c r="M793" s="9">
        <v>0</v>
      </c>
      <c r="N793" s="9">
        <f t="shared" si="235"/>
        <v>41987957.200000003</v>
      </c>
      <c r="O793" s="9">
        <v>0</v>
      </c>
      <c r="P793" s="9">
        <f t="shared" si="236"/>
        <v>2492</v>
      </c>
      <c r="Q793" s="9">
        <f>'Форма 2'!K2899</f>
        <v>2492</v>
      </c>
      <c r="R793" s="37" t="s">
        <v>377</v>
      </c>
      <c r="S793" s="168">
        <v>1</v>
      </c>
    </row>
    <row r="794" spans="1:19" s="71" customFormat="1" ht="15" customHeight="1" x14ac:dyDescent="0.25">
      <c r="A794" s="236">
        <f t="shared" si="234"/>
        <v>46</v>
      </c>
      <c r="B794" s="236">
        <v>3103</v>
      </c>
      <c r="C794" s="233" t="s">
        <v>636</v>
      </c>
      <c r="D794" s="13">
        <v>1960</v>
      </c>
      <c r="E794" s="13" t="s">
        <v>95</v>
      </c>
      <c r="F794" s="13" t="s">
        <v>82</v>
      </c>
      <c r="G794" s="9">
        <v>3257.1</v>
      </c>
      <c r="H794" s="9">
        <v>2533.89</v>
      </c>
      <c r="I794" s="11">
        <v>109</v>
      </c>
      <c r="J794" s="9">
        <f>'Форма 2'!I2902</f>
        <v>917268.18</v>
      </c>
      <c r="K794" s="9">
        <v>0</v>
      </c>
      <c r="L794" s="9">
        <v>0</v>
      </c>
      <c r="M794" s="9">
        <v>0</v>
      </c>
      <c r="N794" s="9">
        <f t="shared" si="235"/>
        <v>917268.18</v>
      </c>
      <c r="O794" s="9">
        <v>0</v>
      </c>
      <c r="P794" s="9">
        <f t="shared" si="236"/>
        <v>362</v>
      </c>
      <c r="Q794" s="9">
        <f>'Форма 2'!K2902</f>
        <v>362</v>
      </c>
      <c r="R794" s="37" t="s">
        <v>377</v>
      </c>
      <c r="S794" s="168">
        <v>1</v>
      </c>
    </row>
    <row r="795" spans="1:19" s="71" customFormat="1" ht="15" customHeight="1" x14ac:dyDescent="0.25">
      <c r="A795" s="236">
        <f t="shared" si="234"/>
        <v>47</v>
      </c>
      <c r="B795" s="236">
        <v>3105</v>
      </c>
      <c r="C795" s="233" t="s">
        <v>208</v>
      </c>
      <c r="D795" s="13">
        <v>1995</v>
      </c>
      <c r="E795" s="13" t="s">
        <v>86</v>
      </c>
      <c r="F795" s="13" t="s">
        <v>82</v>
      </c>
      <c r="G795" s="9">
        <v>14149.1</v>
      </c>
      <c r="H795" s="9">
        <v>11658.1</v>
      </c>
      <c r="I795" s="11">
        <v>440</v>
      </c>
      <c r="J795" s="9">
        <f>'Форма 2'!I2905</f>
        <v>11448090</v>
      </c>
      <c r="K795" s="9">
        <v>0</v>
      </c>
      <c r="L795" s="9">
        <v>0</v>
      </c>
      <c r="M795" s="9">
        <v>0</v>
      </c>
      <c r="N795" s="9">
        <f t="shared" si="235"/>
        <v>11448090</v>
      </c>
      <c r="O795" s="9">
        <v>0</v>
      </c>
      <c r="P795" s="9">
        <f t="shared" si="236"/>
        <v>981.99</v>
      </c>
      <c r="Q795" s="9">
        <f>'Форма 2'!K2905</f>
        <v>981.99</v>
      </c>
      <c r="R795" s="37" t="s">
        <v>377</v>
      </c>
      <c r="S795" s="168">
        <v>1</v>
      </c>
    </row>
    <row r="796" spans="1:19" s="71" customFormat="1" ht="15" customHeight="1" x14ac:dyDescent="0.25">
      <c r="A796" s="236">
        <f t="shared" si="234"/>
        <v>48</v>
      </c>
      <c r="B796" s="236">
        <v>3317</v>
      </c>
      <c r="C796" s="233" t="s">
        <v>745</v>
      </c>
      <c r="D796" s="13">
        <v>1971</v>
      </c>
      <c r="E796" s="13" t="s">
        <v>68</v>
      </c>
      <c r="F796" s="13" t="s">
        <v>82</v>
      </c>
      <c r="G796" s="9">
        <v>3788.65</v>
      </c>
      <c r="H796" s="9">
        <v>3508.25</v>
      </c>
      <c r="I796" s="11">
        <v>133</v>
      </c>
      <c r="J796" s="9">
        <f>'Форма 2'!I2916</f>
        <v>13152429.25</v>
      </c>
      <c r="K796" s="9">
        <v>0</v>
      </c>
      <c r="L796" s="9">
        <v>0</v>
      </c>
      <c r="M796" s="9">
        <v>0</v>
      </c>
      <c r="N796" s="9">
        <f>J796-K796-L796-M796-O796</f>
        <v>13152429.25</v>
      </c>
      <c r="O796" s="9">
        <v>0</v>
      </c>
      <c r="P796" s="9">
        <f>J796/H796</f>
        <v>3749</v>
      </c>
      <c r="Q796" s="9">
        <f>'Форма 2'!K2916</f>
        <v>3749</v>
      </c>
      <c r="R796" s="37" t="s">
        <v>377</v>
      </c>
      <c r="S796" s="168">
        <v>1</v>
      </c>
    </row>
    <row r="797" spans="1:19" s="71" customFormat="1" ht="15" customHeight="1" x14ac:dyDescent="0.25">
      <c r="A797" s="236">
        <f t="shared" si="234"/>
        <v>49</v>
      </c>
      <c r="B797" s="236">
        <v>3184</v>
      </c>
      <c r="C797" s="233" t="s">
        <v>746</v>
      </c>
      <c r="D797" s="13">
        <v>1970</v>
      </c>
      <c r="E797" s="13" t="s">
        <v>68</v>
      </c>
      <c r="F797" s="13" t="s">
        <v>82</v>
      </c>
      <c r="G797" s="9">
        <v>3103</v>
      </c>
      <c r="H797" s="9">
        <v>2888.5</v>
      </c>
      <c r="I797" s="11">
        <v>109</v>
      </c>
      <c r="J797" s="9">
        <f>'Форма 2'!I2919</f>
        <v>10828986.5</v>
      </c>
      <c r="K797" s="9">
        <v>0</v>
      </c>
      <c r="L797" s="9">
        <v>0</v>
      </c>
      <c r="M797" s="9">
        <v>0</v>
      </c>
      <c r="N797" s="9">
        <f t="shared" ref="N797" si="237">J797-K797-L797-M797-O797</f>
        <v>10828986.5</v>
      </c>
      <c r="O797" s="9">
        <v>0</v>
      </c>
      <c r="P797" s="9">
        <f t="shared" ref="P797" si="238">J797/H797</f>
        <v>3749</v>
      </c>
      <c r="Q797" s="9">
        <f>'Форма 2'!K2919</f>
        <v>3749</v>
      </c>
      <c r="R797" s="37" t="s">
        <v>377</v>
      </c>
      <c r="S797" s="168">
        <v>1</v>
      </c>
    </row>
    <row r="798" spans="1:19" s="71" customFormat="1" ht="15.75" customHeight="1" x14ac:dyDescent="0.25">
      <c r="A798" s="236">
        <f t="shared" si="234"/>
        <v>50</v>
      </c>
      <c r="B798" s="236">
        <v>3141</v>
      </c>
      <c r="C798" s="29" t="s">
        <v>212</v>
      </c>
      <c r="D798" s="13" t="s">
        <v>378</v>
      </c>
      <c r="E798" s="13" t="s">
        <v>68</v>
      </c>
      <c r="F798" s="13" t="s">
        <v>82</v>
      </c>
      <c r="G798" s="9">
        <v>11490.4</v>
      </c>
      <c r="H798" s="9">
        <v>8978.6</v>
      </c>
      <c r="I798" s="11">
        <v>271</v>
      </c>
      <c r="J798" s="9">
        <f>'Форма 2'!I2922</f>
        <v>16871690.530000001</v>
      </c>
      <c r="K798" s="9">
        <v>0</v>
      </c>
      <c r="L798" s="9">
        <v>0</v>
      </c>
      <c r="M798" s="9">
        <v>0</v>
      </c>
      <c r="N798" s="9">
        <f t="shared" si="235"/>
        <v>16871690.530000001</v>
      </c>
      <c r="O798" s="9">
        <v>0</v>
      </c>
      <c r="P798" s="9">
        <f t="shared" si="236"/>
        <v>1879.1</v>
      </c>
      <c r="Q798" s="9">
        <f>'Форма 2'!K2922</f>
        <v>2492</v>
      </c>
      <c r="R798" s="37" t="s">
        <v>377</v>
      </c>
      <c r="S798" s="168">
        <v>1</v>
      </c>
    </row>
    <row r="799" spans="1:19" s="71" customFormat="1" ht="15" customHeight="1" x14ac:dyDescent="0.25">
      <c r="A799" s="236">
        <f t="shared" si="234"/>
        <v>51</v>
      </c>
      <c r="B799" s="236">
        <v>4375</v>
      </c>
      <c r="C799" s="233" t="s">
        <v>639</v>
      </c>
      <c r="D799" s="13" t="s">
        <v>658</v>
      </c>
      <c r="E799" s="13" t="s">
        <v>86</v>
      </c>
      <c r="F799" s="13" t="s">
        <v>82</v>
      </c>
      <c r="G799" s="9">
        <v>14326.5</v>
      </c>
      <c r="H799" s="9">
        <v>11594.1</v>
      </c>
      <c r="I799" s="11">
        <v>438</v>
      </c>
      <c r="J799" s="9">
        <f>'Форма 2'!I2925</f>
        <v>6868854</v>
      </c>
      <c r="K799" s="9">
        <v>0</v>
      </c>
      <c r="L799" s="9">
        <v>0</v>
      </c>
      <c r="M799" s="9">
        <v>0</v>
      </c>
      <c r="N799" s="9">
        <f>J799-K799-L799-M799-O799</f>
        <v>6868854</v>
      </c>
      <c r="O799" s="9">
        <v>0</v>
      </c>
      <c r="P799" s="9">
        <f>J799/H799</f>
        <v>592.44000000000005</v>
      </c>
      <c r="Q799" s="9">
        <f>'Форма 2'!K2925</f>
        <v>592.44000000000005</v>
      </c>
      <c r="R799" s="37" t="s">
        <v>377</v>
      </c>
      <c r="S799" s="168">
        <v>1</v>
      </c>
    </row>
    <row r="800" spans="1:19" s="71" customFormat="1" ht="15" customHeight="1" x14ac:dyDescent="0.25">
      <c r="A800" s="236">
        <f t="shared" si="234"/>
        <v>52</v>
      </c>
      <c r="B800" s="236">
        <v>4376</v>
      </c>
      <c r="C800" s="233" t="s">
        <v>640</v>
      </c>
      <c r="D800" s="13">
        <v>1994</v>
      </c>
      <c r="E800" s="13" t="s">
        <v>86</v>
      </c>
      <c r="F800" s="13" t="s">
        <v>82</v>
      </c>
      <c r="G800" s="9">
        <v>4860.7</v>
      </c>
      <c r="H800" s="9">
        <v>3878.2</v>
      </c>
      <c r="I800" s="11">
        <v>147</v>
      </c>
      <c r="J800" s="9">
        <f>'Форма 2'!I2932</f>
        <v>4579236</v>
      </c>
      <c r="K800" s="9">
        <v>0</v>
      </c>
      <c r="L800" s="9">
        <v>0</v>
      </c>
      <c r="M800" s="9">
        <v>0</v>
      </c>
      <c r="N800" s="9">
        <f>J800-K800-L800-M800-O800</f>
        <v>4579236</v>
      </c>
      <c r="O800" s="9">
        <v>0</v>
      </c>
      <c r="P800" s="9">
        <f>J800/H800</f>
        <v>1180.76</v>
      </c>
      <c r="Q800" s="9">
        <f>'Форма 2'!K2932</f>
        <v>1180.76</v>
      </c>
      <c r="R800" s="37" t="s">
        <v>377</v>
      </c>
      <c r="S800" s="168">
        <v>1</v>
      </c>
    </row>
    <row r="801" spans="1:19" s="71" customFormat="1" ht="15.75" customHeight="1" x14ac:dyDescent="0.25">
      <c r="A801" s="236">
        <f t="shared" si="234"/>
        <v>53</v>
      </c>
      <c r="B801" s="236">
        <v>3383</v>
      </c>
      <c r="C801" s="29" t="s">
        <v>213</v>
      </c>
      <c r="D801" s="13" t="s">
        <v>379</v>
      </c>
      <c r="E801" s="13" t="s">
        <v>68</v>
      </c>
      <c r="F801" s="13" t="s">
        <v>82</v>
      </c>
      <c r="G801" s="9">
        <v>6262.1</v>
      </c>
      <c r="H801" s="9">
        <v>5360.9</v>
      </c>
      <c r="I801" s="11">
        <v>197</v>
      </c>
      <c r="J801" s="9">
        <f>'Форма 2'!I2937</f>
        <v>20789570.199999999</v>
      </c>
      <c r="K801" s="9">
        <v>0</v>
      </c>
      <c r="L801" s="9">
        <v>0</v>
      </c>
      <c r="M801" s="9">
        <v>0</v>
      </c>
      <c r="N801" s="9">
        <f t="shared" si="235"/>
        <v>20789570.199999999</v>
      </c>
      <c r="O801" s="9">
        <v>0</v>
      </c>
      <c r="P801" s="9">
        <f t="shared" si="236"/>
        <v>3878</v>
      </c>
      <c r="Q801" s="9">
        <f>'Форма 2'!K2937</f>
        <v>3878</v>
      </c>
      <c r="R801" s="37" t="s">
        <v>377</v>
      </c>
      <c r="S801" s="168">
        <v>1</v>
      </c>
    </row>
    <row r="802" spans="1:19" s="71" customFormat="1" ht="15.75" customHeight="1" x14ac:dyDescent="0.25">
      <c r="A802" s="236">
        <f t="shared" si="234"/>
        <v>54</v>
      </c>
      <c r="B802" s="236">
        <v>3388</v>
      </c>
      <c r="C802" s="29" t="s">
        <v>214</v>
      </c>
      <c r="D802" s="13">
        <v>1994</v>
      </c>
      <c r="E802" s="13" t="s">
        <v>363</v>
      </c>
      <c r="F802" s="13" t="s">
        <v>82</v>
      </c>
      <c r="G802" s="9">
        <v>4807.7</v>
      </c>
      <c r="H802" s="9">
        <v>4243</v>
      </c>
      <c r="I802" s="11">
        <v>96</v>
      </c>
      <c r="J802" s="9">
        <f>'Форма 2'!I2940</f>
        <v>29494751.989999998</v>
      </c>
      <c r="K802" s="9">
        <v>0</v>
      </c>
      <c r="L802" s="9">
        <v>0</v>
      </c>
      <c r="M802" s="9">
        <v>0</v>
      </c>
      <c r="N802" s="9">
        <f t="shared" si="235"/>
        <v>29494751.989999998</v>
      </c>
      <c r="O802" s="9">
        <v>0</v>
      </c>
      <c r="P802" s="9">
        <f t="shared" si="236"/>
        <v>6951.39</v>
      </c>
      <c r="Q802" s="9">
        <f>'Форма 2'!K2940</f>
        <v>10123</v>
      </c>
      <c r="R802" s="37" t="s">
        <v>377</v>
      </c>
      <c r="S802" s="168">
        <v>1</v>
      </c>
    </row>
    <row r="803" spans="1:19" s="71" customFormat="1" ht="15" customHeight="1" x14ac:dyDescent="0.25">
      <c r="A803" s="236">
        <f t="shared" si="234"/>
        <v>55</v>
      </c>
      <c r="B803" s="236">
        <v>3406</v>
      </c>
      <c r="C803" s="233" t="s">
        <v>528</v>
      </c>
      <c r="D803" s="13">
        <v>1956</v>
      </c>
      <c r="E803" s="13" t="s">
        <v>95</v>
      </c>
      <c r="F803" s="13" t="s">
        <v>82</v>
      </c>
      <c r="G803" s="9">
        <v>1344.96</v>
      </c>
      <c r="H803" s="9">
        <v>1229.96</v>
      </c>
      <c r="I803" s="11">
        <v>46</v>
      </c>
      <c r="J803" s="9">
        <f>'Форма 2'!I2947</f>
        <v>445245.52</v>
      </c>
      <c r="K803" s="9">
        <v>0</v>
      </c>
      <c r="L803" s="9">
        <v>0</v>
      </c>
      <c r="M803" s="9">
        <v>0</v>
      </c>
      <c r="N803" s="9">
        <f t="shared" si="235"/>
        <v>445245.52</v>
      </c>
      <c r="O803" s="9">
        <v>0</v>
      </c>
      <c r="P803" s="9">
        <f t="shared" si="236"/>
        <v>362</v>
      </c>
      <c r="Q803" s="9">
        <f>'Форма 2'!K2947</f>
        <v>362</v>
      </c>
      <c r="R803" s="37" t="s">
        <v>377</v>
      </c>
      <c r="S803" s="168">
        <v>1</v>
      </c>
    </row>
    <row r="804" spans="1:19" s="71" customFormat="1" ht="15" customHeight="1" x14ac:dyDescent="0.25">
      <c r="A804" s="236">
        <f t="shared" si="234"/>
        <v>56</v>
      </c>
      <c r="B804" s="236">
        <v>3407</v>
      </c>
      <c r="C804" s="233" t="s">
        <v>641</v>
      </c>
      <c r="D804" s="13">
        <v>1957</v>
      </c>
      <c r="E804" s="13" t="s">
        <v>95</v>
      </c>
      <c r="F804" s="13" t="s">
        <v>82</v>
      </c>
      <c r="G804" s="9">
        <v>2119.12</v>
      </c>
      <c r="H804" s="9">
        <v>2004.12</v>
      </c>
      <c r="I804" s="11">
        <v>76</v>
      </c>
      <c r="J804" s="9">
        <f>'Форма 2'!I2950</f>
        <v>725491.44</v>
      </c>
      <c r="K804" s="9">
        <v>0</v>
      </c>
      <c r="L804" s="9">
        <v>0</v>
      </c>
      <c r="M804" s="9">
        <v>0</v>
      </c>
      <c r="N804" s="9">
        <f t="shared" si="235"/>
        <v>725491.44</v>
      </c>
      <c r="O804" s="9">
        <v>0</v>
      </c>
      <c r="P804" s="9">
        <f t="shared" si="236"/>
        <v>362</v>
      </c>
      <c r="Q804" s="9">
        <f>'Форма 2'!K2950</f>
        <v>362</v>
      </c>
      <c r="R804" s="37" t="s">
        <v>377</v>
      </c>
      <c r="S804" s="168">
        <v>1</v>
      </c>
    </row>
    <row r="805" spans="1:19" s="71" customFormat="1" ht="15" customHeight="1" x14ac:dyDescent="0.25">
      <c r="A805" s="236">
        <f t="shared" si="234"/>
        <v>57</v>
      </c>
      <c r="B805" s="236">
        <v>3408</v>
      </c>
      <c r="C805" s="233" t="s">
        <v>642</v>
      </c>
      <c r="D805" s="13">
        <v>1959</v>
      </c>
      <c r="E805" s="13" t="s">
        <v>95</v>
      </c>
      <c r="F805" s="13" t="s">
        <v>82</v>
      </c>
      <c r="G805" s="9">
        <v>3389.51</v>
      </c>
      <c r="H805" s="9">
        <v>3143.51</v>
      </c>
      <c r="I805" s="11">
        <v>119</v>
      </c>
      <c r="J805" s="9">
        <f>'Форма 2'!I2953</f>
        <v>1279408.57</v>
      </c>
      <c r="K805" s="9">
        <v>0</v>
      </c>
      <c r="L805" s="9">
        <v>0</v>
      </c>
      <c r="M805" s="9">
        <v>0</v>
      </c>
      <c r="N805" s="9">
        <f t="shared" si="235"/>
        <v>1279408.57</v>
      </c>
      <c r="O805" s="9">
        <v>0</v>
      </c>
      <c r="P805" s="9">
        <f t="shared" si="236"/>
        <v>407</v>
      </c>
      <c r="Q805" s="9">
        <f>'Форма 2'!K2953</f>
        <v>407</v>
      </c>
      <c r="R805" s="37" t="s">
        <v>377</v>
      </c>
      <c r="S805" s="168">
        <v>1</v>
      </c>
    </row>
    <row r="806" spans="1:19" s="71" customFormat="1" ht="15" customHeight="1" x14ac:dyDescent="0.25">
      <c r="A806" s="236">
        <f t="shared" si="234"/>
        <v>58</v>
      </c>
      <c r="B806" s="236">
        <v>3410</v>
      </c>
      <c r="C806" s="233" t="s">
        <v>643</v>
      </c>
      <c r="D806" s="13">
        <v>1959</v>
      </c>
      <c r="E806" s="13" t="s">
        <v>95</v>
      </c>
      <c r="F806" s="13" t="s">
        <v>82</v>
      </c>
      <c r="G806" s="9">
        <v>3418.61</v>
      </c>
      <c r="H806" s="9">
        <v>3172.61</v>
      </c>
      <c r="I806" s="11">
        <v>138</v>
      </c>
      <c r="J806" s="9">
        <f>'Форма 2'!I2956</f>
        <v>1291252.27</v>
      </c>
      <c r="K806" s="9">
        <v>0</v>
      </c>
      <c r="L806" s="9">
        <v>0</v>
      </c>
      <c r="M806" s="9">
        <v>0</v>
      </c>
      <c r="N806" s="9">
        <f>J806-K806-L806-M806-O806</f>
        <v>1291252.27</v>
      </c>
      <c r="O806" s="9">
        <v>0</v>
      </c>
      <c r="P806" s="9">
        <f>J806/H806</f>
        <v>407</v>
      </c>
      <c r="Q806" s="9">
        <f>'Форма 2'!K2956</f>
        <v>407</v>
      </c>
      <c r="R806" s="37" t="s">
        <v>377</v>
      </c>
      <c r="S806" s="168">
        <v>1</v>
      </c>
    </row>
    <row r="807" spans="1:19" s="71" customFormat="1" ht="15" customHeight="1" x14ac:dyDescent="0.25">
      <c r="A807" s="236">
        <f t="shared" si="234"/>
        <v>59</v>
      </c>
      <c r="B807" s="236">
        <v>3413</v>
      </c>
      <c r="C807" s="233" t="s">
        <v>644</v>
      </c>
      <c r="D807" s="13">
        <v>1917</v>
      </c>
      <c r="E807" s="13" t="s">
        <v>95</v>
      </c>
      <c r="F807" s="13" t="s">
        <v>82</v>
      </c>
      <c r="G807" s="9">
        <v>1289.3800000000001</v>
      </c>
      <c r="H807" s="9">
        <v>1249.18</v>
      </c>
      <c r="I807" s="11">
        <v>47</v>
      </c>
      <c r="J807" s="9">
        <f>'Форма 2'!I2959</f>
        <v>452203.16</v>
      </c>
      <c r="K807" s="9">
        <v>0</v>
      </c>
      <c r="L807" s="9">
        <v>0</v>
      </c>
      <c r="M807" s="9">
        <v>0</v>
      </c>
      <c r="N807" s="9">
        <f t="shared" ref="N807:N812" si="239">J807-K807-L807-M807-O807</f>
        <v>452203.16</v>
      </c>
      <c r="O807" s="9">
        <v>0</v>
      </c>
      <c r="P807" s="9">
        <f t="shared" ref="P807:P812" si="240">J807/H807</f>
        <v>362</v>
      </c>
      <c r="Q807" s="9">
        <f>'Форма 2'!K2959</f>
        <v>362</v>
      </c>
      <c r="R807" s="37" t="s">
        <v>377</v>
      </c>
      <c r="S807" s="168">
        <v>1</v>
      </c>
    </row>
    <row r="808" spans="1:19" s="71" customFormat="1" ht="15" customHeight="1" x14ac:dyDescent="0.25">
      <c r="A808" s="236">
        <f t="shared" si="234"/>
        <v>60</v>
      </c>
      <c r="B808" s="236">
        <v>4365</v>
      </c>
      <c r="C808" s="233" t="s">
        <v>645</v>
      </c>
      <c r="D808" s="13">
        <v>1904</v>
      </c>
      <c r="E808" s="13" t="s">
        <v>95</v>
      </c>
      <c r="F808" s="13" t="s">
        <v>82</v>
      </c>
      <c r="G808" s="9">
        <v>1569</v>
      </c>
      <c r="H808" s="9">
        <v>1319.4</v>
      </c>
      <c r="I808" s="11">
        <v>51</v>
      </c>
      <c r="J808" s="9">
        <f>'Форма 2'!I2962</f>
        <v>477622.8</v>
      </c>
      <c r="K808" s="9">
        <v>0</v>
      </c>
      <c r="L808" s="9">
        <v>0</v>
      </c>
      <c r="M808" s="9">
        <v>0</v>
      </c>
      <c r="N808" s="9">
        <f t="shared" si="239"/>
        <v>477622.8</v>
      </c>
      <c r="O808" s="9">
        <v>0</v>
      </c>
      <c r="P808" s="9">
        <f t="shared" si="240"/>
        <v>362</v>
      </c>
      <c r="Q808" s="9">
        <f>'Форма 2'!K2962</f>
        <v>362</v>
      </c>
      <c r="R808" s="37" t="s">
        <v>377</v>
      </c>
      <c r="S808" s="168">
        <v>1</v>
      </c>
    </row>
    <row r="809" spans="1:19" s="71" customFormat="1" ht="15" customHeight="1" x14ac:dyDescent="0.25">
      <c r="A809" s="236">
        <f t="shared" si="234"/>
        <v>61</v>
      </c>
      <c r="B809" s="236">
        <v>3414</v>
      </c>
      <c r="C809" s="233" t="s">
        <v>646</v>
      </c>
      <c r="D809" s="13">
        <v>1917</v>
      </c>
      <c r="E809" s="13" t="s">
        <v>95</v>
      </c>
      <c r="F809" s="13" t="s">
        <v>82</v>
      </c>
      <c r="G809" s="9">
        <v>959.11</v>
      </c>
      <c r="H809" s="9">
        <v>905.11</v>
      </c>
      <c r="I809" s="11">
        <v>34</v>
      </c>
      <c r="J809" s="9">
        <f>'Форма 2'!I2965</f>
        <v>327649.82</v>
      </c>
      <c r="K809" s="9">
        <v>0</v>
      </c>
      <c r="L809" s="9">
        <v>0</v>
      </c>
      <c r="M809" s="9">
        <v>0</v>
      </c>
      <c r="N809" s="9">
        <f t="shared" si="239"/>
        <v>327649.82</v>
      </c>
      <c r="O809" s="9">
        <v>0</v>
      </c>
      <c r="P809" s="9">
        <f t="shared" si="240"/>
        <v>362</v>
      </c>
      <c r="Q809" s="9">
        <f>'Форма 2'!K2965</f>
        <v>362</v>
      </c>
      <c r="R809" s="37" t="s">
        <v>377</v>
      </c>
      <c r="S809" s="168">
        <v>1</v>
      </c>
    </row>
    <row r="810" spans="1:19" s="71" customFormat="1" ht="15" customHeight="1" x14ac:dyDescent="0.25">
      <c r="A810" s="236">
        <f t="shared" si="234"/>
        <v>62</v>
      </c>
      <c r="B810" s="236">
        <v>3415</v>
      </c>
      <c r="C810" s="233" t="s">
        <v>647</v>
      </c>
      <c r="D810" s="13">
        <v>1917</v>
      </c>
      <c r="E810" s="13" t="s">
        <v>95</v>
      </c>
      <c r="F810" s="13" t="s">
        <v>82</v>
      </c>
      <c r="G810" s="9">
        <v>721.9</v>
      </c>
      <c r="H810" s="9">
        <v>667.9</v>
      </c>
      <c r="I810" s="11">
        <v>25</v>
      </c>
      <c r="J810" s="9">
        <f>'Форма 2'!I2968</f>
        <v>241779.8</v>
      </c>
      <c r="K810" s="9">
        <v>0</v>
      </c>
      <c r="L810" s="9">
        <v>0</v>
      </c>
      <c r="M810" s="9">
        <v>0</v>
      </c>
      <c r="N810" s="9">
        <f t="shared" si="239"/>
        <v>241779.8</v>
      </c>
      <c r="O810" s="9">
        <v>0</v>
      </c>
      <c r="P810" s="9">
        <f t="shared" si="240"/>
        <v>362</v>
      </c>
      <c r="Q810" s="9">
        <f>'Форма 2'!K2968</f>
        <v>362</v>
      </c>
      <c r="R810" s="37" t="s">
        <v>377</v>
      </c>
      <c r="S810" s="168">
        <v>1</v>
      </c>
    </row>
    <row r="811" spans="1:19" s="71" customFormat="1" ht="15" customHeight="1" x14ac:dyDescent="0.25">
      <c r="A811" s="236">
        <f t="shared" si="234"/>
        <v>63</v>
      </c>
      <c r="B811" s="236">
        <v>3416</v>
      </c>
      <c r="C811" s="233" t="s">
        <v>484</v>
      </c>
      <c r="D811" s="13">
        <v>1917</v>
      </c>
      <c r="E811" s="13" t="s">
        <v>95</v>
      </c>
      <c r="F811" s="13" t="s">
        <v>82</v>
      </c>
      <c r="G811" s="9">
        <v>941</v>
      </c>
      <c r="H811" s="9">
        <v>887</v>
      </c>
      <c r="I811" s="11">
        <v>34</v>
      </c>
      <c r="J811" s="9">
        <f>'Форма 2'!I2971</f>
        <v>321094</v>
      </c>
      <c r="K811" s="9">
        <v>0</v>
      </c>
      <c r="L811" s="9">
        <v>0</v>
      </c>
      <c r="M811" s="9">
        <v>0</v>
      </c>
      <c r="N811" s="9">
        <f t="shared" si="239"/>
        <v>321094</v>
      </c>
      <c r="O811" s="9">
        <v>0</v>
      </c>
      <c r="P811" s="9">
        <f t="shared" si="240"/>
        <v>362</v>
      </c>
      <c r="Q811" s="9">
        <f>'Форма 2'!K2971</f>
        <v>362</v>
      </c>
      <c r="R811" s="37" t="s">
        <v>377</v>
      </c>
      <c r="S811" s="168">
        <v>1</v>
      </c>
    </row>
    <row r="812" spans="1:19" s="71" customFormat="1" ht="15" customHeight="1" x14ac:dyDescent="0.25">
      <c r="A812" s="236">
        <f t="shared" si="234"/>
        <v>64</v>
      </c>
      <c r="B812" s="236">
        <v>3417</v>
      </c>
      <c r="C812" s="233" t="s">
        <v>485</v>
      </c>
      <c r="D812" s="13">
        <v>1917</v>
      </c>
      <c r="E812" s="13" t="s">
        <v>95</v>
      </c>
      <c r="F812" s="13" t="s">
        <v>82</v>
      </c>
      <c r="G812" s="9">
        <v>975.5</v>
      </c>
      <c r="H812" s="9">
        <v>921.5</v>
      </c>
      <c r="I812" s="11">
        <v>35</v>
      </c>
      <c r="J812" s="9">
        <f>'Форма 2'!I2974</f>
        <v>333583</v>
      </c>
      <c r="K812" s="9">
        <v>0</v>
      </c>
      <c r="L812" s="9">
        <v>0</v>
      </c>
      <c r="M812" s="9">
        <v>0</v>
      </c>
      <c r="N812" s="9">
        <f t="shared" si="239"/>
        <v>333583</v>
      </c>
      <c r="O812" s="9">
        <v>0</v>
      </c>
      <c r="P812" s="9">
        <f t="shared" si="240"/>
        <v>362</v>
      </c>
      <c r="Q812" s="9">
        <f>'Форма 2'!K2974</f>
        <v>362</v>
      </c>
      <c r="R812" s="37" t="s">
        <v>377</v>
      </c>
      <c r="S812" s="168">
        <v>1</v>
      </c>
    </row>
    <row r="813" spans="1:19" s="71" customFormat="1" ht="15.75" customHeight="1" x14ac:dyDescent="0.25">
      <c r="A813" s="236">
        <f t="shared" si="234"/>
        <v>65</v>
      </c>
      <c r="B813" s="236">
        <v>3147</v>
      </c>
      <c r="C813" s="29" t="s">
        <v>110</v>
      </c>
      <c r="D813" s="13">
        <v>1988</v>
      </c>
      <c r="E813" s="13" t="s">
        <v>68</v>
      </c>
      <c r="F813" s="13" t="s">
        <v>82</v>
      </c>
      <c r="G813" s="9">
        <v>9913.2999999999993</v>
      </c>
      <c r="H813" s="9">
        <v>8711.5</v>
      </c>
      <c r="I813" s="11">
        <v>270</v>
      </c>
      <c r="J813" s="9">
        <f>'Форма 2'!I2977</f>
        <v>15005531.01</v>
      </c>
      <c r="K813" s="9">
        <v>0</v>
      </c>
      <c r="L813" s="9">
        <v>0</v>
      </c>
      <c r="M813" s="9">
        <v>0</v>
      </c>
      <c r="N813" s="9">
        <f t="shared" si="235"/>
        <v>15005531.01</v>
      </c>
      <c r="O813" s="9">
        <v>0</v>
      </c>
      <c r="P813" s="9">
        <f t="shared" si="236"/>
        <v>1722.5</v>
      </c>
      <c r="Q813" s="9">
        <f>'Форма 2'!K2977</f>
        <v>2492</v>
      </c>
      <c r="R813" s="37" t="s">
        <v>377</v>
      </c>
      <c r="S813" s="168">
        <v>1</v>
      </c>
    </row>
    <row r="814" spans="1:19" s="71" customFormat="1" ht="15" customHeight="1" x14ac:dyDescent="0.25">
      <c r="A814" s="236">
        <f t="shared" si="234"/>
        <v>66</v>
      </c>
      <c r="B814" s="236">
        <v>4256</v>
      </c>
      <c r="C814" s="233" t="s">
        <v>648</v>
      </c>
      <c r="D814" s="13" t="s">
        <v>659</v>
      </c>
      <c r="E814" s="13" t="s">
        <v>86</v>
      </c>
      <c r="F814" s="13" t="s">
        <v>82</v>
      </c>
      <c r="G814" s="9">
        <v>5910.2</v>
      </c>
      <c r="H814" s="9">
        <v>5120</v>
      </c>
      <c r="I814" s="11">
        <v>193</v>
      </c>
      <c r="J814" s="9">
        <f>'Форма 2'!I2980</f>
        <v>2289618</v>
      </c>
      <c r="K814" s="9">
        <v>0</v>
      </c>
      <c r="L814" s="9">
        <v>0</v>
      </c>
      <c r="M814" s="9">
        <v>0</v>
      </c>
      <c r="N814" s="9">
        <f t="shared" si="235"/>
        <v>2289618</v>
      </c>
      <c r="O814" s="9">
        <v>0</v>
      </c>
      <c r="P814" s="9">
        <f t="shared" si="236"/>
        <v>447.19</v>
      </c>
      <c r="Q814" s="9">
        <f>'Форма 2'!K2980</f>
        <v>447.19</v>
      </c>
      <c r="R814" s="37" t="s">
        <v>377</v>
      </c>
      <c r="S814" s="168">
        <v>1</v>
      </c>
    </row>
    <row r="815" spans="1:19" s="71" customFormat="1" ht="15.75" customHeight="1" x14ac:dyDescent="0.25">
      <c r="A815" s="236">
        <f t="shared" si="234"/>
        <v>67</v>
      </c>
      <c r="B815" s="236">
        <v>3423</v>
      </c>
      <c r="C815" s="29" t="s">
        <v>374</v>
      </c>
      <c r="D815" s="13">
        <v>1997</v>
      </c>
      <c r="E815" s="13" t="s">
        <v>68</v>
      </c>
      <c r="F815" s="13" t="s">
        <v>82</v>
      </c>
      <c r="G815" s="9">
        <v>3867.81</v>
      </c>
      <c r="H815" s="9">
        <v>3421.41</v>
      </c>
      <c r="I815" s="11">
        <v>129</v>
      </c>
      <c r="J815" s="9">
        <f>'Форма 2'!I2983</f>
        <v>8526153.7200000007</v>
      </c>
      <c r="K815" s="9">
        <v>0</v>
      </c>
      <c r="L815" s="9">
        <v>0</v>
      </c>
      <c r="M815" s="9">
        <v>0</v>
      </c>
      <c r="N815" s="9">
        <f t="shared" si="235"/>
        <v>8526153.7200000007</v>
      </c>
      <c r="O815" s="9">
        <v>0</v>
      </c>
      <c r="P815" s="9">
        <f t="shared" si="236"/>
        <v>2492</v>
      </c>
      <c r="Q815" s="9">
        <f>'Форма 2'!K2983</f>
        <v>2492</v>
      </c>
      <c r="R815" s="37" t="s">
        <v>377</v>
      </c>
      <c r="S815" s="168">
        <v>1</v>
      </c>
    </row>
    <row r="816" spans="1:19" s="71" customFormat="1" ht="15.75" customHeight="1" x14ac:dyDescent="0.25">
      <c r="A816" s="282" t="s">
        <v>111</v>
      </c>
      <c r="B816" s="282"/>
      <c r="C816" s="282"/>
      <c r="D816" s="13" t="s">
        <v>13</v>
      </c>
      <c r="E816" s="17" t="s">
        <v>13</v>
      </c>
      <c r="F816" s="17" t="s">
        <v>13</v>
      </c>
      <c r="G816" s="9">
        <f>SUM(G817:G829)</f>
        <v>95686.65</v>
      </c>
      <c r="H816" s="9">
        <f t="shared" ref="H816:O816" si="241">SUM(H817:H829)</f>
        <v>79653.240000000005</v>
      </c>
      <c r="I816" s="11">
        <f t="shared" si="241"/>
        <v>2809</v>
      </c>
      <c r="J816" s="9">
        <f t="shared" si="241"/>
        <v>126293998.56999999</v>
      </c>
      <c r="K816" s="9">
        <f t="shared" si="241"/>
        <v>0</v>
      </c>
      <c r="L816" s="9">
        <f t="shared" si="241"/>
        <v>0</v>
      </c>
      <c r="M816" s="9">
        <f t="shared" si="241"/>
        <v>0</v>
      </c>
      <c r="N816" s="9">
        <f t="shared" si="241"/>
        <v>126293998.56999999</v>
      </c>
      <c r="O816" s="9">
        <f t="shared" si="241"/>
        <v>0</v>
      </c>
      <c r="P816" s="17" t="s">
        <v>13</v>
      </c>
      <c r="Q816" s="17" t="s">
        <v>13</v>
      </c>
      <c r="R816" s="17" t="s">
        <v>13</v>
      </c>
      <c r="S816" s="236" t="s">
        <v>13</v>
      </c>
    </row>
    <row r="817" spans="1:19" s="71" customFormat="1" ht="15" customHeight="1" x14ac:dyDescent="0.25">
      <c r="A817" s="236">
        <f>A815+1</f>
        <v>68</v>
      </c>
      <c r="B817" s="236">
        <v>2292</v>
      </c>
      <c r="C817" s="233" t="s">
        <v>649</v>
      </c>
      <c r="D817" s="13">
        <v>1993</v>
      </c>
      <c r="E817" s="13" t="s">
        <v>68</v>
      </c>
      <c r="F817" s="13" t="s">
        <v>82</v>
      </c>
      <c r="G817" s="9">
        <v>2801.2</v>
      </c>
      <c r="H817" s="9">
        <v>2567.1999999999998</v>
      </c>
      <c r="I817" s="11">
        <v>97</v>
      </c>
      <c r="J817" s="9">
        <f>'Форма 2'!I2986</f>
        <v>9955601.5999999996</v>
      </c>
      <c r="K817" s="9">
        <v>0</v>
      </c>
      <c r="L817" s="9">
        <v>0</v>
      </c>
      <c r="M817" s="9">
        <v>0</v>
      </c>
      <c r="N817" s="9">
        <f>J817-K817-L817-M817-O817</f>
        <v>9955601.5999999996</v>
      </c>
      <c r="O817" s="9">
        <v>0</v>
      </c>
      <c r="P817" s="9">
        <f>J817/H817</f>
        <v>3878</v>
      </c>
      <c r="Q817" s="9">
        <f>'Форма 2'!K2986</f>
        <v>3878</v>
      </c>
      <c r="R817" s="37" t="s">
        <v>377</v>
      </c>
      <c r="S817" s="168">
        <v>1</v>
      </c>
    </row>
    <row r="818" spans="1:19" s="71" customFormat="1" ht="30" customHeight="1" x14ac:dyDescent="0.25">
      <c r="A818" s="236">
        <f t="shared" ref="A818:A829" si="242">A817+1</f>
        <v>69</v>
      </c>
      <c r="B818" s="236">
        <v>2475</v>
      </c>
      <c r="C818" s="27" t="s">
        <v>650</v>
      </c>
      <c r="D818" s="251" t="s">
        <v>660</v>
      </c>
      <c r="E818" s="251" t="s">
        <v>86</v>
      </c>
      <c r="F818" s="251" t="s">
        <v>82</v>
      </c>
      <c r="G818" s="22">
        <v>20736.3</v>
      </c>
      <c r="H818" s="22">
        <v>16514.59</v>
      </c>
      <c r="I818" s="15">
        <v>604</v>
      </c>
      <c r="J818" s="22">
        <f>'Форма 2'!I2989</f>
        <v>6868854</v>
      </c>
      <c r="K818" s="22">
        <v>0</v>
      </c>
      <c r="L818" s="22">
        <v>0</v>
      </c>
      <c r="M818" s="22">
        <v>0</v>
      </c>
      <c r="N818" s="22">
        <f t="shared" ref="N818:N821" si="243">J818-K818-L818-M818-O818</f>
        <v>6868854</v>
      </c>
      <c r="O818" s="22">
        <v>0</v>
      </c>
      <c r="P818" s="22">
        <f t="shared" ref="P818:P821" si="244">J818/H818</f>
        <v>415.93</v>
      </c>
      <c r="Q818" s="22">
        <f>'Форма 2'!K2989</f>
        <v>415.93</v>
      </c>
      <c r="R818" s="206" t="s">
        <v>377</v>
      </c>
      <c r="S818" s="168">
        <v>1</v>
      </c>
    </row>
    <row r="819" spans="1:19" s="71" customFormat="1" ht="30" customHeight="1" x14ac:dyDescent="0.25">
      <c r="A819" s="236">
        <f t="shared" si="242"/>
        <v>70</v>
      </c>
      <c r="B819" s="236">
        <v>2405</v>
      </c>
      <c r="C819" s="27" t="s">
        <v>747</v>
      </c>
      <c r="D819" s="251">
        <v>1972</v>
      </c>
      <c r="E819" s="251" t="s">
        <v>68</v>
      </c>
      <c r="F819" s="251" t="s">
        <v>82</v>
      </c>
      <c r="G819" s="22">
        <v>4374.7</v>
      </c>
      <c r="H819" s="22">
        <v>3319.7</v>
      </c>
      <c r="I819" s="15">
        <v>126</v>
      </c>
      <c r="J819" s="22">
        <f>'Форма 2'!I2996</f>
        <v>12445555.300000001</v>
      </c>
      <c r="K819" s="22">
        <v>0</v>
      </c>
      <c r="L819" s="22">
        <v>0</v>
      </c>
      <c r="M819" s="22">
        <v>0</v>
      </c>
      <c r="N819" s="22">
        <f t="shared" si="243"/>
        <v>12445555.300000001</v>
      </c>
      <c r="O819" s="22">
        <v>0</v>
      </c>
      <c r="P819" s="22">
        <f t="shared" si="244"/>
        <v>3749</v>
      </c>
      <c r="Q819" s="22">
        <f>'Форма 2'!K2996</f>
        <v>3749</v>
      </c>
      <c r="R819" s="206" t="s">
        <v>377</v>
      </c>
      <c r="S819" s="168">
        <v>1</v>
      </c>
    </row>
    <row r="820" spans="1:19" s="71" customFormat="1" ht="15" customHeight="1" x14ac:dyDescent="0.25">
      <c r="A820" s="236">
        <f t="shared" si="242"/>
        <v>71</v>
      </c>
      <c r="B820" s="236">
        <v>2243</v>
      </c>
      <c r="C820" s="27" t="s">
        <v>651</v>
      </c>
      <c r="D820" s="251">
        <v>1996</v>
      </c>
      <c r="E820" s="251" t="s">
        <v>86</v>
      </c>
      <c r="F820" s="251" t="s">
        <v>82</v>
      </c>
      <c r="G820" s="22">
        <v>13863</v>
      </c>
      <c r="H820" s="22">
        <v>13145.2</v>
      </c>
      <c r="I820" s="15">
        <v>344</v>
      </c>
      <c r="J820" s="22">
        <f>'Форма 2'!I2999</f>
        <v>13737708</v>
      </c>
      <c r="K820" s="22">
        <v>0</v>
      </c>
      <c r="L820" s="22">
        <v>0</v>
      </c>
      <c r="M820" s="22">
        <v>0</v>
      </c>
      <c r="N820" s="22">
        <f t="shared" si="243"/>
        <v>13737708</v>
      </c>
      <c r="O820" s="22">
        <v>0</v>
      </c>
      <c r="P820" s="22">
        <f t="shared" si="244"/>
        <v>1045.07</v>
      </c>
      <c r="Q820" s="22">
        <f>'Форма 2'!K2999</f>
        <v>1045.07</v>
      </c>
      <c r="R820" s="206" t="s">
        <v>377</v>
      </c>
      <c r="S820" s="168">
        <v>1</v>
      </c>
    </row>
    <row r="821" spans="1:19" s="71" customFormat="1" ht="30" customHeight="1" x14ac:dyDescent="0.25">
      <c r="A821" s="236">
        <f t="shared" si="242"/>
        <v>72</v>
      </c>
      <c r="B821" s="236">
        <v>2276</v>
      </c>
      <c r="C821" s="27" t="s">
        <v>547</v>
      </c>
      <c r="D821" s="251">
        <v>1966</v>
      </c>
      <c r="E821" s="251" t="s">
        <v>68</v>
      </c>
      <c r="F821" s="251" t="s">
        <v>82</v>
      </c>
      <c r="G821" s="22">
        <v>3830.95</v>
      </c>
      <c r="H821" s="22">
        <v>3594.95</v>
      </c>
      <c r="I821" s="15">
        <v>136</v>
      </c>
      <c r="J821" s="22">
        <f>'Форма 2'!I3012</f>
        <v>13477467.550000001</v>
      </c>
      <c r="K821" s="22">
        <v>0</v>
      </c>
      <c r="L821" s="22">
        <v>0</v>
      </c>
      <c r="M821" s="22">
        <v>0</v>
      </c>
      <c r="N821" s="22">
        <f t="shared" si="243"/>
        <v>13477467.550000001</v>
      </c>
      <c r="O821" s="22">
        <v>0</v>
      </c>
      <c r="P821" s="22">
        <f t="shared" si="244"/>
        <v>3749</v>
      </c>
      <c r="Q821" s="22">
        <f>'Форма 2'!K3012</f>
        <v>3749</v>
      </c>
      <c r="R821" s="206" t="s">
        <v>377</v>
      </c>
      <c r="S821" s="168">
        <v>1</v>
      </c>
    </row>
    <row r="822" spans="1:19" s="71" customFormat="1" ht="15.75" customHeight="1" x14ac:dyDescent="0.25">
      <c r="A822" s="236">
        <f>A821+1</f>
        <v>73</v>
      </c>
      <c r="B822" s="236">
        <v>2286</v>
      </c>
      <c r="C822" s="252" t="s">
        <v>220</v>
      </c>
      <c r="D822" s="251" t="s">
        <v>380</v>
      </c>
      <c r="E822" s="251" t="s">
        <v>68</v>
      </c>
      <c r="F822" s="251" t="s">
        <v>82</v>
      </c>
      <c r="G822" s="22">
        <v>22311.8</v>
      </c>
      <c r="H822" s="22">
        <v>18477.8</v>
      </c>
      <c r="I822" s="15">
        <v>698</v>
      </c>
      <c r="J822" s="22">
        <f>'Форма 2'!I3015</f>
        <v>41258864.920000002</v>
      </c>
      <c r="K822" s="22">
        <v>0</v>
      </c>
      <c r="L822" s="22">
        <v>0</v>
      </c>
      <c r="M822" s="22">
        <v>0</v>
      </c>
      <c r="N822" s="22">
        <f>J822-K822-L822-M822-O822</f>
        <v>41258864.920000002</v>
      </c>
      <c r="O822" s="22">
        <v>0</v>
      </c>
      <c r="P822" s="22">
        <f>J822/H822</f>
        <v>2232.89</v>
      </c>
      <c r="Q822" s="22">
        <f>'Форма 2'!K3015</f>
        <v>2492</v>
      </c>
      <c r="R822" s="206" t="s">
        <v>377</v>
      </c>
      <c r="S822" s="168">
        <v>1</v>
      </c>
    </row>
    <row r="823" spans="1:19" s="71" customFormat="1" ht="15.75" customHeight="1" x14ac:dyDescent="0.25">
      <c r="A823" s="236">
        <f t="shared" ref="A823:A825" si="245">A822+1</f>
        <v>74</v>
      </c>
      <c r="B823" s="236">
        <v>2772</v>
      </c>
      <c r="C823" s="233" t="s">
        <v>748</v>
      </c>
      <c r="D823" s="13">
        <v>1990</v>
      </c>
      <c r="E823" s="13" t="s">
        <v>89</v>
      </c>
      <c r="F823" s="13" t="s">
        <v>82</v>
      </c>
      <c r="G823" s="9">
        <v>1091.5999999999999</v>
      </c>
      <c r="H823" s="9">
        <v>986.6</v>
      </c>
      <c r="I823" s="11">
        <v>37</v>
      </c>
      <c r="J823" s="9">
        <f>'Форма 2'!I3018</f>
        <v>2933161.8</v>
      </c>
      <c r="K823" s="9">
        <v>0</v>
      </c>
      <c r="L823" s="9">
        <v>0</v>
      </c>
      <c r="M823" s="9">
        <v>0</v>
      </c>
      <c r="N823" s="9">
        <f>J823-K823-L823-M823-O823</f>
        <v>2933161.8</v>
      </c>
      <c r="O823" s="9">
        <v>0</v>
      </c>
      <c r="P823" s="9">
        <f>J823/H823</f>
        <v>2973</v>
      </c>
      <c r="Q823" s="9">
        <f>'Форма 2'!K3018</f>
        <v>2973</v>
      </c>
      <c r="R823" s="37" t="s">
        <v>377</v>
      </c>
      <c r="S823" s="168">
        <v>1</v>
      </c>
    </row>
    <row r="824" spans="1:19" s="71" customFormat="1" ht="15.75" customHeight="1" x14ac:dyDescent="0.25">
      <c r="A824" s="236">
        <f t="shared" si="245"/>
        <v>75</v>
      </c>
      <c r="B824" s="236">
        <v>2450</v>
      </c>
      <c r="C824" s="233" t="s">
        <v>749</v>
      </c>
      <c r="D824" s="13">
        <v>1968</v>
      </c>
      <c r="E824" s="13" t="s">
        <v>95</v>
      </c>
      <c r="F824" s="13" t="s">
        <v>82</v>
      </c>
      <c r="G824" s="9">
        <v>4774.5</v>
      </c>
      <c r="H824" s="9">
        <v>3907</v>
      </c>
      <c r="I824" s="11">
        <v>105</v>
      </c>
      <c r="J824" s="9">
        <f>'Форма 2'!I3021</f>
        <v>1590149</v>
      </c>
      <c r="K824" s="9">
        <v>0</v>
      </c>
      <c r="L824" s="9">
        <v>0</v>
      </c>
      <c r="M824" s="9">
        <v>0</v>
      </c>
      <c r="N824" s="9">
        <f t="shared" ref="N824:N825" si="246">J824-K824-L824-M824-O824</f>
        <v>1590149</v>
      </c>
      <c r="O824" s="9">
        <v>0</v>
      </c>
      <c r="P824" s="9">
        <f t="shared" ref="P824:P825" si="247">J824/H824</f>
        <v>407</v>
      </c>
      <c r="Q824" s="9">
        <f>'Форма 2'!K3021</f>
        <v>407</v>
      </c>
      <c r="R824" s="37" t="s">
        <v>377</v>
      </c>
      <c r="S824" s="168">
        <v>1</v>
      </c>
    </row>
    <row r="825" spans="1:19" s="71" customFormat="1" ht="15.75" customHeight="1" x14ac:dyDescent="0.25">
      <c r="A825" s="236">
        <f t="shared" si="245"/>
        <v>76</v>
      </c>
      <c r="B825" s="236">
        <v>2375</v>
      </c>
      <c r="C825" s="233" t="s">
        <v>750</v>
      </c>
      <c r="D825" s="13">
        <v>2010</v>
      </c>
      <c r="E825" s="13" t="s">
        <v>68</v>
      </c>
      <c r="F825" s="13" t="s">
        <v>82</v>
      </c>
      <c r="G825" s="9">
        <v>4006.1</v>
      </c>
      <c r="H825" s="9">
        <v>3026.3</v>
      </c>
      <c r="I825" s="11">
        <v>114</v>
      </c>
      <c r="J825" s="9">
        <f>'Форма 2'!I3024</f>
        <v>11735991.4</v>
      </c>
      <c r="K825" s="9">
        <v>0</v>
      </c>
      <c r="L825" s="9">
        <v>0</v>
      </c>
      <c r="M825" s="9">
        <v>0</v>
      </c>
      <c r="N825" s="9">
        <f t="shared" si="246"/>
        <v>11735991.4</v>
      </c>
      <c r="O825" s="9">
        <v>0</v>
      </c>
      <c r="P825" s="9">
        <f t="shared" si="247"/>
        <v>3878</v>
      </c>
      <c r="Q825" s="9">
        <f>'Форма 2'!K3024</f>
        <v>3878</v>
      </c>
      <c r="R825" s="37" t="s">
        <v>377</v>
      </c>
      <c r="S825" s="168">
        <v>1</v>
      </c>
    </row>
    <row r="826" spans="1:19" s="71" customFormat="1" ht="15" customHeight="1" x14ac:dyDescent="0.25">
      <c r="A826" s="236">
        <f t="shared" ref="A826:A827" si="248">A825+1</f>
        <v>77</v>
      </c>
      <c r="B826" s="236">
        <v>2397</v>
      </c>
      <c r="C826" s="233" t="s">
        <v>652</v>
      </c>
      <c r="D826" s="13">
        <v>1995</v>
      </c>
      <c r="E826" s="13" t="s">
        <v>86</v>
      </c>
      <c r="F826" s="13" t="s">
        <v>82</v>
      </c>
      <c r="G826" s="9">
        <v>6479.5</v>
      </c>
      <c r="H826" s="9">
        <v>4512.3999999999996</v>
      </c>
      <c r="I826" s="11">
        <v>135</v>
      </c>
      <c r="J826" s="9">
        <f>'Форма 2'!I3027</f>
        <v>4579236</v>
      </c>
      <c r="K826" s="9">
        <v>0</v>
      </c>
      <c r="L826" s="9">
        <v>0</v>
      </c>
      <c r="M826" s="9">
        <v>0</v>
      </c>
      <c r="N826" s="9">
        <f t="shared" ref="N826:N829" si="249">J826-K826-L826-M826-O826</f>
        <v>4579236</v>
      </c>
      <c r="O826" s="9">
        <v>0</v>
      </c>
      <c r="P826" s="9">
        <f t="shared" ref="P826:P829" si="250">J826/H826</f>
        <v>1014.81</v>
      </c>
      <c r="Q826" s="9">
        <f>'Форма 2'!K3027</f>
        <v>1014.81</v>
      </c>
      <c r="R826" s="37" t="s">
        <v>377</v>
      </c>
      <c r="S826" s="168">
        <v>1</v>
      </c>
    </row>
    <row r="827" spans="1:19" s="71" customFormat="1" ht="15" customHeight="1" x14ac:dyDescent="0.25">
      <c r="A827" s="236">
        <f t="shared" si="248"/>
        <v>78</v>
      </c>
      <c r="B827" s="236">
        <v>2379</v>
      </c>
      <c r="C827" s="233" t="s">
        <v>653</v>
      </c>
      <c r="D827" s="13">
        <v>1997</v>
      </c>
      <c r="E827" s="13" t="s">
        <v>86</v>
      </c>
      <c r="F827" s="13" t="s">
        <v>82</v>
      </c>
      <c r="G827" s="9">
        <v>8774</v>
      </c>
      <c r="H827" s="9">
        <v>7274</v>
      </c>
      <c r="I827" s="11">
        <v>209</v>
      </c>
      <c r="J827" s="9">
        <f>'Форма 2'!I3032</f>
        <v>6868854</v>
      </c>
      <c r="K827" s="9">
        <v>0</v>
      </c>
      <c r="L827" s="9">
        <v>0</v>
      </c>
      <c r="M827" s="9">
        <v>0</v>
      </c>
      <c r="N827" s="9">
        <f t="shared" si="249"/>
        <v>6868854</v>
      </c>
      <c r="O827" s="9">
        <v>0</v>
      </c>
      <c r="P827" s="9">
        <f t="shared" si="250"/>
        <v>944.3</v>
      </c>
      <c r="Q827" s="9">
        <f>'Форма 2'!K3032</f>
        <v>944.3</v>
      </c>
      <c r="R827" s="37" t="s">
        <v>377</v>
      </c>
      <c r="S827" s="168">
        <v>1</v>
      </c>
    </row>
    <row r="828" spans="1:19" s="71" customFormat="1" ht="15" customHeight="1" x14ac:dyDescent="0.25">
      <c r="A828" s="236">
        <f t="shared" si="242"/>
        <v>79</v>
      </c>
      <c r="B828" s="236">
        <v>2954</v>
      </c>
      <c r="C828" s="233" t="s">
        <v>654</v>
      </c>
      <c r="D828" s="13">
        <v>1959</v>
      </c>
      <c r="E828" s="13" t="s">
        <v>95</v>
      </c>
      <c r="F828" s="13" t="s">
        <v>82</v>
      </c>
      <c r="G828" s="9">
        <v>1298.2</v>
      </c>
      <c r="H828" s="9">
        <v>1238.2</v>
      </c>
      <c r="I828" s="11">
        <v>107</v>
      </c>
      <c r="J828" s="9">
        <f>'Форма 2'!I3039</f>
        <v>448228.4</v>
      </c>
      <c r="K828" s="9">
        <v>0</v>
      </c>
      <c r="L828" s="9">
        <v>0</v>
      </c>
      <c r="M828" s="9">
        <v>0</v>
      </c>
      <c r="N828" s="9">
        <f t="shared" si="249"/>
        <v>448228.4</v>
      </c>
      <c r="O828" s="9">
        <v>0</v>
      </c>
      <c r="P828" s="9">
        <f t="shared" si="250"/>
        <v>362</v>
      </c>
      <c r="Q828" s="9">
        <f>'Форма 2'!K3039</f>
        <v>362</v>
      </c>
      <c r="R828" s="37" t="s">
        <v>377</v>
      </c>
      <c r="S828" s="168">
        <v>1</v>
      </c>
    </row>
    <row r="829" spans="1:19" s="71" customFormat="1" ht="15" customHeight="1" x14ac:dyDescent="0.25">
      <c r="A829" s="236">
        <f t="shared" si="242"/>
        <v>80</v>
      </c>
      <c r="B829" s="236">
        <v>2955</v>
      </c>
      <c r="C829" s="233" t="s">
        <v>655</v>
      </c>
      <c r="D829" s="13">
        <v>1960</v>
      </c>
      <c r="E829" s="13" t="s">
        <v>95</v>
      </c>
      <c r="F829" s="13" t="s">
        <v>82</v>
      </c>
      <c r="G829" s="9">
        <v>1344.8</v>
      </c>
      <c r="H829" s="9">
        <v>1089.3</v>
      </c>
      <c r="I829" s="11">
        <v>97</v>
      </c>
      <c r="J829" s="9">
        <f>'Форма 2'!I3042</f>
        <v>394326.6</v>
      </c>
      <c r="K829" s="9">
        <v>0</v>
      </c>
      <c r="L829" s="9">
        <v>0</v>
      </c>
      <c r="M829" s="9">
        <v>0</v>
      </c>
      <c r="N829" s="9">
        <f t="shared" si="249"/>
        <v>394326.6</v>
      </c>
      <c r="O829" s="9">
        <v>0</v>
      </c>
      <c r="P829" s="9">
        <f t="shared" si="250"/>
        <v>362</v>
      </c>
      <c r="Q829" s="9">
        <f>'Форма 2'!K3042</f>
        <v>362</v>
      </c>
      <c r="R829" s="37" t="s">
        <v>377</v>
      </c>
      <c r="S829" s="168">
        <v>1</v>
      </c>
    </row>
    <row r="830" spans="1:19" ht="15.75" customHeight="1" x14ac:dyDescent="0.25">
      <c r="A830" s="279" t="s">
        <v>31</v>
      </c>
      <c r="B830" s="279"/>
      <c r="C830" s="279"/>
      <c r="D830" s="10" t="s">
        <v>13</v>
      </c>
      <c r="E830" s="9" t="s">
        <v>13</v>
      </c>
      <c r="F830" s="9" t="s">
        <v>13</v>
      </c>
      <c r="G830" s="9">
        <f>SUM(G831:G832)</f>
        <v>1553.3</v>
      </c>
      <c r="H830" s="9">
        <f t="shared" ref="H830:O830" si="251">SUM(H831:H832)</f>
        <v>1102.8</v>
      </c>
      <c r="I830" s="11">
        <f t="shared" si="251"/>
        <v>51</v>
      </c>
      <c r="J830" s="9">
        <f t="shared" si="251"/>
        <v>3216795.3</v>
      </c>
      <c r="K830" s="9">
        <f t="shared" si="251"/>
        <v>0</v>
      </c>
      <c r="L830" s="9">
        <f t="shared" si="251"/>
        <v>0</v>
      </c>
      <c r="M830" s="9">
        <f t="shared" si="251"/>
        <v>0</v>
      </c>
      <c r="N830" s="9">
        <f t="shared" si="251"/>
        <v>3216795.3</v>
      </c>
      <c r="O830" s="9">
        <f t="shared" si="251"/>
        <v>0</v>
      </c>
      <c r="P830" s="9" t="s">
        <v>13</v>
      </c>
      <c r="Q830" s="9" t="s">
        <v>13</v>
      </c>
      <c r="R830" s="9" t="s">
        <v>13</v>
      </c>
      <c r="S830" s="236" t="s">
        <v>13</v>
      </c>
    </row>
    <row r="831" spans="1:19" ht="15.75" customHeight="1" x14ac:dyDescent="0.25">
      <c r="A831" s="40">
        <v>1</v>
      </c>
      <c r="B831" s="40">
        <v>8047</v>
      </c>
      <c r="C831" s="41" t="s">
        <v>436</v>
      </c>
      <c r="D831" s="17">
        <v>1964</v>
      </c>
      <c r="E831" s="17" t="s">
        <v>68</v>
      </c>
      <c r="F831" s="17" t="s">
        <v>82</v>
      </c>
      <c r="G831" s="9">
        <v>410.7</v>
      </c>
      <c r="H831" s="9">
        <v>395.7</v>
      </c>
      <c r="I831" s="11">
        <v>12</v>
      </c>
      <c r="J831" s="9">
        <f>'Форма 2'!I3046</f>
        <v>3042141.6</v>
      </c>
      <c r="K831" s="9">
        <v>0</v>
      </c>
      <c r="L831" s="9">
        <v>0</v>
      </c>
      <c r="M831" s="9">
        <v>0</v>
      </c>
      <c r="N831" s="9">
        <f>J831-O831</f>
        <v>3042141.6</v>
      </c>
      <c r="O831" s="9">
        <v>0</v>
      </c>
      <c r="P831" s="9">
        <f>J831/H831</f>
        <v>7688</v>
      </c>
      <c r="Q831" s="9">
        <f>'Форма 2'!K3046</f>
        <v>7688</v>
      </c>
      <c r="R831" s="16">
        <v>2022</v>
      </c>
      <c r="S831" s="168">
        <v>1</v>
      </c>
    </row>
    <row r="832" spans="1:19" ht="15.75" customHeight="1" x14ac:dyDescent="0.25">
      <c r="A832" s="40">
        <f>A831+1</f>
        <v>2</v>
      </c>
      <c r="B832" s="40">
        <v>4847</v>
      </c>
      <c r="C832" s="41" t="s">
        <v>549</v>
      </c>
      <c r="D832" s="17">
        <v>1982</v>
      </c>
      <c r="E832" s="17" t="s">
        <v>68</v>
      </c>
      <c r="F832" s="17" t="s">
        <v>81</v>
      </c>
      <c r="G832" s="9">
        <v>1142.5999999999999</v>
      </c>
      <c r="H832" s="9">
        <v>707.1</v>
      </c>
      <c r="I832" s="11">
        <v>39</v>
      </c>
      <c r="J832" s="9">
        <f>'Форма 2'!I3049</f>
        <v>174653.7</v>
      </c>
      <c r="K832" s="9">
        <v>0</v>
      </c>
      <c r="L832" s="9">
        <v>0</v>
      </c>
      <c r="M832" s="9">
        <v>0</v>
      </c>
      <c r="N832" s="9">
        <f>J832-O832</f>
        <v>174653.7</v>
      </c>
      <c r="O832" s="9">
        <v>0</v>
      </c>
      <c r="P832" s="9">
        <f>J832/H832</f>
        <v>247</v>
      </c>
      <c r="Q832" s="9">
        <f>'Форма 2'!K3049</f>
        <v>247</v>
      </c>
      <c r="R832" s="16">
        <v>2022</v>
      </c>
      <c r="S832" s="168">
        <v>1</v>
      </c>
    </row>
    <row r="833" spans="1:19" ht="15.75" customHeight="1" x14ac:dyDescent="0.25">
      <c r="A833" s="278" t="s">
        <v>32</v>
      </c>
      <c r="B833" s="278"/>
      <c r="C833" s="278"/>
      <c r="D833" s="17" t="s">
        <v>13</v>
      </c>
      <c r="E833" s="17" t="s">
        <v>13</v>
      </c>
      <c r="F833" s="17" t="s">
        <v>13</v>
      </c>
      <c r="G833" s="35">
        <f t="shared" ref="G833:O833" si="252">SUM(G834:G834)</f>
        <v>585.54</v>
      </c>
      <c r="H833" s="35">
        <f t="shared" si="252"/>
        <v>520.9</v>
      </c>
      <c r="I833" s="39">
        <f t="shared" si="252"/>
        <v>19</v>
      </c>
      <c r="J833" s="35">
        <f t="shared" si="252"/>
        <v>2689632.61</v>
      </c>
      <c r="K833" s="35">
        <f t="shared" si="252"/>
        <v>0</v>
      </c>
      <c r="L833" s="35">
        <f t="shared" si="252"/>
        <v>0</v>
      </c>
      <c r="M833" s="35">
        <f t="shared" si="252"/>
        <v>0</v>
      </c>
      <c r="N833" s="35">
        <f t="shared" si="252"/>
        <v>2689632.61</v>
      </c>
      <c r="O833" s="35">
        <f t="shared" si="252"/>
        <v>0</v>
      </c>
      <c r="P833" s="9" t="s">
        <v>13</v>
      </c>
      <c r="Q833" s="9" t="s">
        <v>13</v>
      </c>
      <c r="R833" s="9" t="s">
        <v>13</v>
      </c>
      <c r="S833" s="15" t="s">
        <v>13</v>
      </c>
    </row>
    <row r="834" spans="1:19" ht="15.75" customHeight="1" x14ac:dyDescent="0.25">
      <c r="A834" s="242">
        <v>1</v>
      </c>
      <c r="B834" s="238">
        <v>7317</v>
      </c>
      <c r="C834" s="232" t="s">
        <v>489</v>
      </c>
      <c r="D834" s="34">
        <v>1969</v>
      </c>
      <c r="E834" s="34" t="s">
        <v>68</v>
      </c>
      <c r="F834" s="34" t="s">
        <v>114</v>
      </c>
      <c r="G834" s="35">
        <v>585.54</v>
      </c>
      <c r="H834" s="241">
        <v>520.9</v>
      </c>
      <c r="I834" s="39">
        <v>19</v>
      </c>
      <c r="J834" s="35">
        <f>'Форма 2'!I3052</f>
        <v>2689632.61</v>
      </c>
      <c r="K834" s="35">
        <v>0</v>
      </c>
      <c r="L834" s="35">
        <v>0</v>
      </c>
      <c r="M834" s="35">
        <v>0</v>
      </c>
      <c r="N834" s="35">
        <f>J834-K834-L834-M834-O834</f>
        <v>2689632.61</v>
      </c>
      <c r="O834" s="35">
        <v>0</v>
      </c>
      <c r="P834" s="9">
        <f>J834/H834</f>
        <v>5163.43</v>
      </c>
      <c r="Q834" s="9">
        <f>'Форма 2'!K3052</f>
        <v>8203</v>
      </c>
      <c r="R834" s="37" t="s">
        <v>377</v>
      </c>
      <c r="S834" s="15">
        <v>1</v>
      </c>
    </row>
    <row r="835" spans="1:19" ht="15.75" customHeight="1" x14ac:dyDescent="0.25">
      <c r="A835" s="281" t="s">
        <v>34</v>
      </c>
      <c r="B835" s="281"/>
      <c r="C835" s="281"/>
      <c r="D835" s="10" t="s">
        <v>13</v>
      </c>
      <c r="E835" s="9" t="s">
        <v>13</v>
      </c>
      <c r="F835" s="9" t="s">
        <v>13</v>
      </c>
      <c r="G835" s="35">
        <f>SUM(G836:G837)</f>
        <v>1294.9000000000001</v>
      </c>
      <c r="H835" s="35">
        <f t="shared" ref="H835:O835" si="253">SUM(H836:H837)</f>
        <v>1191.7</v>
      </c>
      <c r="I835" s="39">
        <f t="shared" si="253"/>
        <v>45</v>
      </c>
      <c r="J835" s="35">
        <f t="shared" si="253"/>
        <v>4256640.5</v>
      </c>
      <c r="K835" s="35">
        <f t="shared" si="253"/>
        <v>0</v>
      </c>
      <c r="L835" s="35">
        <f t="shared" si="253"/>
        <v>0</v>
      </c>
      <c r="M835" s="35">
        <f t="shared" si="253"/>
        <v>0</v>
      </c>
      <c r="N835" s="35">
        <f t="shared" si="253"/>
        <v>4256640.5</v>
      </c>
      <c r="O835" s="35">
        <f t="shared" si="253"/>
        <v>0</v>
      </c>
      <c r="P835" s="9" t="s">
        <v>13</v>
      </c>
      <c r="Q835" s="9" t="s">
        <v>13</v>
      </c>
      <c r="R835" s="9" t="s">
        <v>13</v>
      </c>
      <c r="S835" s="15" t="s">
        <v>13</v>
      </c>
    </row>
    <row r="836" spans="1:19" ht="15.75" customHeight="1" x14ac:dyDescent="0.25">
      <c r="A836" s="34">
        <v>1</v>
      </c>
      <c r="B836" s="40">
        <v>6732</v>
      </c>
      <c r="C836" s="29" t="s">
        <v>293</v>
      </c>
      <c r="D836" s="13">
        <v>1967</v>
      </c>
      <c r="E836" s="13" t="s">
        <v>230</v>
      </c>
      <c r="F836" s="13" t="s">
        <v>295</v>
      </c>
      <c r="G836" s="44">
        <v>319.5</v>
      </c>
      <c r="H836" s="28">
        <v>291.3</v>
      </c>
      <c r="I836" s="21">
        <v>11</v>
      </c>
      <c r="J836" s="9">
        <f>'Форма 2'!I3056</f>
        <v>1018676.1</v>
      </c>
      <c r="K836" s="9">
        <v>0</v>
      </c>
      <c r="L836" s="9">
        <v>0</v>
      </c>
      <c r="M836" s="9">
        <v>0</v>
      </c>
      <c r="N836" s="9">
        <f>J836-O836</f>
        <v>1018676.1</v>
      </c>
      <c r="O836" s="9">
        <v>0</v>
      </c>
      <c r="P836" s="9">
        <f>J836/H836</f>
        <v>3497</v>
      </c>
      <c r="Q836" s="9">
        <f>'Форма 2'!K3056</f>
        <v>3497</v>
      </c>
      <c r="R836" s="43">
        <v>2022</v>
      </c>
      <c r="S836" s="168">
        <v>1</v>
      </c>
    </row>
    <row r="837" spans="1:19" ht="15.75" customHeight="1" x14ac:dyDescent="0.25">
      <c r="A837" s="182">
        <f>A836+1</f>
        <v>2</v>
      </c>
      <c r="B837" s="182">
        <v>6723</v>
      </c>
      <c r="C837" s="246" t="s">
        <v>693</v>
      </c>
      <c r="D837" s="244">
        <v>1967</v>
      </c>
      <c r="E837" s="244" t="s">
        <v>68</v>
      </c>
      <c r="F837" s="244" t="s">
        <v>569</v>
      </c>
      <c r="G837" s="183">
        <v>975.4</v>
      </c>
      <c r="H837" s="184">
        <v>900.4</v>
      </c>
      <c r="I837" s="245">
        <v>34</v>
      </c>
      <c r="J837" s="132">
        <f>'Форма 2'!I3061</f>
        <v>3237964.4</v>
      </c>
      <c r="K837" s="132">
        <v>0</v>
      </c>
      <c r="L837" s="132">
        <v>0</v>
      </c>
      <c r="M837" s="132">
        <v>0</v>
      </c>
      <c r="N837" s="132">
        <f>J837-O837</f>
        <v>3237964.4</v>
      </c>
      <c r="O837" s="132">
        <v>0</v>
      </c>
      <c r="P837" s="132">
        <f>J837/H837</f>
        <v>3596.14</v>
      </c>
      <c r="Q837" s="173">
        <f>'Форма 2'!K3061</f>
        <v>7688</v>
      </c>
      <c r="R837" s="134">
        <v>2022</v>
      </c>
      <c r="S837" s="190">
        <v>1</v>
      </c>
    </row>
    <row r="838" spans="1:19" ht="15.75" customHeight="1" x14ac:dyDescent="0.25">
      <c r="A838" s="271" t="s">
        <v>35</v>
      </c>
      <c r="B838" s="272"/>
      <c r="C838" s="273"/>
      <c r="D838" s="40" t="s">
        <v>13</v>
      </c>
      <c r="E838" s="40" t="s">
        <v>13</v>
      </c>
      <c r="F838" s="40" t="s">
        <v>13</v>
      </c>
      <c r="G838" s="48">
        <f t="shared" ref="G838:O838" si="254">SUM(G839:G854)</f>
        <v>9071.9</v>
      </c>
      <c r="H838" s="48">
        <f t="shared" si="254"/>
        <v>8219.5</v>
      </c>
      <c r="I838" s="57">
        <f t="shared" si="254"/>
        <v>342</v>
      </c>
      <c r="J838" s="48">
        <f t="shared" si="254"/>
        <v>61058340.899999999</v>
      </c>
      <c r="K838" s="48">
        <f t="shared" si="254"/>
        <v>0</v>
      </c>
      <c r="L838" s="48">
        <f t="shared" si="254"/>
        <v>0</v>
      </c>
      <c r="M838" s="48">
        <f t="shared" si="254"/>
        <v>0</v>
      </c>
      <c r="N838" s="48">
        <f t="shared" si="254"/>
        <v>61058340.899999999</v>
      </c>
      <c r="O838" s="48">
        <f t="shared" si="254"/>
        <v>0</v>
      </c>
      <c r="P838" s="22" t="s">
        <v>13</v>
      </c>
      <c r="Q838" s="22" t="s">
        <v>13</v>
      </c>
      <c r="R838" s="22" t="s">
        <v>13</v>
      </c>
      <c r="S838" s="168" t="s">
        <v>13</v>
      </c>
    </row>
    <row r="839" spans="1:19" ht="15.75" customHeight="1" x14ac:dyDescent="0.25">
      <c r="A839" s="242">
        <v>1</v>
      </c>
      <c r="B839" s="242">
        <v>5379</v>
      </c>
      <c r="C839" s="232" t="s">
        <v>517</v>
      </c>
      <c r="D839" s="40">
        <v>1966</v>
      </c>
      <c r="E839" s="40" t="s">
        <v>158</v>
      </c>
      <c r="F839" s="40" t="s">
        <v>82</v>
      </c>
      <c r="G839" s="48">
        <v>369.2</v>
      </c>
      <c r="H839" s="48">
        <v>327.39999999999998</v>
      </c>
      <c r="I839" s="57">
        <v>10</v>
      </c>
      <c r="J839" s="48">
        <f>'Форма 2'!I3065</f>
        <v>1198611.3999999999</v>
      </c>
      <c r="K839" s="48">
        <v>0</v>
      </c>
      <c r="L839" s="48">
        <v>0</v>
      </c>
      <c r="M839" s="48">
        <v>0</v>
      </c>
      <c r="N839" s="22">
        <f t="shared" ref="N839:N853" si="255">J839-K839-L839-M839-O839</f>
        <v>1198611.3999999999</v>
      </c>
      <c r="O839" s="48">
        <v>0</v>
      </c>
      <c r="P839" s="9">
        <f t="shared" ref="P839:P853" si="256">J839/H839</f>
        <v>3661</v>
      </c>
      <c r="Q839" s="22">
        <f>'Форма 2'!K3065</f>
        <v>3661</v>
      </c>
      <c r="R839" s="31">
        <v>2022</v>
      </c>
      <c r="S839" s="168">
        <v>1</v>
      </c>
    </row>
    <row r="840" spans="1:19" ht="15.75" customHeight="1" x14ac:dyDescent="0.25">
      <c r="A840" s="242">
        <f t="shared" ref="A840:A854" si="257">A839+1</f>
        <v>2</v>
      </c>
      <c r="B840" s="242">
        <v>5584</v>
      </c>
      <c r="C840" s="231" t="s">
        <v>518</v>
      </c>
      <c r="D840" s="34">
        <v>1964</v>
      </c>
      <c r="E840" s="34" t="s">
        <v>68</v>
      </c>
      <c r="F840" s="34" t="s">
        <v>82</v>
      </c>
      <c r="G840" s="35">
        <v>313.7</v>
      </c>
      <c r="H840" s="35">
        <v>293.39999999999998</v>
      </c>
      <c r="I840" s="39">
        <v>16</v>
      </c>
      <c r="J840" s="35">
        <f>'Форма 2'!I3070</f>
        <v>2406760.2000000002</v>
      </c>
      <c r="K840" s="35">
        <v>0</v>
      </c>
      <c r="L840" s="35">
        <v>0</v>
      </c>
      <c r="M840" s="35">
        <v>0</v>
      </c>
      <c r="N840" s="22">
        <f t="shared" si="255"/>
        <v>2406760.2000000002</v>
      </c>
      <c r="O840" s="35">
        <v>0</v>
      </c>
      <c r="P840" s="9">
        <f t="shared" si="256"/>
        <v>8203</v>
      </c>
      <c r="Q840" s="9">
        <f>'Форма 2'!K3070</f>
        <v>8203</v>
      </c>
      <c r="R840" s="31">
        <v>2022</v>
      </c>
      <c r="S840" s="168">
        <v>1</v>
      </c>
    </row>
    <row r="841" spans="1:19" ht="15.75" customHeight="1" x14ac:dyDescent="0.25">
      <c r="A841" s="242">
        <f t="shared" si="257"/>
        <v>3</v>
      </c>
      <c r="B841" s="242">
        <v>5406</v>
      </c>
      <c r="C841" s="231" t="s">
        <v>494</v>
      </c>
      <c r="D841" s="34">
        <v>1963</v>
      </c>
      <c r="E841" s="34" t="s">
        <v>112</v>
      </c>
      <c r="F841" s="34" t="s">
        <v>82</v>
      </c>
      <c r="G841" s="35">
        <v>407.4</v>
      </c>
      <c r="H841" s="35">
        <v>380.2</v>
      </c>
      <c r="I841" s="39">
        <v>11</v>
      </c>
      <c r="J841" s="35">
        <f>'Форма 2'!I3073</f>
        <v>3971949.4</v>
      </c>
      <c r="K841" s="35">
        <v>0</v>
      </c>
      <c r="L841" s="35">
        <v>0</v>
      </c>
      <c r="M841" s="35">
        <v>0</v>
      </c>
      <c r="N841" s="22">
        <f>J841-K841-L841-M841-O841</f>
        <v>3971949.4</v>
      </c>
      <c r="O841" s="35">
        <v>0</v>
      </c>
      <c r="P841" s="9">
        <f>J841/H841</f>
        <v>10447</v>
      </c>
      <c r="Q841" s="9">
        <f>'Форма 2'!K3073</f>
        <v>10447</v>
      </c>
      <c r="R841" s="31">
        <v>2022</v>
      </c>
      <c r="S841" s="168">
        <v>1</v>
      </c>
    </row>
    <row r="842" spans="1:19" ht="15.75" customHeight="1" x14ac:dyDescent="0.25">
      <c r="A842" s="242">
        <f t="shared" si="257"/>
        <v>4</v>
      </c>
      <c r="B842" s="242">
        <v>5590</v>
      </c>
      <c r="C842" s="231" t="s">
        <v>495</v>
      </c>
      <c r="D842" s="34">
        <v>1963</v>
      </c>
      <c r="E842" s="34" t="s">
        <v>68</v>
      </c>
      <c r="F842" s="34" t="s">
        <v>82</v>
      </c>
      <c r="G842" s="35">
        <v>615.79999999999995</v>
      </c>
      <c r="H842" s="35">
        <v>542.9</v>
      </c>
      <c r="I842" s="39">
        <v>19</v>
      </c>
      <c r="J842" s="35">
        <f>'Форма 2'!I3078</f>
        <v>4453408.7</v>
      </c>
      <c r="K842" s="35">
        <v>0</v>
      </c>
      <c r="L842" s="35">
        <v>0</v>
      </c>
      <c r="M842" s="35">
        <v>0</v>
      </c>
      <c r="N842" s="22">
        <f>J842-K842-L842-M842-O842</f>
        <v>4453408.7</v>
      </c>
      <c r="O842" s="35">
        <v>0</v>
      </c>
      <c r="P842" s="9">
        <f>J842/H842</f>
        <v>8203</v>
      </c>
      <c r="Q842" s="9">
        <f>'Форма 2'!K3078</f>
        <v>8203</v>
      </c>
      <c r="R842" s="31">
        <v>2022</v>
      </c>
      <c r="S842" s="168">
        <v>1</v>
      </c>
    </row>
    <row r="843" spans="1:19" ht="15.75" customHeight="1" x14ac:dyDescent="0.25">
      <c r="A843" s="242">
        <f t="shared" si="257"/>
        <v>5</v>
      </c>
      <c r="B843" s="242">
        <v>5595</v>
      </c>
      <c r="C843" s="231" t="s">
        <v>725</v>
      </c>
      <c r="D843" s="34">
        <v>1966</v>
      </c>
      <c r="E843" s="34" t="s">
        <v>158</v>
      </c>
      <c r="F843" s="34" t="s">
        <v>82</v>
      </c>
      <c r="G843" s="35">
        <v>365.9</v>
      </c>
      <c r="H843" s="35">
        <v>344</v>
      </c>
      <c r="I843" s="47">
        <v>25</v>
      </c>
      <c r="J843" s="35">
        <f>'[2]Форма 2'!$I$157</f>
        <v>1259384</v>
      </c>
      <c r="K843" s="35">
        <v>0</v>
      </c>
      <c r="L843" s="35">
        <v>0</v>
      </c>
      <c r="M843" s="35">
        <v>0</v>
      </c>
      <c r="N843" s="22">
        <f>J843-K843-L843-M843-O843</f>
        <v>1259384</v>
      </c>
      <c r="O843" s="35">
        <v>0</v>
      </c>
      <c r="P843" s="9">
        <f>J843/H843</f>
        <v>3661</v>
      </c>
      <c r="Q843" s="9">
        <f>'Форма 2'!K3081</f>
        <v>3661</v>
      </c>
      <c r="R843" s="31">
        <v>2022</v>
      </c>
      <c r="S843" s="168">
        <v>1</v>
      </c>
    </row>
    <row r="844" spans="1:19" ht="15.75" customHeight="1" x14ac:dyDescent="0.25">
      <c r="A844" s="242">
        <f t="shared" si="257"/>
        <v>6</v>
      </c>
      <c r="B844" s="242">
        <v>5608</v>
      </c>
      <c r="C844" s="231" t="s">
        <v>523</v>
      </c>
      <c r="D844" s="34">
        <v>1970</v>
      </c>
      <c r="E844" s="40" t="s">
        <v>68</v>
      </c>
      <c r="F844" s="34" t="s">
        <v>82</v>
      </c>
      <c r="G844" s="35">
        <v>725</v>
      </c>
      <c r="H844" s="35">
        <v>689.9</v>
      </c>
      <c r="I844" s="39">
        <v>22</v>
      </c>
      <c r="J844" s="35">
        <f>'Форма 2'!I3086</f>
        <v>5659249.7000000002</v>
      </c>
      <c r="K844" s="35">
        <v>0</v>
      </c>
      <c r="L844" s="35">
        <v>0</v>
      </c>
      <c r="M844" s="35">
        <v>0</v>
      </c>
      <c r="N844" s="22">
        <f t="shared" si="255"/>
        <v>5659249.7000000002</v>
      </c>
      <c r="O844" s="22">
        <v>0</v>
      </c>
      <c r="P844" s="9">
        <f t="shared" si="256"/>
        <v>8203</v>
      </c>
      <c r="Q844" s="9">
        <f>'Форма 2'!K3086</f>
        <v>8203</v>
      </c>
      <c r="R844" s="31">
        <v>2022</v>
      </c>
      <c r="S844" s="168">
        <v>1</v>
      </c>
    </row>
    <row r="845" spans="1:19" ht="15.75" customHeight="1" x14ac:dyDescent="0.25">
      <c r="A845" s="242">
        <f t="shared" si="257"/>
        <v>7</v>
      </c>
      <c r="B845" s="40">
        <v>5627</v>
      </c>
      <c r="C845" s="231" t="s">
        <v>519</v>
      </c>
      <c r="D845" s="40">
        <v>1962</v>
      </c>
      <c r="E845" s="242" t="s">
        <v>68</v>
      </c>
      <c r="F845" s="242" t="s">
        <v>82</v>
      </c>
      <c r="G845" s="48">
        <v>755.5</v>
      </c>
      <c r="H845" s="22">
        <v>695.7</v>
      </c>
      <c r="I845" s="51">
        <v>27</v>
      </c>
      <c r="J845" s="22">
        <f>'Форма 2'!I3089</f>
        <v>5706827.0999999996</v>
      </c>
      <c r="K845" s="22">
        <v>0</v>
      </c>
      <c r="L845" s="22">
        <v>0</v>
      </c>
      <c r="M845" s="22">
        <v>0</v>
      </c>
      <c r="N845" s="22">
        <f t="shared" si="255"/>
        <v>5706827.0999999996</v>
      </c>
      <c r="O845" s="22">
        <v>0</v>
      </c>
      <c r="P845" s="22">
        <f t="shared" si="256"/>
        <v>8203</v>
      </c>
      <c r="Q845" s="22">
        <f>'Форма 2'!K3089</f>
        <v>8203</v>
      </c>
      <c r="R845" s="31">
        <v>2022</v>
      </c>
      <c r="S845" s="168">
        <v>1</v>
      </c>
    </row>
    <row r="846" spans="1:19" ht="15.75" customHeight="1" x14ac:dyDescent="0.25">
      <c r="A846" s="242">
        <f t="shared" si="257"/>
        <v>8</v>
      </c>
      <c r="B846" s="50">
        <v>5495</v>
      </c>
      <c r="C846" s="231" t="s">
        <v>524</v>
      </c>
      <c r="D846" s="40">
        <v>1970</v>
      </c>
      <c r="E846" s="242" t="s">
        <v>68</v>
      </c>
      <c r="F846" s="242" t="s">
        <v>82</v>
      </c>
      <c r="G846" s="48">
        <v>1580.9</v>
      </c>
      <c r="H846" s="22">
        <v>1511.2</v>
      </c>
      <c r="I846" s="51">
        <v>51</v>
      </c>
      <c r="J846" s="22">
        <f>'Форма 2'!I3092</f>
        <v>8804251.1999999993</v>
      </c>
      <c r="K846" s="22">
        <v>0</v>
      </c>
      <c r="L846" s="22">
        <v>0</v>
      </c>
      <c r="M846" s="22">
        <v>0</v>
      </c>
      <c r="N846" s="22">
        <f t="shared" si="255"/>
        <v>8804251.1999999993</v>
      </c>
      <c r="O846" s="22">
        <v>0</v>
      </c>
      <c r="P846" s="22">
        <f t="shared" si="256"/>
        <v>5826</v>
      </c>
      <c r="Q846" s="22">
        <f>'Форма 2'!K3092</f>
        <v>5826</v>
      </c>
      <c r="R846" s="31">
        <v>2022</v>
      </c>
      <c r="S846" s="168">
        <v>1</v>
      </c>
    </row>
    <row r="847" spans="1:19" ht="15.75" customHeight="1" x14ac:dyDescent="0.25">
      <c r="A847" s="40">
        <f t="shared" si="257"/>
        <v>9</v>
      </c>
      <c r="B847" s="40">
        <v>5474</v>
      </c>
      <c r="C847" s="232" t="s">
        <v>501</v>
      </c>
      <c r="D847" s="40">
        <v>1963</v>
      </c>
      <c r="E847" s="242" t="s">
        <v>68</v>
      </c>
      <c r="F847" s="242" t="s">
        <v>82</v>
      </c>
      <c r="G847" s="48">
        <v>983</v>
      </c>
      <c r="H847" s="22">
        <v>751.5</v>
      </c>
      <c r="I847" s="49">
        <v>37</v>
      </c>
      <c r="J847" s="22">
        <f>'Форма 2'!I3095</f>
        <v>6164554.5</v>
      </c>
      <c r="K847" s="22">
        <v>0</v>
      </c>
      <c r="L847" s="22">
        <v>0</v>
      </c>
      <c r="M847" s="22">
        <v>0</v>
      </c>
      <c r="N847" s="22">
        <f>J847-K847-L847-M847-O847</f>
        <v>6164554.5</v>
      </c>
      <c r="O847" s="22">
        <v>0</v>
      </c>
      <c r="P847" s="22">
        <f>J847/H847</f>
        <v>8203</v>
      </c>
      <c r="Q847" s="22">
        <f>'Форма 2'!K3095</f>
        <v>8203</v>
      </c>
      <c r="R847" s="31">
        <v>2022</v>
      </c>
      <c r="S847" s="168">
        <v>1</v>
      </c>
    </row>
    <row r="848" spans="1:19" ht="15.75" customHeight="1" x14ac:dyDescent="0.25">
      <c r="A848" s="40">
        <f t="shared" si="257"/>
        <v>10</v>
      </c>
      <c r="B848" s="50">
        <v>5483</v>
      </c>
      <c r="C848" s="232" t="s">
        <v>505</v>
      </c>
      <c r="D848" s="40">
        <v>1960</v>
      </c>
      <c r="E848" s="242" t="s">
        <v>68</v>
      </c>
      <c r="F848" s="242" t="s">
        <v>82</v>
      </c>
      <c r="G848" s="48">
        <v>354</v>
      </c>
      <c r="H848" s="22">
        <v>323</v>
      </c>
      <c r="I848" s="53">
        <v>13</v>
      </c>
      <c r="J848" s="22">
        <f>'Форма 2'!I3098</f>
        <v>2649569</v>
      </c>
      <c r="K848" s="22">
        <v>0</v>
      </c>
      <c r="L848" s="22">
        <v>0</v>
      </c>
      <c r="M848" s="22">
        <v>0</v>
      </c>
      <c r="N848" s="22">
        <f>J848-K848-L848-M848-O848</f>
        <v>2649569</v>
      </c>
      <c r="O848" s="22">
        <v>0</v>
      </c>
      <c r="P848" s="22">
        <f>J848/H848</f>
        <v>8203</v>
      </c>
      <c r="Q848" s="22">
        <f>'Форма 2'!K3098</f>
        <v>8203</v>
      </c>
      <c r="R848" s="31">
        <v>2022</v>
      </c>
      <c r="S848" s="168">
        <v>1</v>
      </c>
    </row>
    <row r="849" spans="1:19" ht="15.75" customHeight="1" x14ac:dyDescent="0.25">
      <c r="A849" s="242">
        <f t="shared" si="257"/>
        <v>11</v>
      </c>
      <c r="B849" s="242">
        <v>8311</v>
      </c>
      <c r="C849" s="231" t="s">
        <v>726</v>
      </c>
      <c r="D849" s="34">
        <v>1957</v>
      </c>
      <c r="E849" s="34" t="s">
        <v>112</v>
      </c>
      <c r="F849" s="34" t="s">
        <v>82</v>
      </c>
      <c r="G849" s="35">
        <v>512</v>
      </c>
      <c r="H849" s="35">
        <v>497.1</v>
      </c>
      <c r="I849" s="39">
        <v>20</v>
      </c>
      <c r="J849" s="35">
        <f>'Форма 2'!I3101</f>
        <v>5193203.7</v>
      </c>
      <c r="K849" s="35">
        <v>0</v>
      </c>
      <c r="L849" s="35">
        <v>0</v>
      </c>
      <c r="M849" s="35">
        <v>0</v>
      </c>
      <c r="N849" s="22">
        <f t="shared" ref="N849" si="258">J849-K849-L849-M849-O849</f>
        <v>5193203.7</v>
      </c>
      <c r="O849" s="35">
        <v>0</v>
      </c>
      <c r="P849" s="9">
        <f t="shared" ref="P849" si="259">J849/H849</f>
        <v>10447</v>
      </c>
      <c r="Q849" s="9">
        <f>'Форма 2'!K3101</f>
        <v>10447</v>
      </c>
      <c r="R849" s="31">
        <v>2022</v>
      </c>
      <c r="S849" s="168">
        <v>1</v>
      </c>
    </row>
    <row r="850" spans="1:19" ht="15.75" customHeight="1" x14ac:dyDescent="0.25">
      <c r="A850" s="40">
        <f t="shared" si="257"/>
        <v>12</v>
      </c>
      <c r="B850" s="50">
        <v>5716</v>
      </c>
      <c r="C850" s="232" t="s">
        <v>520</v>
      </c>
      <c r="D850" s="40">
        <v>1965</v>
      </c>
      <c r="E850" s="242" t="s">
        <v>68</v>
      </c>
      <c r="F850" s="242" t="s">
        <v>82</v>
      </c>
      <c r="G850" s="48">
        <v>432.7</v>
      </c>
      <c r="H850" s="22">
        <v>380.8</v>
      </c>
      <c r="I850" s="57">
        <v>12</v>
      </c>
      <c r="J850" s="22">
        <f>'Форма 2'!I3106</f>
        <v>3123702.4</v>
      </c>
      <c r="K850" s="22">
        <v>0</v>
      </c>
      <c r="L850" s="22">
        <v>0</v>
      </c>
      <c r="M850" s="22">
        <v>0</v>
      </c>
      <c r="N850" s="22">
        <f t="shared" si="255"/>
        <v>3123702.4</v>
      </c>
      <c r="O850" s="35">
        <v>0</v>
      </c>
      <c r="P850" s="22">
        <f t="shared" si="256"/>
        <v>8203</v>
      </c>
      <c r="Q850" s="22">
        <f>'Форма 2'!K3106</f>
        <v>8203</v>
      </c>
      <c r="R850" s="31">
        <v>2022</v>
      </c>
      <c r="S850" s="168">
        <v>1</v>
      </c>
    </row>
    <row r="851" spans="1:19" ht="15.75" customHeight="1" x14ac:dyDescent="0.25">
      <c r="A851" s="40">
        <f t="shared" si="257"/>
        <v>13</v>
      </c>
      <c r="B851" s="50">
        <v>5718</v>
      </c>
      <c r="C851" s="232" t="s">
        <v>521</v>
      </c>
      <c r="D851" s="40">
        <v>1967</v>
      </c>
      <c r="E851" s="242" t="s">
        <v>68</v>
      </c>
      <c r="F851" s="242" t="s">
        <v>82</v>
      </c>
      <c r="G851" s="48">
        <v>412.1</v>
      </c>
      <c r="H851" s="22">
        <v>376.5</v>
      </c>
      <c r="I851" s="57">
        <v>15</v>
      </c>
      <c r="J851" s="22">
        <f>'Форма 2'!I3109</f>
        <v>3088429.5</v>
      </c>
      <c r="K851" s="22">
        <v>0</v>
      </c>
      <c r="L851" s="22">
        <v>0</v>
      </c>
      <c r="M851" s="22">
        <v>0</v>
      </c>
      <c r="N851" s="22">
        <f t="shared" si="255"/>
        <v>3088429.5</v>
      </c>
      <c r="O851" s="22">
        <v>0</v>
      </c>
      <c r="P851" s="22">
        <f t="shared" si="256"/>
        <v>8203</v>
      </c>
      <c r="Q851" s="22">
        <f>'Форма 2'!K3109</f>
        <v>8203</v>
      </c>
      <c r="R851" s="31">
        <v>2022</v>
      </c>
      <c r="S851" s="168">
        <v>1</v>
      </c>
    </row>
    <row r="852" spans="1:19" ht="15.75" customHeight="1" x14ac:dyDescent="0.25">
      <c r="A852" s="242">
        <f t="shared" si="257"/>
        <v>14</v>
      </c>
      <c r="B852" s="50">
        <v>5719</v>
      </c>
      <c r="C852" s="232" t="s">
        <v>727</v>
      </c>
      <c r="D852" s="40">
        <v>1968</v>
      </c>
      <c r="E852" s="242" t="s">
        <v>158</v>
      </c>
      <c r="F852" s="242" t="s">
        <v>82</v>
      </c>
      <c r="G852" s="48">
        <v>426</v>
      </c>
      <c r="H852" s="22">
        <v>372.8</v>
      </c>
      <c r="I852" s="57">
        <v>12</v>
      </c>
      <c r="J852" s="22">
        <f>'Форма 2'!I3112</f>
        <v>1364820.8</v>
      </c>
      <c r="K852" s="22">
        <v>0</v>
      </c>
      <c r="L852" s="22">
        <v>0</v>
      </c>
      <c r="M852" s="22">
        <v>0</v>
      </c>
      <c r="N852" s="22">
        <f t="shared" si="255"/>
        <v>1364820.8</v>
      </c>
      <c r="O852" s="22">
        <v>0</v>
      </c>
      <c r="P852" s="22">
        <f t="shared" si="256"/>
        <v>3661</v>
      </c>
      <c r="Q852" s="22">
        <f>'Форма 2'!K3112</f>
        <v>3661</v>
      </c>
      <c r="R852" s="31">
        <v>2022</v>
      </c>
      <c r="S852" s="168">
        <v>1</v>
      </c>
    </row>
    <row r="853" spans="1:19" ht="15.75" customHeight="1" x14ac:dyDescent="0.25">
      <c r="A853" s="40">
        <f t="shared" si="257"/>
        <v>15</v>
      </c>
      <c r="B853" s="50">
        <v>5795</v>
      </c>
      <c r="C853" s="232" t="s">
        <v>522</v>
      </c>
      <c r="D853" s="40">
        <v>1969</v>
      </c>
      <c r="E853" s="242" t="s">
        <v>68</v>
      </c>
      <c r="F853" s="242" t="s">
        <v>82</v>
      </c>
      <c r="G853" s="35">
        <v>419.2</v>
      </c>
      <c r="H853" s="35">
        <v>379.2</v>
      </c>
      <c r="I853" s="57">
        <v>30</v>
      </c>
      <c r="J853" s="22">
        <f>'Форма 2'!I3117</f>
        <v>3110577.6</v>
      </c>
      <c r="K853" s="22">
        <v>0</v>
      </c>
      <c r="L853" s="22">
        <v>0</v>
      </c>
      <c r="M853" s="22">
        <v>0</v>
      </c>
      <c r="N853" s="22">
        <f t="shared" si="255"/>
        <v>3110577.6</v>
      </c>
      <c r="O853" s="22">
        <v>0</v>
      </c>
      <c r="P853" s="22">
        <f t="shared" si="256"/>
        <v>8203</v>
      </c>
      <c r="Q853" s="22">
        <f>'Форма 2'!K3117</f>
        <v>8203</v>
      </c>
      <c r="R853" s="31">
        <v>2022</v>
      </c>
      <c r="S853" s="168">
        <v>1</v>
      </c>
    </row>
    <row r="854" spans="1:19" ht="15.75" customHeight="1" x14ac:dyDescent="0.25">
      <c r="A854" s="40">
        <f t="shared" si="257"/>
        <v>16</v>
      </c>
      <c r="B854" s="40">
        <v>5797</v>
      </c>
      <c r="C854" s="232" t="s">
        <v>498</v>
      </c>
      <c r="D854" s="40">
        <v>1965</v>
      </c>
      <c r="E854" s="242" t="s">
        <v>68</v>
      </c>
      <c r="F854" s="242" t="s">
        <v>82</v>
      </c>
      <c r="G854" s="48">
        <v>399.5</v>
      </c>
      <c r="H854" s="22">
        <v>353.9</v>
      </c>
      <c r="I854" s="51">
        <v>22</v>
      </c>
      <c r="J854" s="22">
        <f>'Форма 2'!I3120</f>
        <v>2903041.7</v>
      </c>
      <c r="K854" s="22">
        <v>0</v>
      </c>
      <c r="L854" s="22">
        <v>0</v>
      </c>
      <c r="M854" s="22">
        <v>0</v>
      </c>
      <c r="N854" s="22">
        <f>J854-K854-L854-M854-O854</f>
        <v>2903041.7</v>
      </c>
      <c r="O854" s="22">
        <v>0</v>
      </c>
      <c r="P854" s="22">
        <f>J854/H854</f>
        <v>8203</v>
      </c>
      <c r="Q854" s="22">
        <f>'Форма 2'!K3120</f>
        <v>8203</v>
      </c>
      <c r="R854" s="31">
        <v>2022</v>
      </c>
      <c r="S854" s="168">
        <v>1</v>
      </c>
    </row>
    <row r="855" spans="1:19" ht="15.75" customHeight="1" x14ac:dyDescent="0.25">
      <c r="A855" s="281" t="s">
        <v>36</v>
      </c>
      <c r="B855" s="281"/>
      <c r="C855" s="281"/>
      <c r="D855" s="10" t="s">
        <v>13</v>
      </c>
      <c r="E855" s="9" t="s">
        <v>13</v>
      </c>
      <c r="F855" s="9" t="s">
        <v>13</v>
      </c>
      <c r="G855" s="9">
        <f>SUM(G856:G859)</f>
        <v>1532.8</v>
      </c>
      <c r="H855" s="9">
        <f t="shared" ref="H855:O855" si="260">SUM(H856:H859)</f>
        <v>1350.3</v>
      </c>
      <c r="I855" s="11">
        <f t="shared" si="260"/>
        <v>77</v>
      </c>
      <c r="J855" s="9">
        <f t="shared" si="260"/>
        <v>4916107.9000000004</v>
      </c>
      <c r="K855" s="9">
        <f t="shared" si="260"/>
        <v>0</v>
      </c>
      <c r="L855" s="9">
        <f t="shared" si="260"/>
        <v>0</v>
      </c>
      <c r="M855" s="9">
        <f t="shared" si="260"/>
        <v>0</v>
      </c>
      <c r="N855" s="9">
        <f t="shared" si="260"/>
        <v>4916107.9000000004</v>
      </c>
      <c r="O855" s="9">
        <f t="shared" si="260"/>
        <v>0</v>
      </c>
      <c r="P855" s="9" t="s">
        <v>13</v>
      </c>
      <c r="Q855" s="9" t="s">
        <v>13</v>
      </c>
      <c r="R855" s="9" t="s">
        <v>13</v>
      </c>
      <c r="S855" s="15" t="s">
        <v>13</v>
      </c>
    </row>
    <row r="856" spans="1:19" ht="15.75" customHeight="1" x14ac:dyDescent="0.25">
      <c r="A856" s="198">
        <v>1</v>
      </c>
      <c r="B856" s="198">
        <v>4893</v>
      </c>
      <c r="C856" s="207" t="s">
        <v>697</v>
      </c>
      <c r="D856" s="129">
        <v>1968</v>
      </c>
      <c r="E856" s="129" t="s">
        <v>232</v>
      </c>
      <c r="F856" s="129" t="s">
        <v>81</v>
      </c>
      <c r="G856" s="173">
        <v>335.1</v>
      </c>
      <c r="H856" s="173">
        <v>303.3</v>
      </c>
      <c r="I856" s="208">
        <v>10</v>
      </c>
      <c r="J856" s="173">
        <f>'Форма 2'!I3124</f>
        <v>13951.8</v>
      </c>
      <c r="K856" s="132">
        <v>0</v>
      </c>
      <c r="L856" s="132">
        <v>0</v>
      </c>
      <c r="M856" s="132">
        <v>0</v>
      </c>
      <c r="N856" s="132">
        <f>J856-O856</f>
        <v>13951.8</v>
      </c>
      <c r="O856" s="132">
        <v>0</v>
      </c>
      <c r="P856" s="132">
        <f>J856/H856</f>
        <v>46</v>
      </c>
      <c r="Q856" s="173">
        <f>'Форма 2'!K3124</f>
        <v>46</v>
      </c>
      <c r="R856" s="132" t="s">
        <v>377</v>
      </c>
      <c r="S856" s="190">
        <v>1</v>
      </c>
    </row>
    <row r="857" spans="1:19" ht="15.75" customHeight="1" x14ac:dyDescent="0.25">
      <c r="A857" s="198">
        <f>A856+1</f>
        <v>2</v>
      </c>
      <c r="B857" s="198">
        <v>4902</v>
      </c>
      <c r="C857" s="207" t="s">
        <v>698</v>
      </c>
      <c r="D857" s="129">
        <v>1971</v>
      </c>
      <c r="E857" s="129" t="s">
        <v>232</v>
      </c>
      <c r="F857" s="129" t="s">
        <v>81</v>
      </c>
      <c r="G857" s="173">
        <v>373.6</v>
      </c>
      <c r="H857" s="173">
        <v>335.4</v>
      </c>
      <c r="I857" s="208">
        <v>25</v>
      </c>
      <c r="J857" s="173">
        <f>'Форма 2'!I3126</f>
        <v>15428.4</v>
      </c>
      <c r="K857" s="132">
        <v>0</v>
      </c>
      <c r="L857" s="132">
        <v>0</v>
      </c>
      <c r="M857" s="132">
        <v>0</v>
      </c>
      <c r="N857" s="132">
        <f>J857-O857</f>
        <v>15428.4</v>
      </c>
      <c r="O857" s="132">
        <v>0</v>
      </c>
      <c r="P857" s="132">
        <f>J857/H857</f>
        <v>46</v>
      </c>
      <c r="Q857" s="173">
        <f>'Форма 2'!K3126</f>
        <v>46</v>
      </c>
      <c r="R857" s="132" t="s">
        <v>377</v>
      </c>
      <c r="S857" s="190">
        <v>1</v>
      </c>
    </row>
    <row r="858" spans="1:19" ht="15.75" customHeight="1" x14ac:dyDescent="0.25">
      <c r="A858" s="198">
        <f>A857+1</f>
        <v>3</v>
      </c>
      <c r="B858" s="198">
        <v>4930</v>
      </c>
      <c r="C858" s="246" t="s">
        <v>696</v>
      </c>
      <c r="D858" s="244">
        <v>1965</v>
      </c>
      <c r="E858" s="244" t="s">
        <v>68</v>
      </c>
      <c r="F858" s="244" t="s">
        <v>82</v>
      </c>
      <c r="G858" s="173">
        <v>395.9</v>
      </c>
      <c r="H858" s="173">
        <v>353.7</v>
      </c>
      <c r="I858" s="186">
        <v>22</v>
      </c>
      <c r="J858" s="173">
        <f>'Форма 2'!I3128</f>
        <v>1950874</v>
      </c>
      <c r="K858" s="132">
        <v>0</v>
      </c>
      <c r="L858" s="132">
        <v>0</v>
      </c>
      <c r="M858" s="132">
        <v>0</v>
      </c>
      <c r="N858" s="132">
        <f>J858-O858</f>
        <v>1950874</v>
      </c>
      <c r="O858" s="132">
        <v>0</v>
      </c>
      <c r="P858" s="132">
        <f>J858/H858</f>
        <v>5515.62</v>
      </c>
      <c r="Q858" s="173">
        <f>'Форма 2'!K3128</f>
        <v>8203</v>
      </c>
      <c r="R858" s="132" t="s">
        <v>377</v>
      </c>
      <c r="S858" s="190">
        <v>1</v>
      </c>
    </row>
    <row r="859" spans="1:19" ht="15.75" customHeight="1" x14ac:dyDescent="0.25">
      <c r="A859" s="40">
        <f t="shared" ref="A859" si="261">A858+1</f>
        <v>4</v>
      </c>
      <c r="B859" s="40">
        <v>4933</v>
      </c>
      <c r="C859" s="260" t="s">
        <v>568</v>
      </c>
      <c r="D859" s="255">
        <v>1991</v>
      </c>
      <c r="E859" s="255" t="s">
        <v>68</v>
      </c>
      <c r="F859" s="255" t="s">
        <v>82</v>
      </c>
      <c r="G859" s="22">
        <v>428.2</v>
      </c>
      <c r="H859" s="22">
        <v>357.9</v>
      </c>
      <c r="I859" s="55">
        <v>20</v>
      </c>
      <c r="J859" s="22">
        <f>'Форма 2'!I3131</f>
        <v>2935853.7</v>
      </c>
      <c r="K859" s="9">
        <v>0</v>
      </c>
      <c r="L859" s="9">
        <v>0</v>
      </c>
      <c r="M859" s="9">
        <v>0</v>
      </c>
      <c r="N859" s="9">
        <f>J859-O859</f>
        <v>2935853.7</v>
      </c>
      <c r="O859" s="9">
        <v>0</v>
      </c>
      <c r="P859" s="9">
        <f>J859/H859</f>
        <v>8203</v>
      </c>
      <c r="Q859" s="22">
        <f>'Форма 2'!K3131</f>
        <v>8203</v>
      </c>
      <c r="R859" s="56" t="s">
        <v>377</v>
      </c>
      <c r="S859" s="168">
        <v>1</v>
      </c>
    </row>
    <row r="860" spans="1:19" ht="15.75" customHeight="1" x14ac:dyDescent="0.25">
      <c r="A860" s="281" t="s">
        <v>48</v>
      </c>
      <c r="B860" s="281"/>
      <c r="C860" s="281"/>
      <c r="D860" s="10" t="s">
        <v>13</v>
      </c>
      <c r="E860" s="9" t="s">
        <v>13</v>
      </c>
      <c r="F860" s="9" t="s">
        <v>13</v>
      </c>
      <c r="G860" s="9">
        <f t="shared" ref="G860:O860" si="262">SUM(G861:G861)</f>
        <v>468.3</v>
      </c>
      <c r="H860" s="9">
        <f t="shared" si="262"/>
        <v>446</v>
      </c>
      <c r="I860" s="11">
        <f t="shared" si="262"/>
        <v>22</v>
      </c>
      <c r="J860" s="9">
        <f t="shared" si="262"/>
        <v>1715762</v>
      </c>
      <c r="K860" s="9">
        <f t="shared" si="262"/>
        <v>0</v>
      </c>
      <c r="L860" s="9">
        <f t="shared" si="262"/>
        <v>0</v>
      </c>
      <c r="M860" s="9">
        <f t="shared" si="262"/>
        <v>0</v>
      </c>
      <c r="N860" s="9">
        <f t="shared" si="262"/>
        <v>1715762</v>
      </c>
      <c r="O860" s="9">
        <f t="shared" si="262"/>
        <v>0</v>
      </c>
      <c r="P860" s="9" t="s">
        <v>13</v>
      </c>
      <c r="Q860" s="9" t="s">
        <v>13</v>
      </c>
      <c r="R860" s="9" t="s">
        <v>13</v>
      </c>
      <c r="S860" s="15" t="s">
        <v>13</v>
      </c>
    </row>
    <row r="861" spans="1:19" ht="15.75" customHeight="1" x14ac:dyDescent="0.25">
      <c r="A861" s="33">
        <v>1</v>
      </c>
      <c r="B861" s="251">
        <v>6756</v>
      </c>
      <c r="C861" s="29" t="s">
        <v>300</v>
      </c>
      <c r="D861" s="13">
        <v>1967</v>
      </c>
      <c r="E861" s="13" t="s">
        <v>230</v>
      </c>
      <c r="F861" s="13" t="s">
        <v>87</v>
      </c>
      <c r="G861" s="44">
        <v>468.3</v>
      </c>
      <c r="H861" s="9">
        <v>446</v>
      </c>
      <c r="I861" s="21">
        <v>22</v>
      </c>
      <c r="J861" s="9">
        <f>'Форма 2'!I3135</f>
        <v>1715762</v>
      </c>
      <c r="K861" s="9">
        <v>0</v>
      </c>
      <c r="L861" s="9">
        <v>0</v>
      </c>
      <c r="M861" s="9">
        <v>0</v>
      </c>
      <c r="N861" s="9">
        <f>J861-L861-M861-O861</f>
        <v>1715762</v>
      </c>
      <c r="O861" s="9">
        <v>0</v>
      </c>
      <c r="P861" s="9">
        <f>J861/H861</f>
        <v>3847</v>
      </c>
      <c r="Q861" s="9">
        <f>'Форма 2'!K3135</f>
        <v>3847</v>
      </c>
      <c r="R861" s="43">
        <v>2022</v>
      </c>
      <c r="S861" s="168">
        <v>1</v>
      </c>
    </row>
    <row r="862" spans="1:19" ht="15.75" customHeight="1" x14ac:dyDescent="0.25">
      <c r="A862" s="271" t="s">
        <v>38</v>
      </c>
      <c r="B862" s="272"/>
      <c r="C862" s="273"/>
      <c r="D862" s="34" t="s">
        <v>13</v>
      </c>
      <c r="E862" s="34" t="s">
        <v>13</v>
      </c>
      <c r="F862" s="34" t="s">
        <v>13</v>
      </c>
      <c r="G862" s="35">
        <f t="shared" ref="G862:O862" si="263">SUM(G863:G864)</f>
        <v>820.08</v>
      </c>
      <c r="H862" s="35">
        <f t="shared" si="263"/>
        <v>747</v>
      </c>
      <c r="I862" s="39">
        <f t="shared" si="263"/>
        <v>40</v>
      </c>
      <c r="J862" s="35">
        <f t="shared" si="263"/>
        <v>3261759.3</v>
      </c>
      <c r="K862" s="35">
        <f t="shared" si="263"/>
        <v>0</v>
      </c>
      <c r="L862" s="35">
        <f t="shared" si="263"/>
        <v>0</v>
      </c>
      <c r="M862" s="35">
        <f t="shared" si="263"/>
        <v>0</v>
      </c>
      <c r="N862" s="35">
        <f t="shared" si="263"/>
        <v>3261759.3</v>
      </c>
      <c r="O862" s="35">
        <f t="shared" si="263"/>
        <v>0</v>
      </c>
      <c r="P862" s="9" t="s">
        <v>13</v>
      </c>
      <c r="Q862" s="9" t="s">
        <v>13</v>
      </c>
      <c r="R862" s="9" t="s">
        <v>13</v>
      </c>
      <c r="S862" s="15" t="s">
        <v>13</v>
      </c>
    </row>
    <row r="863" spans="1:19" ht="15.75" customHeight="1" x14ac:dyDescent="0.25">
      <c r="A863" s="191">
        <v>1</v>
      </c>
      <c r="B863" s="192">
        <v>4966</v>
      </c>
      <c r="C863" s="193" t="s">
        <v>700</v>
      </c>
      <c r="D863" s="194">
        <v>1968</v>
      </c>
      <c r="E863" s="194" t="s">
        <v>68</v>
      </c>
      <c r="F863" s="194" t="s">
        <v>82</v>
      </c>
      <c r="G863" s="140">
        <v>402.2</v>
      </c>
      <c r="H863" s="140">
        <v>376.3</v>
      </c>
      <c r="I863" s="141">
        <v>13</v>
      </c>
      <c r="J863" s="140">
        <f>'Форма 2'!I3143</f>
        <v>3086788.9</v>
      </c>
      <c r="K863" s="140">
        <v>0</v>
      </c>
      <c r="L863" s="140">
        <v>0</v>
      </c>
      <c r="M863" s="140">
        <v>0</v>
      </c>
      <c r="N863" s="140">
        <f>J863-K863-L863-M863-O863</f>
        <v>3086788.9</v>
      </c>
      <c r="O863" s="140">
        <v>0</v>
      </c>
      <c r="P863" s="195">
        <f>J863/H863</f>
        <v>8203</v>
      </c>
      <c r="Q863" s="195">
        <f>'Форма 2'!K3143</f>
        <v>8203</v>
      </c>
      <c r="R863" s="196">
        <v>2022</v>
      </c>
      <c r="S863" s="263">
        <v>1</v>
      </c>
    </row>
    <row r="864" spans="1:19" ht="15.75" customHeight="1" x14ac:dyDescent="0.25">
      <c r="A864" s="191">
        <v>2</v>
      </c>
      <c r="B864" s="192">
        <v>4983</v>
      </c>
      <c r="C864" s="193" t="s">
        <v>701</v>
      </c>
      <c r="D864" s="194">
        <v>1958</v>
      </c>
      <c r="E864" s="194" t="s">
        <v>702</v>
      </c>
      <c r="F864" s="194" t="s">
        <v>81</v>
      </c>
      <c r="G864" s="140">
        <v>417.88</v>
      </c>
      <c r="H864" s="140">
        <v>370.7</v>
      </c>
      <c r="I864" s="141">
        <v>27</v>
      </c>
      <c r="J864" s="140">
        <f>'Форма 2'!I3146</f>
        <v>174970.4</v>
      </c>
      <c r="K864" s="140">
        <v>0</v>
      </c>
      <c r="L864" s="140">
        <v>0</v>
      </c>
      <c r="M864" s="140">
        <v>0</v>
      </c>
      <c r="N864" s="140">
        <f>J864-K864-L864-M864-O864</f>
        <v>174970.4</v>
      </c>
      <c r="O864" s="140">
        <v>0</v>
      </c>
      <c r="P864" s="195">
        <f>J864/H864</f>
        <v>472</v>
      </c>
      <c r="Q864" s="195">
        <f>'Форма 2'!K3146</f>
        <v>472</v>
      </c>
      <c r="R864" s="196">
        <v>2022</v>
      </c>
      <c r="S864" s="263">
        <v>1</v>
      </c>
    </row>
    <row r="865" spans="1:19" ht="15.75" customHeight="1" x14ac:dyDescent="0.25">
      <c r="A865" s="280" t="s">
        <v>51</v>
      </c>
      <c r="B865" s="280"/>
      <c r="C865" s="280"/>
      <c r="D865" s="10" t="s">
        <v>13</v>
      </c>
      <c r="E865" s="9" t="s">
        <v>13</v>
      </c>
      <c r="F865" s="9" t="s">
        <v>13</v>
      </c>
      <c r="G865" s="35">
        <f>SUM(G866:G871)</f>
        <v>2449.59</v>
      </c>
      <c r="H865" s="35">
        <f t="shared" ref="H865:O865" si="264">SUM(H866:H871)</f>
        <v>1725.2</v>
      </c>
      <c r="I865" s="39">
        <f t="shared" si="264"/>
        <v>92</v>
      </c>
      <c r="J865" s="35">
        <f t="shared" si="264"/>
        <v>5501536.3600000003</v>
      </c>
      <c r="K865" s="35">
        <f t="shared" si="264"/>
        <v>0</v>
      </c>
      <c r="L865" s="35">
        <f t="shared" si="264"/>
        <v>0</v>
      </c>
      <c r="M865" s="35">
        <f t="shared" si="264"/>
        <v>0</v>
      </c>
      <c r="N865" s="35">
        <f t="shared" si="264"/>
        <v>5501536.3600000003</v>
      </c>
      <c r="O865" s="35">
        <f t="shared" si="264"/>
        <v>0</v>
      </c>
      <c r="P865" s="9" t="s">
        <v>13</v>
      </c>
      <c r="Q865" s="9" t="s">
        <v>13</v>
      </c>
      <c r="R865" s="9" t="s">
        <v>13</v>
      </c>
      <c r="S865" s="15" t="s">
        <v>13</v>
      </c>
    </row>
    <row r="866" spans="1:19" ht="15.75" customHeight="1" x14ac:dyDescent="0.25">
      <c r="A866" s="182">
        <v>1</v>
      </c>
      <c r="B866" s="182">
        <v>7391</v>
      </c>
      <c r="C866" s="128" t="s">
        <v>706</v>
      </c>
      <c r="D866" s="129">
        <v>1980</v>
      </c>
      <c r="E866" s="130" t="s">
        <v>230</v>
      </c>
      <c r="F866" s="130" t="s">
        <v>81</v>
      </c>
      <c r="G866" s="131">
        <v>713.5</v>
      </c>
      <c r="H866" s="132">
        <v>381.4</v>
      </c>
      <c r="I866" s="133">
        <v>16</v>
      </c>
      <c r="J866" s="132">
        <f>'Форма 2'!I3150</f>
        <v>67126.399999999994</v>
      </c>
      <c r="K866" s="132">
        <v>0</v>
      </c>
      <c r="L866" s="132">
        <v>0</v>
      </c>
      <c r="M866" s="132">
        <v>0</v>
      </c>
      <c r="N866" s="132">
        <f t="shared" ref="N866:N870" si="265">J866-K866-L866-M866-O866</f>
        <v>67126.399999999994</v>
      </c>
      <c r="O866" s="132">
        <v>0</v>
      </c>
      <c r="P866" s="132">
        <f t="shared" ref="P866:P870" si="266">J866/H866</f>
        <v>176</v>
      </c>
      <c r="Q866" s="132">
        <f>'Форма 2'!K3150</f>
        <v>176</v>
      </c>
      <c r="R866" s="134">
        <v>2022</v>
      </c>
      <c r="S866" s="190">
        <v>1</v>
      </c>
    </row>
    <row r="867" spans="1:19" ht="15.75" customHeight="1" x14ac:dyDescent="0.25">
      <c r="A867" s="182">
        <f>A866+1</f>
        <v>2</v>
      </c>
      <c r="B867" s="182">
        <v>7399</v>
      </c>
      <c r="C867" s="128" t="s">
        <v>703</v>
      </c>
      <c r="D867" s="129">
        <v>1969</v>
      </c>
      <c r="E867" s="130" t="s">
        <v>68</v>
      </c>
      <c r="F867" s="130" t="s">
        <v>381</v>
      </c>
      <c r="G867" s="131">
        <v>337.38</v>
      </c>
      <c r="H867" s="131">
        <v>221.12</v>
      </c>
      <c r="I867" s="133">
        <v>17</v>
      </c>
      <c r="J867" s="131">
        <f>'Форма 2'!I3153</f>
        <v>1699970.56</v>
      </c>
      <c r="K867" s="132">
        <v>0</v>
      </c>
      <c r="L867" s="132">
        <v>0</v>
      </c>
      <c r="M867" s="132">
        <v>0</v>
      </c>
      <c r="N867" s="132">
        <f t="shared" si="265"/>
        <v>1699970.56</v>
      </c>
      <c r="O867" s="132">
        <v>0</v>
      </c>
      <c r="P867" s="132">
        <f t="shared" si="266"/>
        <v>7688</v>
      </c>
      <c r="Q867" s="132">
        <f>'Форма 2'!K3153</f>
        <v>7688</v>
      </c>
      <c r="R867" s="134">
        <v>2022</v>
      </c>
      <c r="S867" s="190">
        <v>1</v>
      </c>
    </row>
    <row r="868" spans="1:19" ht="15.75" customHeight="1" x14ac:dyDescent="0.25">
      <c r="A868" s="182">
        <f>A867+1</f>
        <v>3</v>
      </c>
      <c r="B868" s="182">
        <v>7400</v>
      </c>
      <c r="C868" s="128" t="s">
        <v>707</v>
      </c>
      <c r="D868" s="129">
        <v>1971</v>
      </c>
      <c r="E868" s="130" t="s">
        <v>230</v>
      </c>
      <c r="F868" s="130" t="s">
        <v>81</v>
      </c>
      <c r="G868" s="131">
        <v>333.1</v>
      </c>
      <c r="H868" s="131">
        <v>214</v>
      </c>
      <c r="I868" s="133">
        <v>20</v>
      </c>
      <c r="J868" s="131">
        <f>'Форма 2'!I3156</f>
        <v>54142</v>
      </c>
      <c r="K868" s="132">
        <v>0</v>
      </c>
      <c r="L868" s="132">
        <v>0</v>
      </c>
      <c r="M868" s="132">
        <v>0</v>
      </c>
      <c r="N868" s="132">
        <f t="shared" si="265"/>
        <v>54142</v>
      </c>
      <c r="O868" s="132">
        <v>0</v>
      </c>
      <c r="P868" s="132">
        <f t="shared" si="266"/>
        <v>253</v>
      </c>
      <c r="Q868" s="132">
        <f>'Форма 2'!K3156</f>
        <v>253</v>
      </c>
      <c r="R868" s="134">
        <v>2022</v>
      </c>
      <c r="S868" s="190">
        <v>1</v>
      </c>
    </row>
    <row r="869" spans="1:19" ht="15.75" customHeight="1" x14ac:dyDescent="0.25">
      <c r="A869" s="182">
        <f>A868+1</f>
        <v>4</v>
      </c>
      <c r="B869" s="182">
        <v>7376</v>
      </c>
      <c r="C869" s="128" t="s">
        <v>704</v>
      </c>
      <c r="D869" s="129">
        <v>1968</v>
      </c>
      <c r="E869" s="130" t="s">
        <v>230</v>
      </c>
      <c r="F869" s="130" t="s">
        <v>381</v>
      </c>
      <c r="G869" s="131">
        <v>345.8</v>
      </c>
      <c r="H869" s="132">
        <v>329.8</v>
      </c>
      <c r="I869" s="133">
        <v>12</v>
      </c>
      <c r="J869" s="131">
        <f>'Форма 2'!I3159</f>
        <v>1153310.6000000001</v>
      </c>
      <c r="K869" s="132">
        <v>0</v>
      </c>
      <c r="L869" s="132">
        <v>0</v>
      </c>
      <c r="M869" s="132">
        <v>0</v>
      </c>
      <c r="N869" s="132">
        <f t="shared" si="265"/>
        <v>1153310.6000000001</v>
      </c>
      <c r="O869" s="132">
        <v>0</v>
      </c>
      <c r="P869" s="132">
        <f t="shared" si="266"/>
        <v>3497</v>
      </c>
      <c r="Q869" s="132">
        <f>'Форма 2'!K3159</f>
        <v>3497</v>
      </c>
      <c r="R869" s="134">
        <v>2022</v>
      </c>
      <c r="S869" s="190">
        <v>1</v>
      </c>
    </row>
    <row r="870" spans="1:19" ht="15.75" customHeight="1" x14ac:dyDescent="0.25">
      <c r="A870" s="182">
        <f>A869+1</f>
        <v>5</v>
      </c>
      <c r="B870" s="182">
        <v>7377</v>
      </c>
      <c r="C870" s="128" t="s">
        <v>705</v>
      </c>
      <c r="D870" s="129">
        <v>1968</v>
      </c>
      <c r="E870" s="130" t="s">
        <v>230</v>
      </c>
      <c r="F870" s="130" t="s">
        <v>381</v>
      </c>
      <c r="G870" s="131">
        <v>345.8</v>
      </c>
      <c r="H870" s="132">
        <v>329.8</v>
      </c>
      <c r="I870" s="133">
        <v>14</v>
      </c>
      <c r="J870" s="131">
        <f>'Форма 2'!I3164</f>
        <v>1153310.6000000001</v>
      </c>
      <c r="K870" s="132">
        <v>0</v>
      </c>
      <c r="L870" s="132">
        <v>0</v>
      </c>
      <c r="M870" s="132">
        <v>0</v>
      </c>
      <c r="N870" s="132">
        <f t="shared" si="265"/>
        <v>1153310.6000000001</v>
      </c>
      <c r="O870" s="132">
        <v>0</v>
      </c>
      <c r="P870" s="132">
        <f t="shared" si="266"/>
        <v>3497</v>
      </c>
      <c r="Q870" s="132">
        <f>'Форма 2'!K3164</f>
        <v>3497</v>
      </c>
      <c r="R870" s="134">
        <v>2022</v>
      </c>
      <c r="S870" s="190">
        <v>1</v>
      </c>
    </row>
    <row r="871" spans="1:19" ht="15.75" customHeight="1" x14ac:dyDescent="0.25">
      <c r="A871" s="40">
        <f t="shared" ref="A871" si="267">A870+1</f>
        <v>6</v>
      </c>
      <c r="B871" s="127">
        <v>7384</v>
      </c>
      <c r="C871" s="128" t="s">
        <v>572</v>
      </c>
      <c r="D871" s="129">
        <v>1969</v>
      </c>
      <c r="E871" s="130" t="s">
        <v>112</v>
      </c>
      <c r="F871" s="130" t="s">
        <v>381</v>
      </c>
      <c r="G871" s="131">
        <v>374.01</v>
      </c>
      <c r="H871" s="132">
        <v>249.08</v>
      </c>
      <c r="I871" s="133">
        <v>13</v>
      </c>
      <c r="J871" s="132">
        <f>'Форма 2'!I3169</f>
        <v>1373676.2</v>
      </c>
      <c r="K871" s="132">
        <v>0</v>
      </c>
      <c r="L871" s="132">
        <v>0</v>
      </c>
      <c r="M871" s="132">
        <v>0</v>
      </c>
      <c r="N871" s="132">
        <f>J871-K871-L871-M871-O871</f>
        <v>1373676.2</v>
      </c>
      <c r="O871" s="132">
        <v>0</v>
      </c>
      <c r="P871" s="132">
        <f>J871/H871</f>
        <v>5515</v>
      </c>
      <c r="Q871" s="132">
        <f>'Форма 2'!K3169</f>
        <v>5515</v>
      </c>
      <c r="R871" s="134">
        <v>2022</v>
      </c>
      <c r="S871" s="190">
        <v>1</v>
      </c>
    </row>
    <row r="872" spans="1:19" ht="15.75" customHeight="1" x14ac:dyDescent="0.25">
      <c r="A872" s="281" t="s">
        <v>722</v>
      </c>
      <c r="B872" s="281"/>
      <c r="C872" s="281"/>
      <c r="D872" s="10" t="s">
        <v>13</v>
      </c>
      <c r="E872" s="9" t="s">
        <v>13</v>
      </c>
      <c r="F872" s="9" t="s">
        <v>13</v>
      </c>
      <c r="G872" s="9">
        <f t="shared" ref="G872:O872" si="268">SUM(G873:G873)</f>
        <v>421.1</v>
      </c>
      <c r="H872" s="9">
        <f t="shared" si="268"/>
        <v>377.9</v>
      </c>
      <c r="I872" s="11">
        <f t="shared" si="268"/>
        <v>15</v>
      </c>
      <c r="J872" s="9">
        <f t="shared" si="268"/>
        <v>52906</v>
      </c>
      <c r="K872" s="9">
        <f t="shared" si="268"/>
        <v>0</v>
      </c>
      <c r="L872" s="9">
        <f t="shared" si="268"/>
        <v>0</v>
      </c>
      <c r="M872" s="9">
        <f t="shared" si="268"/>
        <v>0</v>
      </c>
      <c r="N872" s="9">
        <f t="shared" si="268"/>
        <v>52906</v>
      </c>
      <c r="O872" s="9">
        <f t="shared" si="268"/>
        <v>0</v>
      </c>
      <c r="P872" s="9" t="s">
        <v>13</v>
      </c>
      <c r="Q872" s="9" t="s">
        <v>13</v>
      </c>
      <c r="R872" s="9" t="s">
        <v>13</v>
      </c>
      <c r="S872" s="15" t="s">
        <v>13</v>
      </c>
    </row>
    <row r="873" spans="1:19" ht="15.75" customHeight="1" x14ac:dyDescent="0.25">
      <c r="A873" s="182">
        <v>1</v>
      </c>
      <c r="B873" s="182">
        <v>4988</v>
      </c>
      <c r="C873" s="209" t="s">
        <v>724</v>
      </c>
      <c r="D873" s="210">
        <v>1967</v>
      </c>
      <c r="E873" s="210" t="s">
        <v>89</v>
      </c>
      <c r="F873" s="130" t="s">
        <v>81</v>
      </c>
      <c r="G873" s="132">
        <v>421.1</v>
      </c>
      <c r="H873" s="132">
        <v>377.9</v>
      </c>
      <c r="I873" s="211">
        <v>15</v>
      </c>
      <c r="J873" s="132">
        <f>'Форма 2'!I3175</f>
        <v>52906</v>
      </c>
      <c r="K873" s="132">
        <v>0</v>
      </c>
      <c r="L873" s="132">
        <v>0</v>
      </c>
      <c r="M873" s="132">
        <v>0</v>
      </c>
      <c r="N873" s="132">
        <f>J873-O873</f>
        <v>52906</v>
      </c>
      <c r="O873" s="132">
        <v>0</v>
      </c>
      <c r="P873" s="132">
        <f>J873/H873</f>
        <v>140</v>
      </c>
      <c r="Q873" s="132">
        <f>'Форма 2'!K3175</f>
        <v>140</v>
      </c>
      <c r="R873" s="212">
        <v>2022</v>
      </c>
      <c r="S873" s="190">
        <v>1</v>
      </c>
    </row>
    <row r="874" spans="1:19" ht="15.75" customHeight="1" x14ac:dyDescent="0.25">
      <c r="A874" s="279" t="s">
        <v>49</v>
      </c>
      <c r="B874" s="279"/>
      <c r="C874" s="279"/>
      <c r="D874" s="10" t="s">
        <v>13</v>
      </c>
      <c r="E874" s="9" t="s">
        <v>13</v>
      </c>
      <c r="F874" s="9" t="s">
        <v>13</v>
      </c>
      <c r="G874" s="9">
        <f t="shared" ref="G874:O874" si="269">SUM(G875:G893)</f>
        <v>23143.11</v>
      </c>
      <c r="H874" s="9">
        <f t="shared" si="269"/>
        <v>17323.79</v>
      </c>
      <c r="I874" s="11">
        <f t="shared" si="269"/>
        <v>709</v>
      </c>
      <c r="J874" s="9">
        <f t="shared" si="269"/>
        <v>29229899.48</v>
      </c>
      <c r="K874" s="9">
        <f t="shared" si="269"/>
        <v>0</v>
      </c>
      <c r="L874" s="9">
        <f t="shared" si="269"/>
        <v>0</v>
      </c>
      <c r="M874" s="9">
        <f t="shared" si="269"/>
        <v>0</v>
      </c>
      <c r="N874" s="9">
        <f t="shared" si="269"/>
        <v>29229899.48</v>
      </c>
      <c r="O874" s="9">
        <f t="shared" si="269"/>
        <v>0</v>
      </c>
      <c r="P874" s="9" t="s">
        <v>13</v>
      </c>
      <c r="Q874" s="9" t="s">
        <v>13</v>
      </c>
      <c r="R874" s="9" t="s">
        <v>13</v>
      </c>
      <c r="S874" s="15" t="s">
        <v>13</v>
      </c>
    </row>
    <row r="875" spans="1:19" ht="15.75" customHeight="1" x14ac:dyDescent="0.25">
      <c r="A875" s="40">
        <v>1</v>
      </c>
      <c r="B875" s="261">
        <v>6855</v>
      </c>
      <c r="C875" s="61" t="s">
        <v>304</v>
      </c>
      <c r="D875" s="34">
        <v>1965</v>
      </c>
      <c r="E875" s="33" t="s">
        <v>232</v>
      </c>
      <c r="F875" s="242" t="s">
        <v>82</v>
      </c>
      <c r="G875" s="35">
        <v>424.9</v>
      </c>
      <c r="H875" s="9">
        <v>396.5</v>
      </c>
      <c r="I875" s="39">
        <v>16</v>
      </c>
      <c r="J875" s="9">
        <f>'Форма 2'!I3178</f>
        <v>207766</v>
      </c>
      <c r="K875" s="36">
        <v>0</v>
      </c>
      <c r="L875" s="9">
        <v>0</v>
      </c>
      <c r="M875" s="9">
        <v>0</v>
      </c>
      <c r="N875" s="9">
        <f t="shared" ref="N875:N880" si="270">J875-K875-L875-M875-O875</f>
        <v>207766</v>
      </c>
      <c r="O875" s="9">
        <v>0</v>
      </c>
      <c r="P875" s="9">
        <f>J875/H875</f>
        <v>524</v>
      </c>
      <c r="Q875" s="9">
        <f>'Форма 2'!K3178</f>
        <v>524</v>
      </c>
      <c r="R875" s="20">
        <v>2022</v>
      </c>
      <c r="S875" s="168">
        <v>1</v>
      </c>
    </row>
    <row r="876" spans="1:19" ht="15.75" customHeight="1" x14ac:dyDescent="0.25">
      <c r="A876" s="40">
        <f t="shared" ref="A876:A893" si="271">A875+1</f>
        <v>2</v>
      </c>
      <c r="B876" s="66">
        <v>7023</v>
      </c>
      <c r="C876" s="232" t="s">
        <v>305</v>
      </c>
      <c r="D876" s="34">
        <v>1968</v>
      </c>
      <c r="E876" s="164" t="s">
        <v>95</v>
      </c>
      <c r="F876" s="34" t="s">
        <v>82</v>
      </c>
      <c r="G876" s="35">
        <v>1728.9</v>
      </c>
      <c r="H876" s="9">
        <v>1276.9000000000001</v>
      </c>
      <c r="I876" s="39">
        <v>47</v>
      </c>
      <c r="J876" s="9">
        <f>'Форма 2'!I3181</f>
        <v>462237.8</v>
      </c>
      <c r="K876" s="36">
        <v>0</v>
      </c>
      <c r="L876" s="36">
        <v>0</v>
      </c>
      <c r="M876" s="36">
        <v>0</v>
      </c>
      <c r="N876" s="36">
        <f t="shared" si="270"/>
        <v>462237.8</v>
      </c>
      <c r="O876" s="9">
        <v>0</v>
      </c>
      <c r="P876" s="9">
        <f>J876/H876</f>
        <v>362</v>
      </c>
      <c r="Q876" s="9">
        <f>'Форма 2'!K3181</f>
        <v>362</v>
      </c>
      <c r="R876" s="20">
        <v>2022</v>
      </c>
      <c r="S876" s="168">
        <v>1</v>
      </c>
    </row>
    <row r="877" spans="1:19" ht="15.75" customHeight="1" x14ac:dyDescent="0.25">
      <c r="A877" s="40">
        <f t="shared" si="271"/>
        <v>3</v>
      </c>
      <c r="B877" s="40">
        <v>7024</v>
      </c>
      <c r="C877" s="232" t="s">
        <v>306</v>
      </c>
      <c r="D877" s="34">
        <v>1968</v>
      </c>
      <c r="E877" s="164" t="s">
        <v>95</v>
      </c>
      <c r="F877" s="34" t="s">
        <v>82</v>
      </c>
      <c r="G877" s="35">
        <v>1698.5</v>
      </c>
      <c r="H877" s="9">
        <v>1249.5999999999999</v>
      </c>
      <c r="I877" s="39">
        <v>47</v>
      </c>
      <c r="J877" s="9">
        <f>'Форма 2'!I3184</f>
        <v>452355.2</v>
      </c>
      <c r="K877" s="36">
        <v>0</v>
      </c>
      <c r="L877" s="36">
        <v>0</v>
      </c>
      <c r="M877" s="36">
        <v>0</v>
      </c>
      <c r="N877" s="36">
        <f t="shared" si="270"/>
        <v>452355.2</v>
      </c>
      <c r="O877" s="9">
        <v>0</v>
      </c>
      <c r="P877" s="9">
        <f>J877/H877</f>
        <v>362</v>
      </c>
      <c r="Q877" s="9">
        <f>'Форма 2'!K3184</f>
        <v>362</v>
      </c>
      <c r="R877" s="20">
        <v>2022</v>
      </c>
      <c r="S877" s="168">
        <v>1</v>
      </c>
    </row>
    <row r="878" spans="1:19" ht="15.75" customHeight="1" x14ac:dyDescent="0.25">
      <c r="A878" s="40">
        <f t="shared" si="271"/>
        <v>4</v>
      </c>
      <c r="B878" s="258">
        <v>6974</v>
      </c>
      <c r="C878" s="61" t="s">
        <v>310</v>
      </c>
      <c r="D878" s="34">
        <v>1961</v>
      </c>
      <c r="E878" s="34" t="s">
        <v>93</v>
      </c>
      <c r="F878" s="242" t="s">
        <v>82</v>
      </c>
      <c r="G878" s="35">
        <v>1024.42</v>
      </c>
      <c r="H878" s="9">
        <v>629.72</v>
      </c>
      <c r="I878" s="39">
        <v>25</v>
      </c>
      <c r="J878" s="9">
        <f>'Форма 2'!I3187</f>
        <v>2700869.08</v>
      </c>
      <c r="K878" s="36">
        <v>0</v>
      </c>
      <c r="L878" s="9">
        <v>0</v>
      </c>
      <c r="M878" s="9">
        <v>0</v>
      </c>
      <c r="N878" s="9">
        <f t="shared" si="270"/>
        <v>2700869.08</v>
      </c>
      <c r="O878" s="9">
        <v>0</v>
      </c>
      <c r="P878" s="9">
        <f>J878/H878</f>
        <v>4289</v>
      </c>
      <c r="Q878" s="9">
        <f>'Форма 2'!K3187</f>
        <v>4289</v>
      </c>
      <c r="R878" s="20">
        <v>2022</v>
      </c>
      <c r="S878" s="168">
        <v>1</v>
      </c>
    </row>
    <row r="879" spans="1:19" ht="15.75" customHeight="1" x14ac:dyDescent="0.25">
      <c r="A879" s="40">
        <f t="shared" si="271"/>
        <v>5</v>
      </c>
      <c r="B879" s="40">
        <v>6975</v>
      </c>
      <c r="C879" s="61" t="s">
        <v>311</v>
      </c>
      <c r="D879" s="34">
        <v>1969</v>
      </c>
      <c r="E879" s="34" t="s">
        <v>93</v>
      </c>
      <c r="F879" s="242" t="s">
        <v>82</v>
      </c>
      <c r="G879" s="35">
        <v>1023.8</v>
      </c>
      <c r="H879" s="9">
        <v>629.1</v>
      </c>
      <c r="I879" s="39">
        <v>25</v>
      </c>
      <c r="J879" s="9">
        <f>'Форма 2'!I3194</f>
        <v>2698209.9</v>
      </c>
      <c r="K879" s="9">
        <v>0</v>
      </c>
      <c r="L879" s="9">
        <v>0</v>
      </c>
      <c r="M879" s="9">
        <v>0</v>
      </c>
      <c r="N879" s="9">
        <f t="shared" si="270"/>
        <v>2698209.9</v>
      </c>
      <c r="O879" s="9">
        <v>0</v>
      </c>
      <c r="P879" s="9">
        <f>J879/H879</f>
        <v>4289</v>
      </c>
      <c r="Q879" s="9">
        <f>'Форма 2'!K3194</f>
        <v>4289</v>
      </c>
      <c r="R879" s="20">
        <v>2022</v>
      </c>
      <c r="S879" s="168">
        <v>1</v>
      </c>
    </row>
    <row r="880" spans="1:19" ht="15.75" customHeight="1" x14ac:dyDescent="0.25">
      <c r="A880" s="40">
        <f t="shared" si="271"/>
        <v>6</v>
      </c>
      <c r="B880" s="40">
        <v>6982</v>
      </c>
      <c r="C880" s="61" t="s">
        <v>314</v>
      </c>
      <c r="D880" s="34">
        <v>1959</v>
      </c>
      <c r="E880" s="34" t="s">
        <v>93</v>
      </c>
      <c r="F880" s="242" t="s">
        <v>82</v>
      </c>
      <c r="G880" s="35">
        <v>711.1</v>
      </c>
      <c r="H880" s="9">
        <v>652.70000000000005</v>
      </c>
      <c r="I880" s="39">
        <v>26</v>
      </c>
      <c r="J880" s="9">
        <f>'Форма 2'!I3201</f>
        <v>2644087.7000000002</v>
      </c>
      <c r="K880" s="9">
        <v>0</v>
      </c>
      <c r="L880" s="9">
        <v>0</v>
      </c>
      <c r="M880" s="9">
        <v>0</v>
      </c>
      <c r="N880" s="9">
        <f t="shared" si="270"/>
        <v>2644087.7000000002</v>
      </c>
      <c r="O880" s="9">
        <v>0</v>
      </c>
      <c r="P880" s="9">
        <f t="shared" ref="P880" si="272">J880/H880</f>
        <v>4051</v>
      </c>
      <c r="Q880" s="9">
        <f>'Форма 2'!K3201</f>
        <v>4051</v>
      </c>
      <c r="R880" s="20">
        <v>2022</v>
      </c>
      <c r="S880" s="168">
        <v>1</v>
      </c>
    </row>
    <row r="881" spans="1:19" ht="15.75" customHeight="1" x14ac:dyDescent="0.25">
      <c r="A881" s="40">
        <f t="shared" si="271"/>
        <v>7</v>
      </c>
      <c r="B881" s="251">
        <v>6983</v>
      </c>
      <c r="C881" s="64" t="s">
        <v>315</v>
      </c>
      <c r="D881" s="33">
        <v>1960</v>
      </c>
      <c r="E881" s="33" t="s">
        <v>93</v>
      </c>
      <c r="F881" s="34" t="s">
        <v>82</v>
      </c>
      <c r="G881" s="35">
        <v>438.9</v>
      </c>
      <c r="H881" s="9">
        <v>403.9</v>
      </c>
      <c r="I881" s="39">
        <v>16</v>
      </c>
      <c r="J881" s="36">
        <f>'Форма 2'!I3208</f>
        <v>1636198.9</v>
      </c>
      <c r="K881" s="36">
        <v>0</v>
      </c>
      <c r="L881" s="36">
        <v>0</v>
      </c>
      <c r="M881" s="36">
        <v>0</v>
      </c>
      <c r="N881" s="36">
        <f t="shared" ref="N881:N893" si="273">J881-K881-L881-M881-O881</f>
        <v>1636198.9</v>
      </c>
      <c r="O881" s="9">
        <v>0</v>
      </c>
      <c r="P881" s="9">
        <f t="shared" ref="P881:P893" si="274">J881/H881</f>
        <v>4051</v>
      </c>
      <c r="Q881" s="36">
        <f>'Форма 2'!K3208</f>
        <v>4051</v>
      </c>
      <c r="R881" s="43">
        <v>2022</v>
      </c>
      <c r="S881" s="168">
        <v>1</v>
      </c>
    </row>
    <row r="882" spans="1:19" ht="15.75" customHeight="1" x14ac:dyDescent="0.25">
      <c r="A882" s="40">
        <f t="shared" si="271"/>
        <v>8</v>
      </c>
      <c r="B882" s="40">
        <v>6984</v>
      </c>
      <c r="C882" s="61" t="s">
        <v>316</v>
      </c>
      <c r="D882" s="34">
        <v>1970</v>
      </c>
      <c r="E882" s="34" t="s">
        <v>93</v>
      </c>
      <c r="F882" s="242" t="s">
        <v>82</v>
      </c>
      <c r="G882" s="35">
        <v>1076.3</v>
      </c>
      <c r="H882" s="9">
        <v>651.1</v>
      </c>
      <c r="I882" s="39">
        <v>26</v>
      </c>
      <c r="J882" s="9">
        <f>'Форма 2'!I3215</f>
        <v>2792567.9</v>
      </c>
      <c r="K882" s="9">
        <v>0</v>
      </c>
      <c r="L882" s="9">
        <v>0</v>
      </c>
      <c r="M882" s="9">
        <v>0</v>
      </c>
      <c r="N882" s="36">
        <f t="shared" si="273"/>
        <v>2792567.9</v>
      </c>
      <c r="O882" s="9">
        <v>0</v>
      </c>
      <c r="P882" s="9">
        <f t="shared" si="274"/>
        <v>4289</v>
      </c>
      <c r="Q882" s="9">
        <f>'Форма 2'!K3215</f>
        <v>4289</v>
      </c>
      <c r="R882" s="20">
        <v>2022</v>
      </c>
      <c r="S882" s="168">
        <v>1</v>
      </c>
    </row>
    <row r="883" spans="1:19" ht="15.75" customHeight="1" x14ac:dyDescent="0.25">
      <c r="A883" s="182">
        <f>A882+1</f>
        <v>9</v>
      </c>
      <c r="B883" s="182">
        <v>6963</v>
      </c>
      <c r="C883" s="197" t="s">
        <v>708</v>
      </c>
      <c r="D883" s="129">
        <v>1972</v>
      </c>
      <c r="E883" s="129" t="s">
        <v>68</v>
      </c>
      <c r="F883" s="198" t="s">
        <v>82</v>
      </c>
      <c r="G883" s="131">
        <v>1605.6</v>
      </c>
      <c r="H883" s="132">
        <v>1094.7</v>
      </c>
      <c r="I883" s="133">
        <v>43</v>
      </c>
      <c r="J883" s="132">
        <f>'Форма 2'!I3222</f>
        <v>5631136.7999999998</v>
      </c>
      <c r="K883" s="132">
        <v>0</v>
      </c>
      <c r="L883" s="132">
        <v>0</v>
      </c>
      <c r="M883" s="132">
        <v>0</v>
      </c>
      <c r="N883" s="199">
        <f>J883-K883-L883-M883-O883</f>
        <v>5631136.7999999998</v>
      </c>
      <c r="O883" s="132">
        <v>0</v>
      </c>
      <c r="P883" s="132">
        <f>J883/H883</f>
        <v>5144</v>
      </c>
      <c r="Q883" s="132">
        <f>'Форма 2'!K3222</f>
        <v>5144</v>
      </c>
      <c r="R883" s="200">
        <v>2022</v>
      </c>
      <c r="S883" s="190">
        <v>1</v>
      </c>
    </row>
    <row r="884" spans="1:19" ht="15.75" customHeight="1" x14ac:dyDescent="0.25">
      <c r="A884" s="182">
        <f>A883+1</f>
        <v>10</v>
      </c>
      <c r="B884" s="182">
        <v>7000</v>
      </c>
      <c r="C884" s="197" t="s">
        <v>714</v>
      </c>
      <c r="D884" s="129">
        <v>1974</v>
      </c>
      <c r="E884" s="129" t="s">
        <v>68</v>
      </c>
      <c r="F884" s="198" t="s">
        <v>81</v>
      </c>
      <c r="G884" s="131">
        <v>3571.3</v>
      </c>
      <c r="H884" s="132">
        <v>2657.4</v>
      </c>
      <c r="I884" s="133">
        <v>114</v>
      </c>
      <c r="J884" s="132">
        <f>'Форма 2'!I3225</f>
        <v>449100.6</v>
      </c>
      <c r="K884" s="132">
        <v>0</v>
      </c>
      <c r="L884" s="132">
        <v>0</v>
      </c>
      <c r="M884" s="132">
        <v>0</v>
      </c>
      <c r="N884" s="199">
        <f>J884-K884-L884-M884-O884</f>
        <v>449100.6</v>
      </c>
      <c r="O884" s="132">
        <v>0</v>
      </c>
      <c r="P884" s="132">
        <f>J884/H884</f>
        <v>169</v>
      </c>
      <c r="Q884" s="132">
        <f>'Форма 2'!K3225</f>
        <v>169</v>
      </c>
      <c r="R884" s="200">
        <v>2022</v>
      </c>
      <c r="S884" s="190">
        <v>1</v>
      </c>
    </row>
    <row r="885" spans="1:19" ht="15.75" customHeight="1" x14ac:dyDescent="0.25">
      <c r="A885" s="182">
        <f t="shared" ref="A885:A887" si="275">A884+1</f>
        <v>11</v>
      </c>
      <c r="B885" s="182">
        <v>7001</v>
      </c>
      <c r="C885" s="197" t="s">
        <v>715</v>
      </c>
      <c r="D885" s="129">
        <v>1974</v>
      </c>
      <c r="E885" s="129" t="s">
        <v>68</v>
      </c>
      <c r="F885" s="198" t="s">
        <v>81</v>
      </c>
      <c r="G885" s="131">
        <v>3571.3</v>
      </c>
      <c r="H885" s="132">
        <v>2657.4</v>
      </c>
      <c r="I885" s="133">
        <v>115</v>
      </c>
      <c r="J885" s="132">
        <f>'Форма 2'!I3227</f>
        <v>449100.6</v>
      </c>
      <c r="K885" s="132">
        <v>0</v>
      </c>
      <c r="L885" s="132">
        <v>0</v>
      </c>
      <c r="M885" s="132">
        <v>0</v>
      </c>
      <c r="N885" s="199">
        <f>J885-K885-L885-M885-O885</f>
        <v>449100.6</v>
      </c>
      <c r="O885" s="132">
        <v>0</v>
      </c>
      <c r="P885" s="132">
        <f>J885/H885</f>
        <v>169</v>
      </c>
      <c r="Q885" s="132">
        <f>'Форма 2'!K3227</f>
        <v>169</v>
      </c>
      <c r="R885" s="200">
        <v>2022</v>
      </c>
      <c r="S885" s="190">
        <v>1</v>
      </c>
    </row>
    <row r="886" spans="1:19" ht="15.75" customHeight="1" x14ac:dyDescent="0.25">
      <c r="A886" s="182">
        <f>A885+1</f>
        <v>12</v>
      </c>
      <c r="B886" s="182">
        <v>6937</v>
      </c>
      <c r="C886" s="128" t="s">
        <v>711</v>
      </c>
      <c r="D886" s="129">
        <v>1969</v>
      </c>
      <c r="E886" s="213" t="s">
        <v>93</v>
      </c>
      <c r="F886" s="129" t="s">
        <v>81</v>
      </c>
      <c r="G886" s="131">
        <v>793.8</v>
      </c>
      <c r="H886" s="132">
        <v>733.5</v>
      </c>
      <c r="I886" s="133">
        <v>29</v>
      </c>
      <c r="J886" s="132">
        <f>'Форма 2'!I3229</f>
        <v>161370</v>
      </c>
      <c r="K886" s="132">
        <v>0</v>
      </c>
      <c r="L886" s="132">
        <v>0</v>
      </c>
      <c r="M886" s="132">
        <v>0</v>
      </c>
      <c r="N886" s="199">
        <f t="shared" ref="N886:N887" si="276">J886-K886-L886-M886-O886</f>
        <v>161370</v>
      </c>
      <c r="O886" s="132">
        <v>0</v>
      </c>
      <c r="P886" s="132">
        <f t="shared" ref="P886:P887" si="277">J886/H886</f>
        <v>220</v>
      </c>
      <c r="Q886" s="132">
        <f>'Форма 2'!K3229</f>
        <v>220</v>
      </c>
      <c r="R886" s="200">
        <v>2022</v>
      </c>
      <c r="S886" s="190">
        <v>1</v>
      </c>
    </row>
    <row r="887" spans="1:19" ht="15.75" customHeight="1" x14ac:dyDescent="0.25">
      <c r="A887" s="182">
        <f t="shared" si="275"/>
        <v>13</v>
      </c>
      <c r="B887" s="182">
        <v>6938</v>
      </c>
      <c r="C887" s="128" t="s">
        <v>712</v>
      </c>
      <c r="D887" s="129">
        <v>1969</v>
      </c>
      <c r="E887" s="213" t="s">
        <v>93</v>
      </c>
      <c r="F887" s="129" t="s">
        <v>81</v>
      </c>
      <c r="G887" s="131">
        <v>788.07</v>
      </c>
      <c r="H887" s="132">
        <v>718.27</v>
      </c>
      <c r="I887" s="133">
        <v>28</v>
      </c>
      <c r="J887" s="132">
        <f>'Форма 2'!I3233</f>
        <v>158019.4</v>
      </c>
      <c r="K887" s="132">
        <v>0</v>
      </c>
      <c r="L887" s="132">
        <v>0</v>
      </c>
      <c r="M887" s="132">
        <v>0</v>
      </c>
      <c r="N887" s="199">
        <f t="shared" si="276"/>
        <v>158019.4</v>
      </c>
      <c r="O887" s="132">
        <v>0</v>
      </c>
      <c r="P887" s="132">
        <f t="shared" si="277"/>
        <v>220</v>
      </c>
      <c r="Q887" s="132">
        <f>'Форма 2'!K3233</f>
        <v>220</v>
      </c>
      <c r="R887" s="200">
        <v>2022</v>
      </c>
      <c r="S887" s="190">
        <v>1</v>
      </c>
    </row>
    <row r="888" spans="1:19" ht="15.75" customHeight="1" x14ac:dyDescent="0.25">
      <c r="A888" s="40">
        <f>A887+1</f>
        <v>14</v>
      </c>
      <c r="B888" s="40">
        <v>6818</v>
      </c>
      <c r="C888" s="61" t="s">
        <v>320</v>
      </c>
      <c r="D888" s="34">
        <v>1963</v>
      </c>
      <c r="E888" s="34" t="s">
        <v>93</v>
      </c>
      <c r="F888" s="242" t="s">
        <v>82</v>
      </c>
      <c r="G888" s="35">
        <v>1084.1300000000001</v>
      </c>
      <c r="H888" s="9">
        <v>636.4</v>
      </c>
      <c r="I888" s="39">
        <v>25</v>
      </c>
      <c r="J888" s="9">
        <f>'Форма 2'!I3237</f>
        <v>2729519.6</v>
      </c>
      <c r="K888" s="9">
        <v>0</v>
      </c>
      <c r="L888" s="9">
        <v>0</v>
      </c>
      <c r="M888" s="9">
        <v>0</v>
      </c>
      <c r="N888" s="9">
        <f>J888-K888-L888-M888-O888</f>
        <v>2729519.6</v>
      </c>
      <c r="O888" s="9">
        <v>0</v>
      </c>
      <c r="P888" s="9">
        <f t="shared" si="274"/>
        <v>4289</v>
      </c>
      <c r="Q888" s="9">
        <f>'Форма 2'!K3237</f>
        <v>4289</v>
      </c>
      <c r="R888" s="20">
        <v>2022</v>
      </c>
      <c r="S888" s="168">
        <v>1</v>
      </c>
    </row>
    <row r="889" spans="1:19" ht="15.75" customHeight="1" x14ac:dyDescent="0.25">
      <c r="A889" s="182">
        <f t="shared" ref="A889" si="278">A888+1</f>
        <v>15</v>
      </c>
      <c r="B889" s="182">
        <v>6820</v>
      </c>
      <c r="C889" s="128" t="s">
        <v>716</v>
      </c>
      <c r="D889" s="129">
        <v>1963</v>
      </c>
      <c r="E889" s="213" t="s">
        <v>93</v>
      </c>
      <c r="F889" s="129" t="s">
        <v>81</v>
      </c>
      <c r="G889" s="131">
        <v>1475.23</v>
      </c>
      <c r="H889" s="132">
        <v>954.4</v>
      </c>
      <c r="I889" s="133">
        <v>41</v>
      </c>
      <c r="J889" s="132">
        <f>'Форма 2'!I3244</f>
        <v>207104.8</v>
      </c>
      <c r="K889" s="132">
        <v>0</v>
      </c>
      <c r="L889" s="132">
        <v>0</v>
      </c>
      <c r="M889" s="132">
        <v>0</v>
      </c>
      <c r="N889" s="199">
        <f>J889-K889-L889-M889-O889</f>
        <v>207104.8</v>
      </c>
      <c r="O889" s="132">
        <v>0</v>
      </c>
      <c r="P889" s="132">
        <f>J889/H889</f>
        <v>217</v>
      </c>
      <c r="Q889" s="132">
        <f>'Форма 2'!K3244</f>
        <v>217</v>
      </c>
      <c r="R889" s="200">
        <v>2022</v>
      </c>
      <c r="S889" s="190">
        <v>1</v>
      </c>
    </row>
    <row r="890" spans="1:19" ht="15.75" customHeight="1" x14ac:dyDescent="0.25">
      <c r="A890" s="40">
        <f t="shared" ref="A890:A892" si="279">A889+1</f>
        <v>16</v>
      </c>
      <c r="B890" s="40">
        <v>6868</v>
      </c>
      <c r="C890" s="61" t="s">
        <v>321</v>
      </c>
      <c r="D890" s="34">
        <v>1963</v>
      </c>
      <c r="E890" s="33" t="s">
        <v>158</v>
      </c>
      <c r="F890" s="242" t="s">
        <v>82</v>
      </c>
      <c r="G890" s="35">
        <v>745.4</v>
      </c>
      <c r="H890" s="9">
        <v>701</v>
      </c>
      <c r="I890" s="39">
        <v>43</v>
      </c>
      <c r="J890" s="9">
        <f>'Форма 2'!I3248</f>
        <v>2451397</v>
      </c>
      <c r="K890" s="9">
        <v>0</v>
      </c>
      <c r="L890" s="9">
        <v>0</v>
      </c>
      <c r="M890" s="9">
        <v>0</v>
      </c>
      <c r="N890" s="9">
        <f t="shared" si="273"/>
        <v>2451397</v>
      </c>
      <c r="O890" s="9">
        <v>0</v>
      </c>
      <c r="P890" s="9">
        <f t="shared" si="274"/>
        <v>3497</v>
      </c>
      <c r="Q890" s="9">
        <f>'Форма 2'!K3248</f>
        <v>3497</v>
      </c>
      <c r="R890" s="20">
        <v>2022</v>
      </c>
      <c r="S890" s="168">
        <v>1</v>
      </c>
    </row>
    <row r="891" spans="1:19" ht="15.75" customHeight="1" x14ac:dyDescent="0.25">
      <c r="A891" s="40">
        <f t="shared" si="279"/>
        <v>17</v>
      </c>
      <c r="B891" s="261">
        <v>6999</v>
      </c>
      <c r="C891" s="135" t="s">
        <v>322</v>
      </c>
      <c r="D891" s="34">
        <v>1950</v>
      </c>
      <c r="E891" s="33" t="s">
        <v>571</v>
      </c>
      <c r="F891" s="34" t="s">
        <v>82</v>
      </c>
      <c r="G891" s="35">
        <v>413.7</v>
      </c>
      <c r="H891" s="9">
        <v>383.7</v>
      </c>
      <c r="I891" s="39">
        <v>15</v>
      </c>
      <c r="J891" s="9">
        <f>'Форма 2'!I3253</f>
        <v>464660.7</v>
      </c>
      <c r="K891" s="36">
        <v>0</v>
      </c>
      <c r="L891" s="9">
        <v>0</v>
      </c>
      <c r="M891" s="9">
        <v>0</v>
      </c>
      <c r="N891" s="9">
        <f t="shared" si="273"/>
        <v>464660.7</v>
      </c>
      <c r="O891" s="9">
        <v>0</v>
      </c>
      <c r="P891" s="9">
        <f t="shared" si="274"/>
        <v>1211</v>
      </c>
      <c r="Q891" s="9">
        <f>'Форма 2'!K3253</f>
        <v>1211</v>
      </c>
      <c r="R891" s="20">
        <v>2022</v>
      </c>
      <c r="S891" s="168">
        <v>1</v>
      </c>
    </row>
    <row r="892" spans="1:19" ht="15.75" customHeight="1" x14ac:dyDescent="0.25">
      <c r="A892" s="40">
        <f t="shared" si="279"/>
        <v>18</v>
      </c>
      <c r="B892" s="261">
        <v>7061</v>
      </c>
      <c r="C892" s="61" t="s">
        <v>323</v>
      </c>
      <c r="D892" s="34">
        <v>1960</v>
      </c>
      <c r="E892" s="164" t="s">
        <v>89</v>
      </c>
      <c r="F892" s="34" t="s">
        <v>82</v>
      </c>
      <c r="G892" s="35">
        <v>410.26</v>
      </c>
      <c r="H892" s="9">
        <v>390</v>
      </c>
      <c r="I892" s="39">
        <v>15</v>
      </c>
      <c r="J892" s="9">
        <f>'Форма 2'!I3258</f>
        <v>1159470</v>
      </c>
      <c r="K892" s="36">
        <v>0</v>
      </c>
      <c r="L892" s="9">
        <v>0</v>
      </c>
      <c r="M892" s="9">
        <v>0</v>
      </c>
      <c r="N892" s="9">
        <f t="shared" si="273"/>
        <v>1159470</v>
      </c>
      <c r="O892" s="9">
        <v>0</v>
      </c>
      <c r="P892" s="9">
        <f t="shared" si="274"/>
        <v>2973</v>
      </c>
      <c r="Q892" s="9">
        <f>'Форма 2'!K3258</f>
        <v>2973</v>
      </c>
      <c r="R892" s="20">
        <v>2022</v>
      </c>
      <c r="S892" s="168">
        <v>1</v>
      </c>
    </row>
    <row r="893" spans="1:19" ht="15.75" customHeight="1" x14ac:dyDescent="0.25">
      <c r="A893" s="40">
        <f t="shared" si="271"/>
        <v>19</v>
      </c>
      <c r="B893" s="40">
        <v>7080</v>
      </c>
      <c r="C893" s="61" t="s">
        <v>324</v>
      </c>
      <c r="D893" s="34">
        <v>1957</v>
      </c>
      <c r="E893" s="33" t="s">
        <v>158</v>
      </c>
      <c r="F893" s="242" t="s">
        <v>82</v>
      </c>
      <c r="G893" s="35">
        <v>557.5</v>
      </c>
      <c r="H893" s="9">
        <v>507.5</v>
      </c>
      <c r="I893" s="39">
        <v>13</v>
      </c>
      <c r="J893" s="9">
        <f>'Форма 2'!I3261</f>
        <v>1774727.5</v>
      </c>
      <c r="K893" s="9">
        <v>0</v>
      </c>
      <c r="L893" s="9">
        <v>0</v>
      </c>
      <c r="M893" s="9">
        <v>0</v>
      </c>
      <c r="N893" s="9">
        <f t="shared" si="273"/>
        <v>1774727.5</v>
      </c>
      <c r="O893" s="9">
        <v>0</v>
      </c>
      <c r="P893" s="9">
        <f t="shared" si="274"/>
        <v>3497</v>
      </c>
      <c r="Q893" s="9">
        <f>'Форма 2'!K3261</f>
        <v>3497</v>
      </c>
      <c r="R893" s="20">
        <v>2022</v>
      </c>
      <c r="S893" s="168">
        <v>1</v>
      </c>
    </row>
    <row r="894" spans="1:19" ht="15.75" customHeight="1" x14ac:dyDescent="0.25">
      <c r="A894" s="280" t="s">
        <v>50</v>
      </c>
      <c r="B894" s="280"/>
      <c r="C894" s="280"/>
      <c r="D894" s="10" t="s">
        <v>13</v>
      </c>
      <c r="E894" s="9" t="s">
        <v>13</v>
      </c>
      <c r="F894" s="9" t="s">
        <v>13</v>
      </c>
      <c r="G894" s="35">
        <f>SUM(G895:G899)</f>
        <v>6890.76</v>
      </c>
      <c r="H894" s="35">
        <f t="shared" ref="H894:O894" si="280">SUM(H895:H899)</f>
        <v>6236.2</v>
      </c>
      <c r="I894" s="39">
        <f t="shared" si="280"/>
        <v>247</v>
      </c>
      <c r="J894" s="35">
        <f t="shared" si="280"/>
        <v>10568609.4</v>
      </c>
      <c r="K894" s="35">
        <f t="shared" si="280"/>
        <v>0</v>
      </c>
      <c r="L894" s="35">
        <f t="shared" si="280"/>
        <v>0</v>
      </c>
      <c r="M894" s="35">
        <f t="shared" si="280"/>
        <v>0</v>
      </c>
      <c r="N894" s="35">
        <f t="shared" si="280"/>
        <v>10568609.4</v>
      </c>
      <c r="O894" s="35">
        <f t="shared" si="280"/>
        <v>0</v>
      </c>
      <c r="P894" s="9" t="s">
        <v>13</v>
      </c>
      <c r="Q894" s="9" t="s">
        <v>13</v>
      </c>
      <c r="R894" s="9" t="s">
        <v>13</v>
      </c>
      <c r="S894" s="15" t="s">
        <v>13</v>
      </c>
    </row>
    <row r="895" spans="1:19" ht="15.75" customHeight="1" x14ac:dyDescent="0.25">
      <c r="A895" s="34">
        <v>1</v>
      </c>
      <c r="B895" s="236">
        <v>7177</v>
      </c>
      <c r="C895" s="234" t="s">
        <v>302</v>
      </c>
      <c r="D895" s="33">
        <v>1970</v>
      </c>
      <c r="E895" s="33" t="s">
        <v>68</v>
      </c>
      <c r="F895" s="33" t="s">
        <v>381</v>
      </c>
      <c r="G895" s="35">
        <v>948.8</v>
      </c>
      <c r="H895" s="9">
        <v>863</v>
      </c>
      <c r="I895" s="39">
        <v>33</v>
      </c>
      <c r="J895" s="9">
        <f>'Форма 2'!I3267</f>
        <v>6634744</v>
      </c>
      <c r="K895" s="9">
        <v>0</v>
      </c>
      <c r="L895" s="9">
        <v>0</v>
      </c>
      <c r="M895" s="9">
        <v>0</v>
      </c>
      <c r="N895" s="35">
        <f>J895-O895</f>
        <v>6634744</v>
      </c>
      <c r="O895" s="35">
        <v>0</v>
      </c>
      <c r="P895" s="9">
        <f>J895/H895</f>
        <v>7688</v>
      </c>
      <c r="Q895" s="9">
        <f>'Форма 2'!K3267</f>
        <v>7688</v>
      </c>
      <c r="R895" s="20">
        <v>2022</v>
      </c>
      <c r="S895" s="168">
        <v>1</v>
      </c>
    </row>
    <row r="896" spans="1:19" ht="15.75" customHeight="1" x14ac:dyDescent="0.25">
      <c r="A896" s="182">
        <f>A895+1</f>
        <v>2</v>
      </c>
      <c r="B896" s="182">
        <v>7210</v>
      </c>
      <c r="C896" s="202" t="s">
        <v>718</v>
      </c>
      <c r="D896" s="129">
        <v>1960</v>
      </c>
      <c r="E896" s="198" t="s">
        <v>68</v>
      </c>
      <c r="F896" s="198" t="s">
        <v>381</v>
      </c>
      <c r="G896" s="203">
        <v>430.3</v>
      </c>
      <c r="H896" s="173">
        <v>384.7</v>
      </c>
      <c r="I896" s="204">
        <v>18</v>
      </c>
      <c r="J896" s="173">
        <f>'Форма 2'!I3270</f>
        <v>2957573.6</v>
      </c>
      <c r="K896" s="173">
        <v>0</v>
      </c>
      <c r="L896" s="173">
        <v>0</v>
      </c>
      <c r="M896" s="173">
        <v>0</v>
      </c>
      <c r="N896" s="173">
        <f>J896-K896-L896-M896-O896</f>
        <v>2957573.6</v>
      </c>
      <c r="O896" s="173">
        <v>0</v>
      </c>
      <c r="P896" s="173">
        <f>J896/H896</f>
        <v>7688</v>
      </c>
      <c r="Q896" s="173">
        <f>'Форма 2'!K3270</f>
        <v>7688</v>
      </c>
      <c r="R896" s="189">
        <v>2022</v>
      </c>
      <c r="S896" s="168">
        <v>1</v>
      </c>
    </row>
    <row r="897" spans="1:19" ht="15.75" customHeight="1" x14ac:dyDescent="0.25">
      <c r="A897" s="182">
        <f>A896+1</f>
        <v>3</v>
      </c>
      <c r="B897" s="182">
        <v>7213</v>
      </c>
      <c r="C897" s="128" t="s">
        <v>719</v>
      </c>
      <c r="D897" s="129">
        <v>1973</v>
      </c>
      <c r="E897" s="198" t="s">
        <v>68</v>
      </c>
      <c r="F897" s="198" t="s">
        <v>81</v>
      </c>
      <c r="G897" s="203">
        <v>761.4</v>
      </c>
      <c r="H897" s="173">
        <v>701.4</v>
      </c>
      <c r="I897" s="204">
        <v>26</v>
      </c>
      <c r="J897" s="173">
        <f>'Форма 2'!I3273</f>
        <v>173245.8</v>
      </c>
      <c r="K897" s="173">
        <v>0</v>
      </c>
      <c r="L897" s="173">
        <v>0</v>
      </c>
      <c r="M897" s="173">
        <v>0</v>
      </c>
      <c r="N897" s="173">
        <f>J897-K897-L897-M897-O897</f>
        <v>173245.8</v>
      </c>
      <c r="O897" s="173">
        <v>0</v>
      </c>
      <c r="P897" s="173">
        <f>J897/H897</f>
        <v>247</v>
      </c>
      <c r="Q897" s="173">
        <f>'Форма 2'!K3273</f>
        <v>247</v>
      </c>
      <c r="R897" s="189">
        <v>2022</v>
      </c>
      <c r="S897" s="168">
        <v>1</v>
      </c>
    </row>
    <row r="898" spans="1:19" ht="15.75" customHeight="1" x14ac:dyDescent="0.25">
      <c r="A898" s="182">
        <f>A897+1</f>
        <v>4</v>
      </c>
      <c r="B898" s="182">
        <v>7219</v>
      </c>
      <c r="C898" s="128" t="s">
        <v>720</v>
      </c>
      <c r="D898" s="129">
        <v>1976</v>
      </c>
      <c r="E898" s="198" t="s">
        <v>68</v>
      </c>
      <c r="F898" s="198" t="s">
        <v>81</v>
      </c>
      <c r="G898" s="203">
        <v>4345</v>
      </c>
      <c r="H898" s="173">
        <v>3895</v>
      </c>
      <c r="I898" s="204">
        <v>148</v>
      </c>
      <c r="J898" s="173">
        <f>'Форма 2'!I3275</f>
        <v>701100</v>
      </c>
      <c r="K898" s="173">
        <v>0</v>
      </c>
      <c r="L898" s="173">
        <v>0</v>
      </c>
      <c r="M898" s="173">
        <v>0</v>
      </c>
      <c r="N898" s="173">
        <f>J898-O898</f>
        <v>701100</v>
      </c>
      <c r="O898" s="173">
        <v>0</v>
      </c>
      <c r="P898" s="173">
        <f>J898/H898</f>
        <v>180</v>
      </c>
      <c r="Q898" s="173">
        <f>'Форма 2'!K3275</f>
        <v>180</v>
      </c>
      <c r="R898" s="189">
        <v>2022</v>
      </c>
      <c r="S898" s="168">
        <v>1</v>
      </c>
    </row>
    <row r="899" spans="1:19" ht="15.75" customHeight="1" x14ac:dyDescent="0.25">
      <c r="A899" s="182">
        <f>A898+1</f>
        <v>5</v>
      </c>
      <c r="B899" s="182">
        <v>7220</v>
      </c>
      <c r="C899" s="128" t="s">
        <v>721</v>
      </c>
      <c r="D899" s="129">
        <v>1959</v>
      </c>
      <c r="E899" s="198" t="s">
        <v>68</v>
      </c>
      <c r="F899" s="198" t="s">
        <v>81</v>
      </c>
      <c r="G899" s="203">
        <v>405.26</v>
      </c>
      <c r="H899" s="173">
        <v>392.1</v>
      </c>
      <c r="I899" s="204">
        <v>22</v>
      </c>
      <c r="J899" s="173">
        <f>'Форма 2'!I3277</f>
        <v>101946</v>
      </c>
      <c r="K899" s="173">
        <v>0</v>
      </c>
      <c r="L899" s="173">
        <v>0</v>
      </c>
      <c r="M899" s="173">
        <v>0</v>
      </c>
      <c r="N899" s="173">
        <f>J899-K899-L899-M899-O899</f>
        <v>101946</v>
      </c>
      <c r="O899" s="173">
        <v>0</v>
      </c>
      <c r="P899" s="173">
        <f>J899/H899</f>
        <v>260</v>
      </c>
      <c r="Q899" s="173">
        <f>'Форма 2'!K3277</f>
        <v>260</v>
      </c>
      <c r="R899" s="189">
        <v>2022</v>
      </c>
      <c r="S899" s="168">
        <v>1</v>
      </c>
    </row>
  </sheetData>
  <autoFilter ref="A8:S899"/>
  <customSheetViews>
    <customSheetView guid="{114D0552-1D3C-4C9A-AF28-55BD1176DD7C}" scale="80" showPageBreaks="1" fitToPage="1" printArea="1" showAutoFilter="1" view="pageBreakPreview" topLeftCell="A28">
      <selection activeCell="A52" sqref="A52:IV52"/>
      <pageMargins left="0.19685039370078741" right="0.19685039370078741" top="0.78740157480314965" bottom="0.39370078740157483" header="0.31496062992125984" footer="0.31496062992125984"/>
      <printOptions horizontalCentered="1"/>
      <pageSetup paperSize="9" scale="46" fitToHeight="0" orientation="landscape" r:id="rId1"/>
      <autoFilter ref="B1:Z1"/>
    </customSheetView>
    <customSheetView guid="{CC3EEC02-30D2-4905-AE21-71EA71520321}" scale="80" showPageBreaks="1" fitToPage="1" filter="1" showAutoFilter="1" view="pageBreakPreview" topLeftCell="A97">
      <selection activeCell="U113" sqref="U113"/>
      <pageMargins left="0.19685039370078741" right="0.19685039370078741" top="0.78740157480314965" bottom="0.39370078740157483" header="0.31496062992125984" footer="0.31496062992125984"/>
      <printOptions horizontalCentered="1"/>
      <pageSetup paperSize="9" scale="44" fitToHeight="0" orientation="landscape" r:id="rId2"/>
      <autoFilter ref="B1:Y1">
        <filterColumn colId="7">
          <filters>
            <filter val="Х"/>
          </filters>
        </filterColumn>
      </autoFilter>
    </customSheetView>
    <customSheetView guid="{3511D8A4-2A8D-4563-8DF1-C381EEDBF68F}" scale="80" showPageBreaks="1" fitToPage="1" printArea="1" filter="1" showAutoFilter="1" view="pageBreakPreview">
      <selection activeCell="B4" sqref="A4:M65"/>
      <pageMargins left="0.19685039370078741" right="0.19685039370078741" top="0.78740157480314965" bottom="0.39370078740157483" header="0.31496062992125984" footer="0.31496062992125984"/>
      <printOptions horizontalCentered="1"/>
      <pageSetup paperSize="9" scale="47" fitToHeight="0" orientation="landscape" r:id="rId3"/>
      <autoFilter ref="B1:Y1">
        <filterColumn colId="7">
          <filters>
            <filter val="Х"/>
          </filters>
        </filterColumn>
      </autoFilter>
    </customSheetView>
  </customSheetViews>
  <mergeCells count="87">
    <mergeCell ref="O1:S1"/>
    <mergeCell ref="A2:S2"/>
    <mergeCell ref="A241:C241"/>
    <mergeCell ref="A248:C248"/>
    <mergeCell ref="A307:C307"/>
    <mergeCell ref="A288:C288"/>
    <mergeCell ref="A277:C277"/>
    <mergeCell ref="A267:C267"/>
    <mergeCell ref="A273:C273"/>
    <mergeCell ref="A4:A7"/>
    <mergeCell ref="A282:C282"/>
    <mergeCell ref="A301:C301"/>
    <mergeCell ref="A11:C11"/>
    <mergeCell ref="A26:C26"/>
    <mergeCell ref="A84:C84"/>
    <mergeCell ref="A138:C138"/>
    <mergeCell ref="S4:S7"/>
    <mergeCell ref="A3:R3"/>
    <mergeCell ref="A31:C31"/>
    <mergeCell ref="A69:C69"/>
    <mergeCell ref="I4:I6"/>
    <mergeCell ref="R4:R7"/>
    <mergeCell ref="Q4:Q6"/>
    <mergeCell ref="P4:P6"/>
    <mergeCell ref="J5:J6"/>
    <mergeCell ref="H4:H6"/>
    <mergeCell ref="A894:C894"/>
    <mergeCell ref="A729:C729"/>
    <mergeCell ref="A860:C860"/>
    <mergeCell ref="A874:C874"/>
    <mergeCell ref="A835:C835"/>
    <mergeCell ref="A745:C745"/>
    <mergeCell ref="A746:C746"/>
    <mergeCell ref="A855:C855"/>
    <mergeCell ref="A773:C773"/>
    <mergeCell ref="A784:C784"/>
    <mergeCell ref="A816:C816"/>
    <mergeCell ref="A833:C833"/>
    <mergeCell ref="A838:C838"/>
    <mergeCell ref="A830:C830"/>
    <mergeCell ref="A865:C865"/>
    <mergeCell ref="A872:C872"/>
    <mergeCell ref="A85:C85"/>
    <mergeCell ref="A10:C10"/>
    <mergeCell ref="C4:C7"/>
    <mergeCell ref="A15:C15"/>
    <mergeCell ref="A618:C618"/>
    <mergeCell ref="A331:C331"/>
    <mergeCell ref="A119:C119"/>
    <mergeCell ref="A234:C234"/>
    <mergeCell ref="A198:C198"/>
    <mergeCell ref="A230:C230"/>
    <mergeCell ref="G4:G6"/>
    <mergeCell ref="B4:B7"/>
    <mergeCell ref="E4:E7"/>
    <mergeCell ref="F4:F7"/>
    <mergeCell ref="D4:D7"/>
    <mergeCell ref="A664:C664"/>
    <mergeCell ref="A622:C622"/>
    <mergeCell ref="A334:C334"/>
    <mergeCell ref="A311:C311"/>
    <mergeCell ref="A526:C526"/>
    <mergeCell ref="A656:C656"/>
    <mergeCell ref="A328:C328"/>
    <mergeCell ref="A610:C610"/>
    <mergeCell ref="A614:C614"/>
    <mergeCell ref="A448:C448"/>
    <mergeCell ref="A468:C468"/>
    <mergeCell ref="A562:C562"/>
    <mergeCell ref="A408:C408"/>
    <mergeCell ref="A628:C628"/>
    <mergeCell ref="A687:C687"/>
    <mergeCell ref="J4:O4"/>
    <mergeCell ref="K5:O5"/>
    <mergeCell ref="A690:C690"/>
    <mergeCell ref="A862:C862"/>
    <mergeCell ref="A566:C566"/>
    <mergeCell ref="A24:C24"/>
    <mergeCell ref="A694:C694"/>
    <mergeCell ref="A658:C658"/>
    <mergeCell ref="A670:C670"/>
    <mergeCell ref="A663:C663"/>
    <mergeCell ref="A692:C692"/>
    <mergeCell ref="A573:C573"/>
    <mergeCell ref="A578:C578"/>
    <mergeCell ref="A385:C385"/>
    <mergeCell ref="A407:C407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46" firstPageNumber="2" fitToHeight="0" orientation="landscape" useFirstPageNumber="1" r:id="rId4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EO3292"/>
  <sheetViews>
    <sheetView zoomScale="60" zoomScaleNormal="60" zoomScaleSheetLayoutView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3291" sqref="A1:K3291"/>
    </sheetView>
  </sheetViews>
  <sheetFormatPr defaultColWidth="9.140625" defaultRowHeight="15.75" x14ac:dyDescent="0.25"/>
  <cols>
    <col min="1" max="1" width="6.28515625" style="108" customWidth="1"/>
    <col min="2" max="2" width="7.42578125" style="72" customWidth="1"/>
    <col min="3" max="3" width="51.85546875" style="110" customWidth="1"/>
    <col min="4" max="4" width="15.140625" style="72" customWidth="1"/>
    <col min="5" max="5" width="10.5703125" style="115" customWidth="1"/>
    <col min="6" max="6" width="13" style="115" customWidth="1"/>
    <col min="7" max="7" width="31.140625" style="111" customWidth="1"/>
    <col min="8" max="8" width="44.140625" style="112" customWidth="1"/>
    <col min="9" max="9" width="20.7109375" style="72" customWidth="1"/>
    <col min="10" max="10" width="13" style="72" customWidth="1"/>
    <col min="11" max="11" width="12.28515625" style="72" customWidth="1"/>
    <col min="12" max="16384" width="9.140625" style="72"/>
  </cols>
  <sheetData>
    <row r="1" spans="1:11" ht="39" customHeight="1" x14ac:dyDescent="0.25">
      <c r="A1" s="421" t="s">
        <v>284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</row>
    <row r="2" spans="1:11" x14ac:dyDescent="0.25">
      <c r="A2" s="73"/>
      <c r="B2" s="74"/>
      <c r="C2" s="122"/>
      <c r="D2" s="75"/>
      <c r="E2" s="76"/>
      <c r="F2" s="76"/>
      <c r="G2" s="77"/>
      <c r="H2" s="78"/>
      <c r="I2" s="78"/>
      <c r="J2" s="75"/>
      <c r="K2" s="75"/>
    </row>
    <row r="3" spans="1:11" s="111" customFormat="1" ht="94.5" x14ac:dyDescent="0.25">
      <c r="A3" s="145" t="s">
        <v>25</v>
      </c>
      <c r="B3" s="145" t="s">
        <v>28</v>
      </c>
      <c r="C3" s="146" t="s">
        <v>1</v>
      </c>
      <c r="D3" s="146" t="s">
        <v>19</v>
      </c>
      <c r="E3" s="6" t="s">
        <v>56</v>
      </c>
      <c r="F3" s="6" t="s">
        <v>2</v>
      </c>
      <c r="G3" s="146" t="s">
        <v>20</v>
      </c>
      <c r="H3" s="146" t="s">
        <v>21</v>
      </c>
      <c r="I3" s="146" t="s">
        <v>22</v>
      </c>
      <c r="J3" s="146" t="s">
        <v>23</v>
      </c>
      <c r="K3" s="146" t="s">
        <v>24</v>
      </c>
    </row>
    <row r="4" spans="1:11" x14ac:dyDescent="0.25">
      <c r="A4" s="145">
        <v>1</v>
      </c>
      <c r="B4" s="145">
        <v>2</v>
      </c>
      <c r="C4" s="145">
        <v>3</v>
      </c>
      <c r="D4" s="145">
        <v>4</v>
      </c>
      <c r="E4" s="160">
        <v>5</v>
      </c>
      <c r="F4" s="160">
        <v>6</v>
      </c>
      <c r="G4" s="160">
        <v>7</v>
      </c>
      <c r="H4" s="79">
        <v>8</v>
      </c>
      <c r="I4" s="145">
        <v>9</v>
      </c>
      <c r="J4" s="145">
        <v>10</v>
      </c>
      <c r="K4" s="145">
        <v>11</v>
      </c>
    </row>
    <row r="5" spans="1:11" x14ac:dyDescent="0.25">
      <c r="A5" s="81" t="s">
        <v>281</v>
      </c>
      <c r="B5" s="82"/>
      <c r="C5" s="123"/>
      <c r="D5" s="80">
        <f>D6+D17+D41+D44+D61+D255+D347+D928+D936+D954+D972+D1018+D1038+D1048+D1063+D1080+D1124</f>
        <v>1101665.32</v>
      </c>
      <c r="E5" s="83"/>
      <c r="F5" s="83"/>
      <c r="G5" s="121"/>
      <c r="H5" s="84"/>
      <c r="I5" s="223">
        <f>I6+I17+I41+I44+I61+I255+I347+I928+I936+I954+I972+I1018+I1038+I1048+I1063+I1080+I1124</f>
        <v>970091339.77999997</v>
      </c>
      <c r="J5" s="223"/>
      <c r="K5" s="223"/>
    </row>
    <row r="6" spans="1:11" x14ac:dyDescent="0.25">
      <c r="A6" s="97" t="s">
        <v>16</v>
      </c>
      <c r="B6" s="97"/>
      <c r="C6" s="86"/>
      <c r="D6" s="80">
        <f>D7+D12+D14</f>
        <v>985.5</v>
      </c>
      <c r="E6" s="80"/>
      <c r="F6" s="80"/>
      <c r="G6" s="121"/>
      <c r="H6" s="84"/>
      <c r="I6" s="223">
        <f>I7+I12+I14</f>
        <v>1186798.42</v>
      </c>
      <c r="J6" s="223"/>
      <c r="K6" s="223"/>
    </row>
    <row r="7" spans="1:11" x14ac:dyDescent="0.25">
      <c r="A7" s="307">
        <v>1</v>
      </c>
      <c r="B7" s="369">
        <v>4661</v>
      </c>
      <c r="C7" s="371" t="s">
        <v>262</v>
      </c>
      <c r="D7" s="369">
        <v>330.2</v>
      </c>
      <c r="E7" s="369" t="s">
        <v>167</v>
      </c>
      <c r="F7" s="369">
        <v>2</v>
      </c>
      <c r="G7" s="145"/>
      <c r="H7" s="121" t="s">
        <v>66</v>
      </c>
      <c r="I7" s="223">
        <f>SUM(I8:I11)</f>
        <v>977819.92</v>
      </c>
      <c r="J7" s="223">
        <f>SUM(J8:J11)</f>
        <v>2961.3</v>
      </c>
      <c r="K7" s="223">
        <f>SUM(K8:K11)</f>
        <v>3661</v>
      </c>
    </row>
    <row r="8" spans="1:11" x14ac:dyDescent="0.25">
      <c r="A8" s="308"/>
      <c r="B8" s="370"/>
      <c r="C8" s="372"/>
      <c r="D8" s="370"/>
      <c r="E8" s="370"/>
      <c r="F8" s="370"/>
      <c r="G8" s="307" t="s">
        <v>70</v>
      </c>
      <c r="H8" s="87" t="s">
        <v>67</v>
      </c>
      <c r="I8" s="223">
        <v>826403</v>
      </c>
      <c r="J8" s="223">
        <f>I8/D7</f>
        <v>2502.73</v>
      </c>
      <c r="K8" s="223">
        <v>2967</v>
      </c>
    </row>
    <row r="9" spans="1:11" x14ac:dyDescent="0.25">
      <c r="A9" s="308"/>
      <c r="B9" s="370"/>
      <c r="C9" s="372"/>
      <c r="D9" s="370"/>
      <c r="E9" s="370"/>
      <c r="F9" s="370"/>
      <c r="G9" s="309"/>
      <c r="H9" s="87" t="s">
        <v>69</v>
      </c>
      <c r="I9" s="223">
        <v>17685.02</v>
      </c>
      <c r="J9" s="223">
        <f>I9/D7</f>
        <v>53.56</v>
      </c>
      <c r="K9" s="223">
        <v>63</v>
      </c>
    </row>
    <row r="10" spans="1:11" x14ac:dyDescent="0.25">
      <c r="A10" s="308"/>
      <c r="B10" s="370"/>
      <c r="C10" s="372"/>
      <c r="D10" s="370"/>
      <c r="E10" s="370"/>
      <c r="F10" s="370"/>
      <c r="G10" s="307" t="s">
        <v>71</v>
      </c>
      <c r="H10" s="87" t="s">
        <v>67</v>
      </c>
      <c r="I10" s="223">
        <v>130930</v>
      </c>
      <c r="J10" s="223">
        <f>I10/D7</f>
        <v>396.52</v>
      </c>
      <c r="K10" s="223">
        <v>618</v>
      </c>
    </row>
    <row r="11" spans="1:11" x14ac:dyDescent="0.25">
      <c r="A11" s="309"/>
      <c r="B11" s="395"/>
      <c r="C11" s="396"/>
      <c r="D11" s="395"/>
      <c r="E11" s="395"/>
      <c r="F11" s="395"/>
      <c r="G11" s="309"/>
      <c r="H11" s="87" t="s">
        <v>69</v>
      </c>
      <c r="I11" s="223">
        <v>2801.9</v>
      </c>
      <c r="J11" s="223">
        <f>I11/D7</f>
        <v>8.49</v>
      </c>
      <c r="K11" s="223">
        <v>13</v>
      </c>
    </row>
    <row r="12" spans="1:11" x14ac:dyDescent="0.25">
      <c r="A12" s="310">
        <f>A7+1</f>
        <v>2</v>
      </c>
      <c r="B12" s="314">
        <v>4753</v>
      </c>
      <c r="C12" s="315" t="s">
        <v>512</v>
      </c>
      <c r="D12" s="307">
        <v>325.2</v>
      </c>
      <c r="E12" s="307" t="s">
        <v>167</v>
      </c>
      <c r="F12" s="307">
        <v>2</v>
      </c>
      <c r="G12" s="307" t="s">
        <v>65</v>
      </c>
      <c r="H12" s="88" t="s">
        <v>66</v>
      </c>
      <c r="I12" s="223">
        <f>I13</f>
        <v>67567.600000000006</v>
      </c>
      <c r="J12" s="223">
        <f>J13</f>
        <v>207.77</v>
      </c>
      <c r="K12" s="223">
        <f>K13</f>
        <v>259</v>
      </c>
    </row>
    <row r="13" spans="1:11" ht="63" x14ac:dyDescent="0.25">
      <c r="A13" s="310"/>
      <c r="B13" s="314"/>
      <c r="C13" s="316"/>
      <c r="D13" s="309"/>
      <c r="E13" s="309"/>
      <c r="F13" s="309"/>
      <c r="G13" s="309"/>
      <c r="H13" s="88" t="s">
        <v>168</v>
      </c>
      <c r="I13" s="223">
        <v>67567.600000000006</v>
      </c>
      <c r="J13" s="223">
        <f>I13/D12</f>
        <v>207.77</v>
      </c>
      <c r="K13" s="223">
        <f>163+96</f>
        <v>259</v>
      </c>
    </row>
    <row r="14" spans="1:11" x14ac:dyDescent="0.25">
      <c r="A14" s="310">
        <f>A12+1</f>
        <v>3</v>
      </c>
      <c r="B14" s="310">
        <v>4754</v>
      </c>
      <c r="C14" s="400" t="s">
        <v>513</v>
      </c>
      <c r="D14" s="307">
        <v>330.1</v>
      </c>
      <c r="E14" s="307" t="s">
        <v>167</v>
      </c>
      <c r="F14" s="307">
        <v>2</v>
      </c>
      <c r="G14" s="307" t="s">
        <v>75</v>
      </c>
      <c r="H14" s="88" t="s">
        <v>66</v>
      </c>
      <c r="I14" s="223">
        <f>SUM(I15:I16)</f>
        <v>141410.9</v>
      </c>
      <c r="J14" s="223">
        <f>SUM(J15:J16)</f>
        <v>428.39</v>
      </c>
      <c r="K14" s="223">
        <f>SUM(K15:K16)</f>
        <v>464</v>
      </c>
    </row>
    <row r="15" spans="1:11" ht="63" x14ac:dyDescent="0.25">
      <c r="A15" s="310"/>
      <c r="B15" s="310"/>
      <c r="C15" s="401"/>
      <c r="D15" s="308"/>
      <c r="E15" s="308"/>
      <c r="F15" s="308"/>
      <c r="G15" s="308"/>
      <c r="H15" s="88" t="s">
        <v>178</v>
      </c>
      <c r="I15" s="223">
        <v>79783.199999999997</v>
      </c>
      <c r="J15" s="223">
        <f>I15/D14+0.01</f>
        <v>241.7</v>
      </c>
      <c r="K15" s="223">
        <f>232+27</f>
        <v>259</v>
      </c>
    </row>
    <row r="16" spans="1:11" ht="63" x14ac:dyDescent="0.25">
      <c r="A16" s="310"/>
      <c r="B16" s="310"/>
      <c r="C16" s="402"/>
      <c r="D16" s="309"/>
      <c r="E16" s="309"/>
      <c r="F16" s="309"/>
      <c r="G16" s="309"/>
      <c r="H16" s="88" t="s">
        <v>488</v>
      </c>
      <c r="I16" s="223">
        <v>61627.7</v>
      </c>
      <c r="J16" s="223">
        <f>I16/D14</f>
        <v>186.69</v>
      </c>
      <c r="K16" s="223">
        <f>177+28</f>
        <v>205</v>
      </c>
    </row>
    <row r="17" spans="1:11" x14ac:dyDescent="0.25">
      <c r="A17" s="86" t="s">
        <v>29</v>
      </c>
      <c r="B17" s="214"/>
      <c r="C17" s="157"/>
      <c r="D17" s="151">
        <f>D18+D21+D24+D27+D30+D32+D34+D37</f>
        <v>12287.33</v>
      </c>
      <c r="E17" s="160"/>
      <c r="F17" s="160"/>
      <c r="G17" s="151"/>
      <c r="H17" s="85"/>
      <c r="I17" s="223">
        <f>I18+I21+I24+I27+I30+I32+I34+I37</f>
        <v>34125387.560000002</v>
      </c>
      <c r="J17" s="223"/>
      <c r="K17" s="223"/>
    </row>
    <row r="18" spans="1:11" x14ac:dyDescent="0.25">
      <c r="A18" s="307">
        <v>1</v>
      </c>
      <c r="B18" s="307">
        <v>4405</v>
      </c>
      <c r="C18" s="315" t="s">
        <v>84</v>
      </c>
      <c r="D18" s="318">
        <v>1765.93</v>
      </c>
      <c r="E18" s="307" t="s">
        <v>68</v>
      </c>
      <c r="F18" s="307">
        <v>3</v>
      </c>
      <c r="G18" s="307" t="s">
        <v>65</v>
      </c>
      <c r="H18" s="87" t="s">
        <v>66</v>
      </c>
      <c r="I18" s="223">
        <f>I19+I20</f>
        <v>7206813.8799999999</v>
      </c>
      <c r="J18" s="223">
        <f>J19+J20</f>
        <v>4081.03</v>
      </c>
      <c r="K18" s="223">
        <f>K19+K20</f>
        <v>5144</v>
      </c>
    </row>
    <row r="19" spans="1:11" x14ac:dyDescent="0.25">
      <c r="A19" s="308"/>
      <c r="B19" s="308"/>
      <c r="C19" s="317"/>
      <c r="D19" s="319"/>
      <c r="E19" s="308"/>
      <c r="F19" s="308"/>
      <c r="G19" s="308"/>
      <c r="H19" s="87" t="s">
        <v>67</v>
      </c>
      <c r="I19" s="223">
        <v>7055819.3499999996</v>
      </c>
      <c r="J19" s="223">
        <f>I19/D18</f>
        <v>3995.53</v>
      </c>
      <c r="K19" s="223">
        <v>5036</v>
      </c>
    </row>
    <row r="20" spans="1:11" x14ac:dyDescent="0.25">
      <c r="A20" s="309"/>
      <c r="B20" s="309"/>
      <c r="C20" s="316"/>
      <c r="D20" s="329"/>
      <c r="E20" s="309"/>
      <c r="F20" s="309"/>
      <c r="G20" s="309"/>
      <c r="H20" s="87" t="s">
        <v>69</v>
      </c>
      <c r="I20" s="223">
        <v>150994.53</v>
      </c>
      <c r="J20" s="223">
        <f>I20/D18</f>
        <v>85.5</v>
      </c>
      <c r="K20" s="223">
        <v>108</v>
      </c>
    </row>
    <row r="21" spans="1:11" x14ac:dyDescent="0.25">
      <c r="A21" s="307">
        <f>A18+1</f>
        <v>2</v>
      </c>
      <c r="B21" s="307">
        <v>4563</v>
      </c>
      <c r="C21" s="315" t="s">
        <v>183</v>
      </c>
      <c r="D21" s="318">
        <v>4353.01</v>
      </c>
      <c r="E21" s="307" t="s">
        <v>68</v>
      </c>
      <c r="F21" s="307">
        <v>5</v>
      </c>
      <c r="G21" s="307" t="s">
        <v>65</v>
      </c>
      <c r="H21" s="87" t="s">
        <v>66</v>
      </c>
      <c r="I21" s="223">
        <f>I22+I23</f>
        <v>10662580.619999999</v>
      </c>
      <c r="J21" s="223">
        <f>J22+J23</f>
        <v>2449.4699999999998</v>
      </c>
      <c r="K21" s="223">
        <f>K22+K23</f>
        <v>3878</v>
      </c>
    </row>
    <row r="22" spans="1:11" x14ac:dyDescent="0.25">
      <c r="A22" s="308"/>
      <c r="B22" s="308"/>
      <c r="C22" s="317"/>
      <c r="D22" s="319"/>
      <c r="E22" s="308"/>
      <c r="F22" s="308"/>
      <c r="G22" s="308"/>
      <c r="H22" s="87" t="s">
        <v>67</v>
      </c>
      <c r="I22" s="223">
        <v>10439182.119999999</v>
      </c>
      <c r="J22" s="223">
        <f>I22/D21</f>
        <v>2398.15</v>
      </c>
      <c r="K22" s="223">
        <v>3797</v>
      </c>
    </row>
    <row r="23" spans="1:11" x14ac:dyDescent="0.25">
      <c r="A23" s="309"/>
      <c r="B23" s="309"/>
      <c r="C23" s="316"/>
      <c r="D23" s="329"/>
      <c r="E23" s="309"/>
      <c r="F23" s="309"/>
      <c r="G23" s="309"/>
      <c r="H23" s="87" t="s">
        <v>69</v>
      </c>
      <c r="I23" s="223">
        <v>223398.5</v>
      </c>
      <c r="J23" s="223">
        <f>I23/D21</f>
        <v>51.32</v>
      </c>
      <c r="K23" s="223">
        <v>81</v>
      </c>
    </row>
    <row r="24" spans="1:11" x14ac:dyDescent="0.25">
      <c r="A24" s="307">
        <f>A21+1</f>
        <v>3</v>
      </c>
      <c r="B24" s="307">
        <v>4598</v>
      </c>
      <c r="C24" s="315" t="s">
        <v>113</v>
      </c>
      <c r="D24" s="318">
        <v>726.63</v>
      </c>
      <c r="E24" s="307" t="s">
        <v>167</v>
      </c>
      <c r="F24" s="307">
        <v>2</v>
      </c>
      <c r="G24" s="307" t="s">
        <v>65</v>
      </c>
      <c r="H24" s="87" t="s">
        <v>66</v>
      </c>
      <c r="I24" s="223">
        <f>I25+I26</f>
        <v>3434149.4</v>
      </c>
      <c r="J24" s="223">
        <f>J25+J26</f>
        <v>4726.13</v>
      </c>
      <c r="K24" s="223">
        <f>K25+K26</f>
        <v>7688</v>
      </c>
    </row>
    <row r="25" spans="1:11" x14ac:dyDescent="0.25">
      <c r="A25" s="308"/>
      <c r="B25" s="308"/>
      <c r="C25" s="317"/>
      <c r="D25" s="319"/>
      <c r="E25" s="308"/>
      <c r="F25" s="308"/>
      <c r="G25" s="308"/>
      <c r="H25" s="87" t="s">
        <v>67</v>
      </c>
      <c r="I25" s="223">
        <v>3362198.36</v>
      </c>
      <c r="J25" s="223">
        <f>I25/D24</f>
        <v>4627.1099999999997</v>
      </c>
      <c r="K25" s="223">
        <v>7527</v>
      </c>
    </row>
    <row r="26" spans="1:11" x14ac:dyDescent="0.25">
      <c r="A26" s="309"/>
      <c r="B26" s="309"/>
      <c r="C26" s="316"/>
      <c r="D26" s="329"/>
      <c r="E26" s="309"/>
      <c r="F26" s="309"/>
      <c r="G26" s="309"/>
      <c r="H26" s="87" t="s">
        <v>69</v>
      </c>
      <c r="I26" s="223">
        <v>71951.039999999994</v>
      </c>
      <c r="J26" s="223">
        <f>I26/D24</f>
        <v>99.02</v>
      </c>
      <c r="K26" s="223">
        <v>161</v>
      </c>
    </row>
    <row r="27" spans="1:11" x14ac:dyDescent="0.25">
      <c r="A27" s="307">
        <f>A24+1</f>
        <v>4</v>
      </c>
      <c r="B27" s="307">
        <v>4589</v>
      </c>
      <c r="C27" s="315" t="s">
        <v>85</v>
      </c>
      <c r="D27" s="318">
        <v>4046.4</v>
      </c>
      <c r="E27" s="307" t="s">
        <v>68</v>
      </c>
      <c r="F27" s="307">
        <v>5</v>
      </c>
      <c r="G27" s="307" t="s">
        <v>65</v>
      </c>
      <c r="H27" s="87" t="s">
        <v>66</v>
      </c>
      <c r="I27" s="223">
        <f>I28+I29</f>
        <v>10320593.359999999</v>
      </c>
      <c r="J27" s="223">
        <f>J28+J29</f>
        <v>2550.56</v>
      </c>
      <c r="K27" s="223">
        <f>K28+K29</f>
        <v>3878</v>
      </c>
    </row>
    <row r="28" spans="1:11" x14ac:dyDescent="0.25">
      <c r="A28" s="308"/>
      <c r="B28" s="308"/>
      <c r="C28" s="317"/>
      <c r="D28" s="319"/>
      <c r="E28" s="308"/>
      <c r="F28" s="308"/>
      <c r="G28" s="308"/>
      <c r="H28" s="87" t="s">
        <v>67</v>
      </c>
      <c r="I28" s="223">
        <v>10104360.050000001</v>
      </c>
      <c r="J28" s="223">
        <f>I28/D27</f>
        <v>2497.12</v>
      </c>
      <c r="K28" s="223">
        <v>3797</v>
      </c>
    </row>
    <row r="29" spans="1:11" x14ac:dyDescent="0.25">
      <c r="A29" s="309"/>
      <c r="B29" s="309"/>
      <c r="C29" s="316"/>
      <c r="D29" s="329"/>
      <c r="E29" s="309"/>
      <c r="F29" s="309"/>
      <c r="G29" s="309"/>
      <c r="H29" s="87" t="s">
        <v>69</v>
      </c>
      <c r="I29" s="223">
        <v>216233.31</v>
      </c>
      <c r="J29" s="223">
        <f>I29/D27</f>
        <v>53.44</v>
      </c>
      <c r="K29" s="223">
        <v>81</v>
      </c>
    </row>
    <row r="30" spans="1:11" x14ac:dyDescent="0.25">
      <c r="A30" s="411">
        <f>A27+1</f>
        <v>5</v>
      </c>
      <c r="B30" s="369">
        <v>8083</v>
      </c>
      <c r="C30" s="371" t="s">
        <v>348</v>
      </c>
      <c r="D30" s="384">
        <v>325.16000000000003</v>
      </c>
      <c r="E30" s="318" t="s">
        <v>167</v>
      </c>
      <c r="F30" s="369">
        <v>2</v>
      </c>
      <c r="G30" s="145"/>
      <c r="H30" s="87" t="s">
        <v>66</v>
      </c>
      <c r="I30" s="223">
        <f>SUM(I31)</f>
        <v>44546.92</v>
      </c>
      <c r="J30" s="223">
        <f>SUM(J31)</f>
        <v>137</v>
      </c>
      <c r="K30" s="223">
        <f>SUM(K31)</f>
        <v>137</v>
      </c>
    </row>
    <row r="31" spans="1:11" ht="63" x14ac:dyDescent="0.25">
      <c r="A31" s="395"/>
      <c r="B31" s="395"/>
      <c r="C31" s="396"/>
      <c r="D31" s="412"/>
      <c r="E31" s="329"/>
      <c r="F31" s="395"/>
      <c r="G31" s="145" t="s">
        <v>70</v>
      </c>
      <c r="H31" s="149" t="s">
        <v>168</v>
      </c>
      <c r="I31" s="223">
        <f>D30*K31</f>
        <v>44546.92</v>
      </c>
      <c r="J31" s="223">
        <f>I31/D30</f>
        <v>137</v>
      </c>
      <c r="K31" s="223">
        <f>116+21</f>
        <v>137</v>
      </c>
    </row>
    <row r="32" spans="1:11" x14ac:dyDescent="0.25">
      <c r="A32" s="411">
        <f>A30+1</f>
        <v>6</v>
      </c>
      <c r="B32" s="369">
        <v>4480</v>
      </c>
      <c r="C32" s="371" t="s">
        <v>350</v>
      </c>
      <c r="D32" s="384">
        <v>385</v>
      </c>
      <c r="E32" s="369" t="s">
        <v>68</v>
      </c>
      <c r="F32" s="369">
        <v>2</v>
      </c>
      <c r="G32" s="145"/>
      <c r="H32" s="87" t="s">
        <v>66</v>
      </c>
      <c r="I32" s="223">
        <f>I33</f>
        <v>67454.87</v>
      </c>
      <c r="J32" s="223">
        <f>J33</f>
        <v>175.21</v>
      </c>
      <c r="K32" s="223">
        <f>K33</f>
        <v>247</v>
      </c>
    </row>
    <row r="33" spans="1:11" ht="63" x14ac:dyDescent="0.25">
      <c r="A33" s="370"/>
      <c r="B33" s="370"/>
      <c r="C33" s="372"/>
      <c r="D33" s="385"/>
      <c r="E33" s="370"/>
      <c r="F33" s="370"/>
      <c r="G33" s="145" t="s">
        <v>65</v>
      </c>
      <c r="H33" s="149" t="s">
        <v>168</v>
      </c>
      <c r="I33" s="223">
        <v>67454.87</v>
      </c>
      <c r="J33" s="223">
        <f>I33/D32</f>
        <v>175.21</v>
      </c>
      <c r="K33" s="223">
        <f>151+96</f>
        <v>247</v>
      </c>
    </row>
    <row r="34" spans="1:11" x14ac:dyDescent="0.25">
      <c r="A34" s="369">
        <f>A32+1</f>
        <v>7</v>
      </c>
      <c r="B34" s="369">
        <v>4532</v>
      </c>
      <c r="C34" s="371" t="s">
        <v>352</v>
      </c>
      <c r="D34" s="384">
        <v>317.3</v>
      </c>
      <c r="E34" s="369" t="s">
        <v>68</v>
      </c>
      <c r="F34" s="369">
        <v>2</v>
      </c>
      <c r="G34" s="145"/>
      <c r="H34" s="87" t="s">
        <v>66</v>
      </c>
      <c r="I34" s="223">
        <f>SUM(I35:I36)</f>
        <v>53169.84</v>
      </c>
      <c r="J34" s="223">
        <f>SUM(J35:J36)</f>
        <v>167.57</v>
      </c>
      <c r="K34" s="223">
        <f>SUM(K35:K36)</f>
        <v>179</v>
      </c>
    </row>
    <row r="35" spans="1:11" ht="63" x14ac:dyDescent="0.25">
      <c r="A35" s="370"/>
      <c r="B35" s="370"/>
      <c r="C35" s="372"/>
      <c r="D35" s="385"/>
      <c r="E35" s="370"/>
      <c r="F35" s="370"/>
      <c r="G35" s="145" t="s">
        <v>70</v>
      </c>
      <c r="H35" s="149" t="s">
        <v>168</v>
      </c>
      <c r="I35" s="223">
        <v>40526.29</v>
      </c>
      <c r="J35" s="223">
        <f>I35/D34</f>
        <v>127.72</v>
      </c>
      <c r="K35" s="223">
        <f>116+21</f>
        <v>137</v>
      </c>
    </row>
    <row r="36" spans="1:11" ht="63" x14ac:dyDescent="0.25">
      <c r="A36" s="395"/>
      <c r="B36" s="395"/>
      <c r="C36" s="396"/>
      <c r="D36" s="412"/>
      <c r="E36" s="395"/>
      <c r="F36" s="395"/>
      <c r="G36" s="145" t="s">
        <v>71</v>
      </c>
      <c r="H36" s="149" t="s">
        <v>168</v>
      </c>
      <c r="I36" s="223">
        <v>12643.55</v>
      </c>
      <c r="J36" s="223">
        <f>I36/D34</f>
        <v>39.85</v>
      </c>
      <c r="K36" s="223">
        <f>21+21</f>
        <v>42</v>
      </c>
    </row>
    <row r="37" spans="1:11" x14ac:dyDescent="0.25">
      <c r="A37" s="394">
        <f>A34+1</f>
        <v>8</v>
      </c>
      <c r="B37" s="394">
        <v>4464</v>
      </c>
      <c r="C37" s="444" t="s">
        <v>353</v>
      </c>
      <c r="D37" s="445">
        <v>367.9</v>
      </c>
      <c r="E37" s="318" t="s">
        <v>68</v>
      </c>
      <c r="F37" s="369">
        <v>2</v>
      </c>
      <c r="G37" s="307" t="s">
        <v>65</v>
      </c>
      <c r="H37" s="87" t="s">
        <v>66</v>
      </c>
      <c r="I37" s="223">
        <f>SUM(I38:I40)</f>
        <v>2336078.67</v>
      </c>
      <c r="J37" s="223">
        <f>SUM(J38:J40)</f>
        <v>6349.77</v>
      </c>
      <c r="K37" s="223">
        <f>SUM(K38:K40)</f>
        <v>7935</v>
      </c>
    </row>
    <row r="38" spans="1:11" ht="63" x14ac:dyDescent="0.25">
      <c r="A38" s="394"/>
      <c r="B38" s="394"/>
      <c r="C38" s="444"/>
      <c r="D38" s="445"/>
      <c r="E38" s="319"/>
      <c r="F38" s="370"/>
      <c r="G38" s="308"/>
      <c r="H38" s="149" t="s">
        <v>168</v>
      </c>
      <c r="I38" s="223">
        <v>69552.899999999994</v>
      </c>
      <c r="J38" s="223">
        <f>I38/D37</f>
        <v>189.05</v>
      </c>
      <c r="K38" s="223">
        <f>151+96</f>
        <v>247</v>
      </c>
    </row>
    <row r="39" spans="1:11" x14ac:dyDescent="0.25">
      <c r="A39" s="394"/>
      <c r="B39" s="394"/>
      <c r="C39" s="444"/>
      <c r="D39" s="445"/>
      <c r="E39" s="319"/>
      <c r="F39" s="370"/>
      <c r="G39" s="308"/>
      <c r="H39" s="87" t="s">
        <v>67</v>
      </c>
      <c r="I39" s="223">
        <v>2219038.35</v>
      </c>
      <c r="J39" s="223">
        <f>I39/D37+0.01</f>
        <v>6031.64</v>
      </c>
      <c r="K39" s="223">
        <v>7527</v>
      </c>
    </row>
    <row r="40" spans="1:11" x14ac:dyDescent="0.25">
      <c r="A40" s="394"/>
      <c r="B40" s="394"/>
      <c r="C40" s="444"/>
      <c r="D40" s="445"/>
      <c r="E40" s="329"/>
      <c r="F40" s="395"/>
      <c r="G40" s="309"/>
      <c r="H40" s="87" t="s">
        <v>69</v>
      </c>
      <c r="I40" s="223">
        <v>47487.42</v>
      </c>
      <c r="J40" s="223">
        <f>I40/D37</f>
        <v>129.08000000000001</v>
      </c>
      <c r="K40" s="223">
        <v>161</v>
      </c>
    </row>
    <row r="41" spans="1:11" x14ac:dyDescent="0.25">
      <c r="A41" s="86" t="s">
        <v>515</v>
      </c>
      <c r="B41" s="214"/>
      <c r="C41" s="157"/>
      <c r="D41" s="151">
        <f>D42</f>
        <v>381.3</v>
      </c>
      <c r="E41" s="160"/>
      <c r="F41" s="160"/>
      <c r="G41" s="151"/>
      <c r="H41" s="85"/>
      <c r="I41" s="223">
        <f>I42</f>
        <v>73356.19</v>
      </c>
      <c r="J41" s="223"/>
      <c r="K41" s="223"/>
    </row>
    <row r="42" spans="1:11" x14ac:dyDescent="0.25">
      <c r="A42" s="326">
        <v>1</v>
      </c>
      <c r="B42" s="326">
        <v>4784</v>
      </c>
      <c r="C42" s="278" t="s">
        <v>514</v>
      </c>
      <c r="D42" s="326">
        <v>381.3</v>
      </c>
      <c r="E42" s="326" t="s">
        <v>68</v>
      </c>
      <c r="F42" s="326">
        <v>2</v>
      </c>
      <c r="G42" s="307" t="s">
        <v>65</v>
      </c>
      <c r="H42" s="121" t="s">
        <v>66</v>
      </c>
      <c r="I42" s="223">
        <f>I43</f>
        <v>73356.19</v>
      </c>
      <c r="J42" s="223">
        <f>J43</f>
        <v>192.38</v>
      </c>
      <c r="K42" s="223">
        <f>K43</f>
        <v>250</v>
      </c>
    </row>
    <row r="43" spans="1:11" ht="63" x14ac:dyDescent="0.25">
      <c r="A43" s="326"/>
      <c r="B43" s="326"/>
      <c r="C43" s="278"/>
      <c r="D43" s="326"/>
      <c r="E43" s="326"/>
      <c r="F43" s="326"/>
      <c r="G43" s="309"/>
      <c r="H43" s="87" t="s">
        <v>168</v>
      </c>
      <c r="I43" s="223">
        <v>73356.19</v>
      </c>
      <c r="J43" s="223">
        <f>I43/D42</f>
        <v>192.38</v>
      </c>
      <c r="K43" s="224">
        <f>154+96</f>
        <v>250</v>
      </c>
    </row>
    <row r="44" spans="1:11" x14ac:dyDescent="0.25">
      <c r="A44" s="86" t="s">
        <v>30</v>
      </c>
      <c r="B44" s="214"/>
      <c r="C44" s="157"/>
      <c r="D44" s="151">
        <f>D45+D50+D53+D58</f>
        <v>2243</v>
      </c>
      <c r="E44" s="160"/>
      <c r="F44" s="160"/>
      <c r="G44" s="151"/>
      <c r="H44" s="85"/>
      <c r="I44" s="223">
        <f>I45+I50+I53+I58</f>
        <v>6812332.6299999999</v>
      </c>
      <c r="J44" s="223"/>
      <c r="K44" s="223"/>
    </row>
    <row r="45" spans="1:11" x14ac:dyDescent="0.25">
      <c r="A45" s="392">
        <v>1</v>
      </c>
      <c r="B45" s="392">
        <v>6698</v>
      </c>
      <c r="C45" s="408" t="s">
        <v>264</v>
      </c>
      <c r="D45" s="392">
        <v>332.7</v>
      </c>
      <c r="E45" s="330" t="s">
        <v>167</v>
      </c>
      <c r="F45" s="330">
        <v>2</v>
      </c>
      <c r="G45" s="72"/>
      <c r="H45" s="87" t="s">
        <v>66</v>
      </c>
      <c r="I45" s="223">
        <f>I46+I47+I48+I49</f>
        <v>2005019.09</v>
      </c>
      <c r="J45" s="223">
        <f>J46+J47+J48+J49</f>
        <v>6026.51</v>
      </c>
      <c r="K45" s="223">
        <f>K46+K47+K48+K49</f>
        <v>8931</v>
      </c>
    </row>
    <row r="46" spans="1:11" x14ac:dyDescent="0.25">
      <c r="A46" s="407"/>
      <c r="B46" s="407"/>
      <c r="C46" s="409"/>
      <c r="D46" s="407"/>
      <c r="E46" s="331"/>
      <c r="F46" s="331"/>
      <c r="G46" s="392" t="s">
        <v>77</v>
      </c>
      <c r="H46" s="87" t="s">
        <v>67</v>
      </c>
      <c r="I46" s="223">
        <v>227297.51</v>
      </c>
      <c r="J46" s="223">
        <f>I46/D45</f>
        <v>683.19</v>
      </c>
      <c r="K46" s="223">
        <v>713</v>
      </c>
    </row>
    <row r="47" spans="1:11" x14ac:dyDescent="0.25">
      <c r="A47" s="407"/>
      <c r="B47" s="407"/>
      <c r="C47" s="409"/>
      <c r="D47" s="407"/>
      <c r="E47" s="331"/>
      <c r="F47" s="331"/>
      <c r="G47" s="393"/>
      <c r="H47" s="87" t="s">
        <v>69</v>
      </c>
      <c r="I47" s="223">
        <v>4634.51</v>
      </c>
      <c r="J47" s="223">
        <f>I47/D45</f>
        <v>13.93</v>
      </c>
      <c r="K47" s="223">
        <v>15</v>
      </c>
    </row>
    <row r="48" spans="1:11" x14ac:dyDescent="0.25">
      <c r="A48" s="407"/>
      <c r="B48" s="407"/>
      <c r="C48" s="409"/>
      <c r="D48" s="407"/>
      <c r="E48" s="331"/>
      <c r="F48" s="331"/>
      <c r="G48" s="392" t="s">
        <v>65</v>
      </c>
      <c r="H48" s="87" t="s">
        <v>67</v>
      </c>
      <c r="I48" s="223">
        <v>1735938</v>
      </c>
      <c r="J48" s="223">
        <f>I48/D45</f>
        <v>5217.7299999999996</v>
      </c>
      <c r="K48" s="223">
        <v>8031</v>
      </c>
    </row>
    <row r="49" spans="1:11" x14ac:dyDescent="0.25">
      <c r="A49" s="393"/>
      <c r="B49" s="393"/>
      <c r="C49" s="410"/>
      <c r="D49" s="393"/>
      <c r="E49" s="332"/>
      <c r="F49" s="332"/>
      <c r="G49" s="393"/>
      <c r="H49" s="87" t="s">
        <v>69</v>
      </c>
      <c r="I49" s="223">
        <v>37149.07</v>
      </c>
      <c r="J49" s="223">
        <f>I49/D45</f>
        <v>111.66</v>
      </c>
      <c r="K49" s="223">
        <v>172</v>
      </c>
    </row>
    <row r="50" spans="1:11" x14ac:dyDescent="0.25">
      <c r="A50" s="392">
        <v>2</v>
      </c>
      <c r="B50" s="392">
        <v>6646</v>
      </c>
      <c r="C50" s="408" t="s">
        <v>265</v>
      </c>
      <c r="D50" s="392">
        <v>481.9</v>
      </c>
      <c r="E50" s="392" t="s">
        <v>167</v>
      </c>
      <c r="F50" s="392">
        <v>2</v>
      </c>
      <c r="G50" s="326" t="s">
        <v>65</v>
      </c>
      <c r="H50" s="87" t="s">
        <v>66</v>
      </c>
      <c r="I50" s="223">
        <f>I51+I52</f>
        <v>2959854.86</v>
      </c>
      <c r="J50" s="223">
        <f>J51+J52</f>
        <v>6142.05</v>
      </c>
      <c r="K50" s="223">
        <f>K51+K52</f>
        <v>8203</v>
      </c>
    </row>
    <row r="51" spans="1:11" x14ac:dyDescent="0.25">
      <c r="A51" s="407"/>
      <c r="B51" s="407"/>
      <c r="C51" s="409"/>
      <c r="D51" s="407"/>
      <c r="E51" s="407"/>
      <c r="F51" s="407"/>
      <c r="G51" s="326"/>
      <c r="H51" s="87" t="s">
        <v>67</v>
      </c>
      <c r="I51" s="223">
        <v>2897841.06</v>
      </c>
      <c r="J51" s="223">
        <f>I51/D50-0.01</f>
        <v>6013.36</v>
      </c>
      <c r="K51" s="223">
        <v>8031</v>
      </c>
    </row>
    <row r="52" spans="1:11" x14ac:dyDescent="0.25">
      <c r="A52" s="393"/>
      <c r="B52" s="393"/>
      <c r="C52" s="410"/>
      <c r="D52" s="393"/>
      <c r="E52" s="393"/>
      <c r="F52" s="393"/>
      <c r="G52" s="326"/>
      <c r="H52" s="87" t="s">
        <v>69</v>
      </c>
      <c r="I52" s="223">
        <v>62013.8</v>
      </c>
      <c r="J52" s="223">
        <f>I52/D50</f>
        <v>128.69</v>
      </c>
      <c r="K52" s="223">
        <v>172</v>
      </c>
    </row>
    <row r="53" spans="1:11" x14ac:dyDescent="0.25">
      <c r="A53" s="326">
        <f>A50+1</f>
        <v>3</v>
      </c>
      <c r="B53" s="326">
        <v>6714</v>
      </c>
      <c r="C53" s="278" t="s">
        <v>263</v>
      </c>
      <c r="D53" s="392">
        <v>706.7</v>
      </c>
      <c r="E53" s="392" t="s">
        <v>68</v>
      </c>
      <c r="F53" s="392">
        <v>2</v>
      </c>
      <c r="G53" s="156"/>
      <c r="H53" s="87" t="s">
        <v>66</v>
      </c>
      <c r="I53" s="223">
        <f>SUM(I54:I57)</f>
        <v>1735758.53</v>
      </c>
      <c r="J53" s="223">
        <f>SUM(J54:J57)</f>
        <v>2456.15</v>
      </c>
      <c r="K53" s="223">
        <f>SUM(K54:K57)</f>
        <v>3661</v>
      </c>
    </row>
    <row r="54" spans="1:11" x14ac:dyDescent="0.25">
      <c r="A54" s="326"/>
      <c r="B54" s="326"/>
      <c r="C54" s="278"/>
      <c r="D54" s="407"/>
      <c r="E54" s="407"/>
      <c r="F54" s="407"/>
      <c r="G54" s="392" t="s">
        <v>70</v>
      </c>
      <c r="H54" s="87" t="s">
        <v>67</v>
      </c>
      <c r="I54" s="223">
        <v>1552238.21</v>
      </c>
      <c r="J54" s="223">
        <f>I54/D53</f>
        <v>2196.46</v>
      </c>
      <c r="K54" s="223">
        <v>2967</v>
      </c>
    </row>
    <row r="55" spans="1:11" x14ac:dyDescent="0.25">
      <c r="A55" s="326"/>
      <c r="B55" s="326"/>
      <c r="C55" s="278"/>
      <c r="D55" s="407"/>
      <c r="E55" s="407"/>
      <c r="F55" s="407"/>
      <c r="G55" s="393"/>
      <c r="H55" s="87" t="s">
        <v>69</v>
      </c>
      <c r="I55" s="223">
        <v>33217.9</v>
      </c>
      <c r="J55" s="223">
        <f>I55/D53</f>
        <v>47</v>
      </c>
      <c r="K55" s="223">
        <v>63</v>
      </c>
    </row>
    <row r="56" spans="1:11" x14ac:dyDescent="0.25">
      <c r="A56" s="326"/>
      <c r="B56" s="326"/>
      <c r="C56" s="278"/>
      <c r="D56" s="407"/>
      <c r="E56" s="407"/>
      <c r="F56" s="407"/>
      <c r="G56" s="392" t="s">
        <v>71</v>
      </c>
      <c r="H56" s="87" t="s">
        <v>67</v>
      </c>
      <c r="I56" s="223">
        <v>147153.34</v>
      </c>
      <c r="J56" s="223">
        <f>I56/D53</f>
        <v>208.23</v>
      </c>
      <c r="K56" s="223">
        <v>618</v>
      </c>
    </row>
    <row r="57" spans="1:11" x14ac:dyDescent="0.25">
      <c r="A57" s="392"/>
      <c r="B57" s="392"/>
      <c r="C57" s="408"/>
      <c r="D57" s="407"/>
      <c r="E57" s="407"/>
      <c r="F57" s="407"/>
      <c r="G57" s="407"/>
      <c r="H57" s="89" t="s">
        <v>69</v>
      </c>
      <c r="I57" s="225">
        <v>3149.08</v>
      </c>
      <c r="J57" s="225">
        <f>I57/D53</f>
        <v>4.46</v>
      </c>
      <c r="K57" s="225">
        <v>13</v>
      </c>
    </row>
    <row r="58" spans="1:11" x14ac:dyDescent="0.25">
      <c r="A58" s="326">
        <f>A53+1</f>
        <v>4</v>
      </c>
      <c r="B58" s="326">
        <v>6711</v>
      </c>
      <c r="C58" s="278" t="s">
        <v>459</v>
      </c>
      <c r="D58" s="326">
        <v>721.7</v>
      </c>
      <c r="E58" s="326" t="s">
        <v>68</v>
      </c>
      <c r="F58" s="326">
        <v>2</v>
      </c>
      <c r="G58" s="156"/>
      <c r="H58" s="87" t="s">
        <v>66</v>
      </c>
      <c r="I58" s="223">
        <f>I59+I60</f>
        <v>111700.15</v>
      </c>
      <c r="J58" s="223">
        <f>J59+J60</f>
        <v>154.77000000000001</v>
      </c>
      <c r="K58" s="223">
        <f>K59+K60</f>
        <v>170</v>
      </c>
    </row>
    <row r="59" spans="1:11" ht="63" x14ac:dyDescent="0.25">
      <c r="A59" s="326"/>
      <c r="B59" s="326"/>
      <c r="C59" s="278"/>
      <c r="D59" s="326"/>
      <c r="E59" s="326"/>
      <c r="F59" s="326"/>
      <c r="G59" s="156" t="s">
        <v>70</v>
      </c>
      <c r="H59" s="87" t="s">
        <v>168</v>
      </c>
      <c r="I59" s="223">
        <v>92209.13</v>
      </c>
      <c r="J59" s="223">
        <f>I59/D58-0.01</f>
        <v>127.76</v>
      </c>
      <c r="K59" s="223">
        <f>119+21</f>
        <v>140</v>
      </c>
    </row>
    <row r="60" spans="1:11" ht="63" x14ac:dyDescent="0.25">
      <c r="A60" s="326"/>
      <c r="B60" s="326"/>
      <c r="C60" s="278"/>
      <c r="D60" s="326"/>
      <c r="E60" s="326"/>
      <c r="F60" s="326"/>
      <c r="G60" s="156" t="s">
        <v>78</v>
      </c>
      <c r="H60" s="87" t="s">
        <v>168</v>
      </c>
      <c r="I60" s="223">
        <v>19491.02</v>
      </c>
      <c r="J60" s="223">
        <f>I60/D58</f>
        <v>27.01</v>
      </c>
      <c r="K60" s="223">
        <f>21+9</f>
        <v>30</v>
      </c>
    </row>
    <row r="61" spans="1:11" s="71" customFormat="1" x14ac:dyDescent="0.25">
      <c r="A61" s="215" t="s">
        <v>40</v>
      </c>
      <c r="B61" s="215"/>
      <c r="C61" s="215"/>
      <c r="D61" s="163">
        <f>D62+D65+D67+D69+D76+D83+D92+D94+D113+D126+D145+D148+D151+D160+D162+D166+D171+D174+D177+D180+D182+D184+D189+D192+D202+D205+D208+D213+D224+D227+D230+D233+D236+D239+D244+D247+D250</f>
        <v>243021.7</v>
      </c>
      <c r="E61" s="163"/>
      <c r="F61" s="90"/>
      <c r="G61" s="146"/>
      <c r="H61" s="144"/>
      <c r="I61" s="229">
        <f>I62+I65+I67+I69+I76+I83+I92+I94+I113+I126+I145+I148+I151+I160+I162+I166+I171+I174+I177+I180+I182+I184+I189+I192+I202+I205+I208+I213+I224+I227+I230+I233+I236+I239+I244+I247+I250</f>
        <v>188772208.56999999</v>
      </c>
      <c r="J61" s="229"/>
      <c r="K61" s="229"/>
    </row>
    <row r="62" spans="1:11" s="71" customFormat="1" x14ac:dyDescent="0.25">
      <c r="A62" s="359">
        <v>1</v>
      </c>
      <c r="B62" s="359">
        <v>6026</v>
      </c>
      <c r="C62" s="371" t="s">
        <v>382</v>
      </c>
      <c r="D62" s="291">
        <v>2728.7</v>
      </c>
      <c r="E62" s="291" t="s">
        <v>64</v>
      </c>
      <c r="F62" s="366">
        <v>5</v>
      </c>
      <c r="G62" s="359" t="s">
        <v>65</v>
      </c>
      <c r="H62" s="91" t="s">
        <v>66</v>
      </c>
      <c r="I62" s="229">
        <f>I63+I64</f>
        <v>2934280.57</v>
      </c>
      <c r="J62" s="229">
        <f>J63+J64</f>
        <v>1075.3399999999999</v>
      </c>
      <c r="K62" s="229">
        <f>K63+K64</f>
        <v>3966</v>
      </c>
    </row>
    <row r="63" spans="1:11" s="71" customFormat="1" ht="63" x14ac:dyDescent="0.25">
      <c r="A63" s="360"/>
      <c r="B63" s="360"/>
      <c r="C63" s="372"/>
      <c r="D63" s="292"/>
      <c r="E63" s="292"/>
      <c r="F63" s="367"/>
      <c r="G63" s="360"/>
      <c r="H63" s="91" t="s">
        <v>178</v>
      </c>
      <c r="I63" s="229">
        <v>179313.72</v>
      </c>
      <c r="J63" s="229">
        <f>I63/D62</f>
        <v>65.709999999999994</v>
      </c>
      <c r="K63" s="229">
        <f>151+18</f>
        <v>169</v>
      </c>
    </row>
    <row r="64" spans="1:11" s="71" customFormat="1" x14ac:dyDescent="0.25">
      <c r="A64" s="360"/>
      <c r="B64" s="360"/>
      <c r="C64" s="372"/>
      <c r="D64" s="292"/>
      <c r="E64" s="292"/>
      <c r="F64" s="367"/>
      <c r="G64" s="360"/>
      <c r="H64" s="91" t="s">
        <v>67</v>
      </c>
      <c r="I64" s="229">
        <v>2754966.85</v>
      </c>
      <c r="J64" s="229">
        <f>I64/D62</f>
        <v>1009.63</v>
      </c>
      <c r="K64" s="229">
        <v>3797</v>
      </c>
    </row>
    <row r="65" spans="1:11" s="71" customFormat="1" x14ac:dyDescent="0.25">
      <c r="A65" s="359">
        <f>A62+1</f>
        <v>2</v>
      </c>
      <c r="B65" s="359">
        <v>6030</v>
      </c>
      <c r="C65" s="371" t="s">
        <v>383</v>
      </c>
      <c r="D65" s="291">
        <v>16127.59</v>
      </c>
      <c r="E65" s="291" t="s">
        <v>68</v>
      </c>
      <c r="F65" s="366">
        <v>9</v>
      </c>
      <c r="G65" s="359" t="s">
        <v>65</v>
      </c>
      <c r="H65" s="91" t="s">
        <v>66</v>
      </c>
      <c r="I65" s="229">
        <f>I66</f>
        <v>4533752.47</v>
      </c>
      <c r="J65" s="229">
        <f t="shared" ref="J65:K65" si="0">J66</f>
        <v>281.12</v>
      </c>
      <c r="K65" s="229">
        <f t="shared" si="0"/>
        <v>2440</v>
      </c>
    </row>
    <row r="66" spans="1:11" s="71" customFormat="1" x14ac:dyDescent="0.25">
      <c r="A66" s="360"/>
      <c r="B66" s="360"/>
      <c r="C66" s="372"/>
      <c r="D66" s="292"/>
      <c r="E66" s="292"/>
      <c r="F66" s="367"/>
      <c r="G66" s="360"/>
      <c r="H66" s="91" t="s">
        <v>67</v>
      </c>
      <c r="I66" s="229">
        <v>4533752.47</v>
      </c>
      <c r="J66" s="229">
        <f>I66/D65</f>
        <v>281.12</v>
      </c>
      <c r="K66" s="229">
        <v>2440</v>
      </c>
    </row>
    <row r="67" spans="1:11" s="71" customFormat="1" x14ac:dyDescent="0.25">
      <c r="A67" s="359">
        <f>A65+1</f>
        <v>3</v>
      </c>
      <c r="B67" s="359">
        <v>6039</v>
      </c>
      <c r="C67" s="371" t="s">
        <v>550</v>
      </c>
      <c r="D67" s="291">
        <v>6661.52</v>
      </c>
      <c r="E67" s="291" t="s">
        <v>68</v>
      </c>
      <c r="F67" s="366">
        <v>10</v>
      </c>
      <c r="G67" s="158"/>
      <c r="H67" s="91" t="s">
        <v>66</v>
      </c>
      <c r="I67" s="229">
        <f>SUM(I68:I68)</f>
        <v>27116.04</v>
      </c>
      <c r="J67" s="229">
        <f>SUM(J68:J68)</f>
        <v>4.07</v>
      </c>
      <c r="K67" s="229">
        <f>SUM(K68:K68)</f>
        <v>4.8499999999999996</v>
      </c>
    </row>
    <row r="68" spans="1:11" s="71" customFormat="1" ht="63" x14ac:dyDescent="0.25">
      <c r="A68" s="360"/>
      <c r="B68" s="360"/>
      <c r="C68" s="372"/>
      <c r="D68" s="292"/>
      <c r="E68" s="292"/>
      <c r="F68" s="367"/>
      <c r="G68" s="147" t="s">
        <v>173</v>
      </c>
      <c r="H68" s="91" t="s">
        <v>231</v>
      </c>
      <c r="I68" s="229">
        <v>27116.04</v>
      </c>
      <c r="J68" s="229">
        <f>I68/D67</f>
        <v>4.07</v>
      </c>
      <c r="K68" s="229">
        <f>(22681+9600)/D67</f>
        <v>4.8499999999999996</v>
      </c>
    </row>
    <row r="69" spans="1:11" s="71" customFormat="1" x14ac:dyDescent="0.25">
      <c r="A69" s="359">
        <f>A67+1</f>
        <v>4</v>
      </c>
      <c r="B69" s="359">
        <v>6058</v>
      </c>
      <c r="C69" s="371" t="s">
        <v>437</v>
      </c>
      <c r="D69" s="291">
        <v>4746.3</v>
      </c>
      <c r="E69" s="291" t="s">
        <v>68</v>
      </c>
      <c r="F69" s="366">
        <v>12</v>
      </c>
      <c r="G69" s="158"/>
      <c r="H69" s="91" t="s">
        <v>66</v>
      </c>
      <c r="I69" s="229">
        <f>SUM(I70:I75)</f>
        <v>5253840.43</v>
      </c>
      <c r="J69" s="229">
        <f t="shared" ref="J69:K69" si="1">SUM(J70:J75)</f>
        <v>1106.93</v>
      </c>
      <c r="K69" s="229">
        <f t="shared" si="1"/>
        <v>1203.74</v>
      </c>
    </row>
    <row r="70" spans="1:11" s="71" customFormat="1" ht="63" x14ac:dyDescent="0.25">
      <c r="A70" s="360"/>
      <c r="B70" s="360"/>
      <c r="C70" s="372"/>
      <c r="D70" s="292"/>
      <c r="E70" s="292"/>
      <c r="F70" s="367"/>
      <c r="G70" s="359" t="s">
        <v>170</v>
      </c>
      <c r="H70" s="91" t="s">
        <v>231</v>
      </c>
      <c r="I70" s="229">
        <v>0</v>
      </c>
      <c r="J70" s="229">
        <f>I70/D69</f>
        <v>0</v>
      </c>
      <c r="K70" s="229">
        <f>(22681+9600)/D69</f>
        <v>6.8</v>
      </c>
    </row>
    <row r="71" spans="1:11" s="71" customFormat="1" ht="15.75" customHeight="1" x14ac:dyDescent="0.25">
      <c r="A71" s="360"/>
      <c r="B71" s="360"/>
      <c r="C71" s="372"/>
      <c r="D71" s="292"/>
      <c r="E71" s="292"/>
      <c r="F71" s="367"/>
      <c r="G71" s="360"/>
      <c r="H71" s="91" t="s">
        <v>171</v>
      </c>
      <c r="I71" s="229">
        <v>2335817.19</v>
      </c>
      <c r="J71" s="229">
        <f>I71/D69</f>
        <v>492.13</v>
      </c>
      <c r="K71" s="229">
        <f>2458756/4746.3</f>
        <v>518.04</v>
      </c>
    </row>
    <row r="72" spans="1:11" s="71" customFormat="1" x14ac:dyDescent="0.25">
      <c r="A72" s="360"/>
      <c r="B72" s="360"/>
      <c r="C72" s="372"/>
      <c r="D72" s="292"/>
      <c r="E72" s="292"/>
      <c r="F72" s="367"/>
      <c r="G72" s="368"/>
      <c r="H72" s="91" t="s">
        <v>69</v>
      </c>
      <c r="I72" s="229">
        <v>0</v>
      </c>
      <c r="J72" s="229">
        <f>I72/D69</f>
        <v>0</v>
      </c>
      <c r="K72" s="229">
        <f>52617/4746.3</f>
        <v>11.09</v>
      </c>
    </row>
    <row r="73" spans="1:11" s="71" customFormat="1" ht="63" x14ac:dyDescent="0.25">
      <c r="A73" s="360"/>
      <c r="B73" s="360"/>
      <c r="C73" s="372"/>
      <c r="D73" s="292"/>
      <c r="E73" s="292"/>
      <c r="F73" s="367"/>
      <c r="G73" s="359" t="s">
        <v>170</v>
      </c>
      <c r="H73" s="91" t="s">
        <v>231</v>
      </c>
      <c r="I73" s="229">
        <v>0</v>
      </c>
      <c r="J73" s="229">
        <f>I73/D69</f>
        <v>0</v>
      </c>
      <c r="K73" s="229">
        <f>(22681+9600)/D69</f>
        <v>6.8</v>
      </c>
    </row>
    <row r="74" spans="1:11" s="71" customFormat="1" ht="15.75" customHeight="1" x14ac:dyDescent="0.25">
      <c r="A74" s="360"/>
      <c r="B74" s="360"/>
      <c r="C74" s="372"/>
      <c r="D74" s="292"/>
      <c r="E74" s="292"/>
      <c r="F74" s="367"/>
      <c r="G74" s="360"/>
      <c r="H74" s="91" t="s">
        <v>171</v>
      </c>
      <c r="I74" s="229">
        <v>2918023.24</v>
      </c>
      <c r="J74" s="229">
        <f>I74/D69</f>
        <v>614.79999999999995</v>
      </c>
      <c r="K74" s="229">
        <f>3071604/D69</f>
        <v>647.16</v>
      </c>
    </row>
    <row r="75" spans="1:11" s="71" customFormat="1" x14ac:dyDescent="0.25">
      <c r="A75" s="368"/>
      <c r="B75" s="368"/>
      <c r="C75" s="396"/>
      <c r="D75" s="293"/>
      <c r="E75" s="293"/>
      <c r="F75" s="383"/>
      <c r="G75" s="368"/>
      <c r="H75" s="91" t="s">
        <v>69</v>
      </c>
      <c r="I75" s="229">
        <v>0</v>
      </c>
      <c r="J75" s="229">
        <f>I75/D69</f>
        <v>0</v>
      </c>
      <c r="K75" s="229">
        <f>65732/4746.3</f>
        <v>13.85</v>
      </c>
    </row>
    <row r="76" spans="1:11" s="71" customFormat="1" x14ac:dyDescent="0.25">
      <c r="A76" s="359">
        <f>A69+1</f>
        <v>5</v>
      </c>
      <c r="B76" s="359">
        <v>6059</v>
      </c>
      <c r="C76" s="371" t="s">
        <v>438</v>
      </c>
      <c r="D76" s="291">
        <v>5817.85</v>
      </c>
      <c r="E76" s="291" t="s">
        <v>68</v>
      </c>
      <c r="F76" s="366">
        <v>12</v>
      </c>
      <c r="G76" s="158"/>
      <c r="H76" s="91" t="s">
        <v>66</v>
      </c>
      <c r="I76" s="229">
        <f>SUM(I77:I82)</f>
        <v>4120117.13</v>
      </c>
      <c r="J76" s="229">
        <f>SUM(J77:J82)</f>
        <v>708.19</v>
      </c>
      <c r="K76" s="229">
        <f t="shared" ref="K76" si="2">SUM(K77:K82)</f>
        <v>982.03</v>
      </c>
    </row>
    <row r="77" spans="1:11" s="71" customFormat="1" ht="63" x14ac:dyDescent="0.25">
      <c r="A77" s="360"/>
      <c r="B77" s="360"/>
      <c r="C77" s="372"/>
      <c r="D77" s="292"/>
      <c r="E77" s="292"/>
      <c r="F77" s="367"/>
      <c r="G77" s="359" t="s">
        <v>170</v>
      </c>
      <c r="H77" s="91" t="s">
        <v>231</v>
      </c>
      <c r="I77" s="229">
        <v>0</v>
      </c>
      <c r="J77" s="229">
        <f>I77/D76</f>
        <v>0</v>
      </c>
      <c r="K77" s="229">
        <f>(22681+9600)/D76</f>
        <v>5.55</v>
      </c>
    </row>
    <row r="78" spans="1:11" s="71" customFormat="1" ht="15.75" customHeight="1" x14ac:dyDescent="0.25">
      <c r="A78" s="360"/>
      <c r="B78" s="360"/>
      <c r="C78" s="372"/>
      <c r="D78" s="292"/>
      <c r="E78" s="292"/>
      <c r="F78" s="367"/>
      <c r="G78" s="360"/>
      <c r="H78" s="91" t="s">
        <v>171</v>
      </c>
      <c r="I78" s="229">
        <v>1831772.83</v>
      </c>
      <c r="J78" s="229">
        <f>I78/D76</f>
        <v>314.85000000000002</v>
      </c>
      <c r="K78" s="229">
        <f>2458756/D76</f>
        <v>422.62</v>
      </c>
    </row>
    <row r="79" spans="1:11" s="71" customFormat="1" x14ac:dyDescent="0.25">
      <c r="A79" s="360"/>
      <c r="B79" s="360"/>
      <c r="C79" s="372"/>
      <c r="D79" s="292"/>
      <c r="E79" s="292"/>
      <c r="F79" s="367"/>
      <c r="G79" s="368"/>
      <c r="H79" s="91" t="s">
        <v>69</v>
      </c>
      <c r="I79" s="229">
        <v>0</v>
      </c>
      <c r="J79" s="229">
        <f>I79/D76</f>
        <v>0</v>
      </c>
      <c r="K79" s="229">
        <f>52617/D76</f>
        <v>9.0399999999999991</v>
      </c>
    </row>
    <row r="80" spans="1:11" s="71" customFormat="1" ht="63" x14ac:dyDescent="0.25">
      <c r="A80" s="360"/>
      <c r="B80" s="360"/>
      <c r="C80" s="372"/>
      <c r="D80" s="292"/>
      <c r="E80" s="292"/>
      <c r="F80" s="367"/>
      <c r="G80" s="359" t="s">
        <v>170</v>
      </c>
      <c r="H80" s="91" t="s">
        <v>231</v>
      </c>
      <c r="I80" s="229">
        <v>0</v>
      </c>
      <c r="J80" s="229">
        <f>I80/D76</f>
        <v>0</v>
      </c>
      <c r="K80" s="229">
        <f>(22681+9600)/D76</f>
        <v>5.55</v>
      </c>
    </row>
    <row r="81" spans="1:11" s="71" customFormat="1" ht="15.75" customHeight="1" x14ac:dyDescent="0.25">
      <c r="A81" s="360"/>
      <c r="B81" s="360"/>
      <c r="C81" s="372"/>
      <c r="D81" s="292"/>
      <c r="E81" s="292"/>
      <c r="F81" s="367"/>
      <c r="G81" s="360"/>
      <c r="H81" s="91" t="s">
        <v>171</v>
      </c>
      <c r="I81" s="229">
        <v>2288344.2999999998</v>
      </c>
      <c r="J81" s="229">
        <f>I81/D76+0.01</f>
        <v>393.34</v>
      </c>
      <c r="K81" s="229">
        <f>3071604/D76+0.01</f>
        <v>527.97</v>
      </c>
    </row>
    <row r="82" spans="1:11" s="71" customFormat="1" x14ac:dyDescent="0.25">
      <c r="A82" s="368"/>
      <c r="B82" s="368"/>
      <c r="C82" s="396"/>
      <c r="D82" s="293"/>
      <c r="E82" s="293"/>
      <c r="F82" s="383"/>
      <c r="G82" s="368"/>
      <c r="H82" s="91" t="s">
        <v>69</v>
      </c>
      <c r="I82" s="229">
        <v>0</v>
      </c>
      <c r="J82" s="229">
        <f>I82/D76</f>
        <v>0</v>
      </c>
      <c r="K82" s="229">
        <f>65732/D76</f>
        <v>11.3</v>
      </c>
    </row>
    <row r="83" spans="1:11" s="71" customFormat="1" x14ac:dyDescent="0.25">
      <c r="A83" s="359">
        <f>A76+1</f>
        <v>6</v>
      </c>
      <c r="B83" s="359">
        <v>6061</v>
      </c>
      <c r="C83" s="371" t="s">
        <v>462</v>
      </c>
      <c r="D83" s="291">
        <v>43711.7</v>
      </c>
      <c r="E83" s="291" t="s">
        <v>68</v>
      </c>
      <c r="F83" s="366">
        <v>9</v>
      </c>
      <c r="G83" s="158"/>
      <c r="H83" s="91" t="s">
        <v>66</v>
      </c>
      <c r="I83" s="229">
        <f>SUM(I84:I91)</f>
        <v>2398299.6</v>
      </c>
      <c r="J83" s="229">
        <f t="shared" ref="J83:K83" si="3">SUM(J84:J91)</f>
        <v>54.87</v>
      </c>
      <c r="K83" s="229">
        <f t="shared" si="3"/>
        <v>56.82</v>
      </c>
    </row>
    <row r="84" spans="1:11" s="71" customFormat="1" ht="63" x14ac:dyDescent="0.25">
      <c r="A84" s="360"/>
      <c r="B84" s="360"/>
      <c r="C84" s="372"/>
      <c r="D84" s="292"/>
      <c r="E84" s="292"/>
      <c r="F84" s="367"/>
      <c r="G84" s="147" t="s">
        <v>457</v>
      </c>
      <c r="H84" s="91" t="s">
        <v>168</v>
      </c>
      <c r="I84" s="229">
        <v>27116.04</v>
      </c>
      <c r="J84" s="229">
        <f>I84/D83</f>
        <v>0.62</v>
      </c>
      <c r="K84" s="229">
        <f>(22681+9600)/D83</f>
        <v>0.74</v>
      </c>
    </row>
    <row r="85" spans="1:11" s="71" customFormat="1" ht="63" x14ac:dyDescent="0.25">
      <c r="A85" s="360"/>
      <c r="B85" s="360"/>
      <c r="C85" s="372"/>
      <c r="D85" s="292"/>
      <c r="E85" s="292"/>
      <c r="F85" s="367"/>
      <c r="G85" s="147" t="s">
        <v>551</v>
      </c>
      <c r="H85" s="91" t="s">
        <v>168</v>
      </c>
      <c r="I85" s="229">
        <v>27116.04</v>
      </c>
      <c r="J85" s="229">
        <f>I85/D83</f>
        <v>0.62</v>
      </c>
      <c r="K85" s="229">
        <f>(22681+9600)/D83</f>
        <v>0.74</v>
      </c>
    </row>
    <row r="86" spans="1:11" s="71" customFormat="1" ht="63" x14ac:dyDescent="0.25">
      <c r="A86" s="360"/>
      <c r="B86" s="360"/>
      <c r="C86" s="372"/>
      <c r="D86" s="292"/>
      <c r="E86" s="292"/>
      <c r="F86" s="367"/>
      <c r="G86" s="147" t="s">
        <v>552</v>
      </c>
      <c r="H86" s="91" t="s">
        <v>168</v>
      </c>
      <c r="I86" s="229">
        <v>27116.04</v>
      </c>
      <c r="J86" s="229">
        <f>I86/D83</f>
        <v>0.62</v>
      </c>
      <c r="K86" s="229">
        <f>(22681+9600)/D83</f>
        <v>0.74</v>
      </c>
    </row>
    <row r="87" spans="1:11" s="71" customFormat="1" ht="63" x14ac:dyDescent="0.25">
      <c r="A87" s="360"/>
      <c r="B87" s="360"/>
      <c r="C87" s="372"/>
      <c r="D87" s="292"/>
      <c r="E87" s="292"/>
      <c r="F87" s="367"/>
      <c r="G87" s="147" t="s">
        <v>553</v>
      </c>
      <c r="H87" s="91" t="s">
        <v>168</v>
      </c>
      <c r="I87" s="229">
        <v>27116.04</v>
      </c>
      <c r="J87" s="229">
        <f>I87/D83</f>
        <v>0.62</v>
      </c>
      <c r="K87" s="229">
        <f>(22681+9600)/D83</f>
        <v>0.74</v>
      </c>
    </row>
    <row r="88" spans="1:11" s="71" customFormat="1" ht="63" x14ac:dyDescent="0.25">
      <c r="A88" s="360"/>
      <c r="B88" s="360"/>
      <c r="C88" s="372"/>
      <c r="D88" s="292"/>
      <c r="E88" s="292"/>
      <c r="F88" s="367"/>
      <c r="G88" s="147" t="s">
        <v>554</v>
      </c>
      <c r="H88" s="91" t="s">
        <v>168</v>
      </c>
      <c r="I88" s="266">
        <f>17516.04+9600</f>
        <v>27116.04</v>
      </c>
      <c r="J88" s="229">
        <f>I88/D83</f>
        <v>0.62</v>
      </c>
      <c r="K88" s="229">
        <f>(22681+9600)/D83</f>
        <v>0.74</v>
      </c>
    </row>
    <row r="89" spans="1:11" s="71" customFormat="1" ht="63" x14ac:dyDescent="0.25">
      <c r="A89" s="360"/>
      <c r="B89" s="360"/>
      <c r="C89" s="372"/>
      <c r="D89" s="292"/>
      <c r="E89" s="292"/>
      <c r="F89" s="367"/>
      <c r="G89" s="359" t="s">
        <v>463</v>
      </c>
      <c r="H89" s="91" t="s">
        <v>168</v>
      </c>
      <c r="I89" s="229">
        <v>32281</v>
      </c>
      <c r="J89" s="229">
        <f>I89/D83</f>
        <v>0.74</v>
      </c>
      <c r="K89" s="229">
        <f>(22681+9600)/D83</f>
        <v>0.74</v>
      </c>
    </row>
    <row r="90" spans="1:11" s="71" customFormat="1" x14ac:dyDescent="0.25">
      <c r="A90" s="360"/>
      <c r="B90" s="360"/>
      <c r="C90" s="372"/>
      <c r="D90" s="292"/>
      <c r="E90" s="292"/>
      <c r="F90" s="367"/>
      <c r="G90" s="360"/>
      <c r="H90" s="91" t="s">
        <v>171</v>
      </c>
      <c r="I90" s="229">
        <v>2230438.4</v>
      </c>
      <c r="J90" s="229">
        <f>I90/D83</f>
        <v>51.03</v>
      </c>
      <c r="K90" s="229">
        <f>2241647/D83</f>
        <v>51.28</v>
      </c>
    </row>
    <row r="91" spans="1:11" s="71" customFormat="1" x14ac:dyDescent="0.25">
      <c r="A91" s="360"/>
      <c r="B91" s="360"/>
      <c r="C91" s="372"/>
      <c r="D91" s="292"/>
      <c r="E91" s="292"/>
      <c r="F91" s="367"/>
      <c r="G91" s="368"/>
      <c r="H91" s="91" t="s">
        <v>69</v>
      </c>
      <c r="I91" s="229">
        <v>0</v>
      </c>
      <c r="J91" s="229">
        <f>I91/D83</f>
        <v>0</v>
      </c>
      <c r="K91" s="229">
        <f>47971/D83</f>
        <v>1.1000000000000001</v>
      </c>
    </row>
    <row r="92" spans="1:11" s="71" customFormat="1" x14ac:dyDescent="0.25">
      <c r="A92" s="359">
        <f>A83+1</f>
        <v>7</v>
      </c>
      <c r="B92" s="359">
        <v>5864</v>
      </c>
      <c r="C92" s="371" t="s">
        <v>384</v>
      </c>
      <c r="D92" s="291">
        <v>2829</v>
      </c>
      <c r="E92" s="366" t="s">
        <v>68</v>
      </c>
      <c r="F92" s="366">
        <v>4</v>
      </c>
      <c r="G92" s="359" t="s">
        <v>65</v>
      </c>
      <c r="H92" s="91" t="s">
        <v>66</v>
      </c>
      <c r="I92" s="229">
        <f>SUM(I93:I93)</f>
        <v>2691115.91</v>
      </c>
      <c r="J92" s="229">
        <f>SUM(J93:J93)</f>
        <v>951.26</v>
      </c>
      <c r="K92" s="229">
        <f>SUM(K93:K93)</f>
        <v>5036</v>
      </c>
    </row>
    <row r="93" spans="1:11" s="71" customFormat="1" x14ac:dyDescent="0.25">
      <c r="A93" s="360"/>
      <c r="B93" s="360"/>
      <c r="C93" s="372"/>
      <c r="D93" s="292"/>
      <c r="E93" s="367"/>
      <c r="F93" s="367"/>
      <c r="G93" s="360"/>
      <c r="H93" s="91" t="s">
        <v>169</v>
      </c>
      <c r="I93" s="229">
        <v>2691115.91</v>
      </c>
      <c r="J93" s="229">
        <f>I93/D92</f>
        <v>951.26</v>
      </c>
      <c r="K93" s="229">
        <v>5036</v>
      </c>
    </row>
    <row r="94" spans="1:11" s="71" customFormat="1" x14ac:dyDescent="0.25">
      <c r="A94" s="359">
        <f>A92+1</f>
        <v>8</v>
      </c>
      <c r="B94" s="359">
        <v>5920</v>
      </c>
      <c r="C94" s="371" t="s">
        <v>439</v>
      </c>
      <c r="D94" s="291">
        <v>11783.6</v>
      </c>
      <c r="E94" s="359" t="s">
        <v>64</v>
      </c>
      <c r="F94" s="359">
        <v>10</v>
      </c>
      <c r="G94" s="158"/>
      <c r="H94" s="91" t="s">
        <v>66</v>
      </c>
      <c r="I94" s="229">
        <f>SUM(I95:I112)</f>
        <v>12438504.539999999</v>
      </c>
      <c r="J94" s="229">
        <f t="shared" ref="J94:K94" si="4">SUM(J95:J112)</f>
        <v>1055.58</v>
      </c>
      <c r="K94" s="229">
        <f t="shared" si="4"/>
        <v>1182.27</v>
      </c>
    </row>
    <row r="95" spans="1:11" s="71" customFormat="1" ht="63" x14ac:dyDescent="0.25">
      <c r="A95" s="360"/>
      <c r="B95" s="360"/>
      <c r="C95" s="372"/>
      <c r="D95" s="292"/>
      <c r="E95" s="360"/>
      <c r="F95" s="360"/>
      <c r="G95" s="359" t="s">
        <v>170</v>
      </c>
      <c r="H95" s="91" t="s">
        <v>168</v>
      </c>
      <c r="I95" s="229">
        <v>0</v>
      </c>
      <c r="J95" s="229">
        <f>I95/D94</f>
        <v>0</v>
      </c>
      <c r="K95" s="229">
        <f>(22681+9600)/D94</f>
        <v>2.74</v>
      </c>
    </row>
    <row r="96" spans="1:11" s="71" customFormat="1" ht="15.75" customHeight="1" x14ac:dyDescent="0.25">
      <c r="A96" s="360"/>
      <c r="B96" s="360"/>
      <c r="C96" s="372"/>
      <c r="D96" s="292"/>
      <c r="E96" s="360"/>
      <c r="F96" s="360"/>
      <c r="G96" s="360"/>
      <c r="H96" s="91" t="s">
        <v>171</v>
      </c>
      <c r="I96" s="229">
        <v>2077915.81</v>
      </c>
      <c r="J96" s="229">
        <f>I96/D94</f>
        <v>176.34</v>
      </c>
      <c r="K96" s="229">
        <f>2241647/D94+0.01</f>
        <v>190.24</v>
      </c>
    </row>
    <row r="97" spans="1:11" s="71" customFormat="1" x14ac:dyDescent="0.25">
      <c r="A97" s="360"/>
      <c r="B97" s="360"/>
      <c r="C97" s="372"/>
      <c r="D97" s="292"/>
      <c r="E97" s="360"/>
      <c r="F97" s="360"/>
      <c r="G97" s="368"/>
      <c r="H97" s="91" t="s">
        <v>69</v>
      </c>
      <c r="I97" s="229">
        <v>0</v>
      </c>
      <c r="J97" s="229">
        <f>I97/D94</f>
        <v>0</v>
      </c>
      <c r="K97" s="229">
        <f>47971/D94</f>
        <v>4.07</v>
      </c>
    </row>
    <row r="98" spans="1:11" s="71" customFormat="1" ht="63" x14ac:dyDescent="0.25">
      <c r="A98" s="360"/>
      <c r="B98" s="360"/>
      <c r="C98" s="372"/>
      <c r="D98" s="292"/>
      <c r="E98" s="360"/>
      <c r="F98" s="360"/>
      <c r="G98" s="359" t="s">
        <v>173</v>
      </c>
      <c r="H98" s="91" t="s">
        <v>168</v>
      </c>
      <c r="I98" s="229">
        <v>0</v>
      </c>
      <c r="J98" s="229">
        <f>I98/D94</f>
        <v>0</v>
      </c>
      <c r="K98" s="229">
        <f>(22681+9600)/D94</f>
        <v>2.74</v>
      </c>
    </row>
    <row r="99" spans="1:11" s="71" customFormat="1" ht="15.75" customHeight="1" x14ac:dyDescent="0.25">
      <c r="A99" s="360"/>
      <c r="B99" s="360"/>
      <c r="C99" s="372"/>
      <c r="D99" s="292"/>
      <c r="E99" s="360"/>
      <c r="F99" s="360"/>
      <c r="G99" s="360"/>
      <c r="H99" s="91" t="s">
        <v>171</v>
      </c>
      <c r="I99" s="229">
        <v>2063420.65</v>
      </c>
      <c r="J99" s="229">
        <f>I99/D94</f>
        <v>175.11</v>
      </c>
      <c r="K99" s="229">
        <f>2241647/D94+0.01</f>
        <v>190.24</v>
      </c>
    </row>
    <row r="100" spans="1:11" s="71" customFormat="1" x14ac:dyDescent="0.25">
      <c r="A100" s="360"/>
      <c r="B100" s="360"/>
      <c r="C100" s="372"/>
      <c r="D100" s="292"/>
      <c r="E100" s="360"/>
      <c r="F100" s="360"/>
      <c r="G100" s="368"/>
      <c r="H100" s="91" t="s">
        <v>69</v>
      </c>
      <c r="I100" s="229">
        <v>0</v>
      </c>
      <c r="J100" s="229">
        <f>I100/D94</f>
        <v>0</v>
      </c>
      <c r="K100" s="229">
        <f>47971/D94</f>
        <v>4.07</v>
      </c>
    </row>
    <row r="101" spans="1:11" s="71" customFormat="1" ht="63" x14ac:dyDescent="0.25">
      <c r="A101" s="360"/>
      <c r="B101" s="360"/>
      <c r="C101" s="372"/>
      <c r="D101" s="292"/>
      <c r="E101" s="360"/>
      <c r="F101" s="360"/>
      <c r="G101" s="359" t="s">
        <v>174</v>
      </c>
      <c r="H101" s="91" t="s">
        <v>168</v>
      </c>
      <c r="I101" s="229">
        <v>0</v>
      </c>
      <c r="J101" s="229">
        <f>I101/D94</f>
        <v>0</v>
      </c>
      <c r="K101" s="229">
        <f>(22681+9600)/D94</f>
        <v>2.74</v>
      </c>
    </row>
    <row r="102" spans="1:11" s="71" customFormat="1" ht="15.75" customHeight="1" x14ac:dyDescent="0.25">
      <c r="A102" s="360"/>
      <c r="B102" s="360"/>
      <c r="C102" s="372"/>
      <c r="D102" s="292"/>
      <c r="E102" s="360"/>
      <c r="F102" s="360"/>
      <c r="G102" s="360"/>
      <c r="H102" s="91" t="s">
        <v>171</v>
      </c>
      <c r="I102" s="229">
        <v>2077915.81</v>
      </c>
      <c r="J102" s="229">
        <f>I102/D94</f>
        <v>176.34</v>
      </c>
      <c r="K102" s="229">
        <f>2241647/D94+0.01</f>
        <v>190.24</v>
      </c>
    </row>
    <row r="103" spans="1:11" s="71" customFormat="1" x14ac:dyDescent="0.25">
      <c r="A103" s="360"/>
      <c r="B103" s="360"/>
      <c r="C103" s="372"/>
      <c r="D103" s="292"/>
      <c r="E103" s="360"/>
      <c r="F103" s="360"/>
      <c r="G103" s="368"/>
      <c r="H103" s="91" t="s">
        <v>69</v>
      </c>
      <c r="I103" s="229">
        <v>0</v>
      </c>
      <c r="J103" s="229">
        <f>I103/D94</f>
        <v>0</v>
      </c>
      <c r="K103" s="229">
        <f>47971/D94</f>
        <v>4.07</v>
      </c>
    </row>
    <row r="104" spans="1:11" s="71" customFormat="1" ht="63" x14ac:dyDescent="0.25">
      <c r="A104" s="360"/>
      <c r="B104" s="360"/>
      <c r="C104" s="372"/>
      <c r="D104" s="292"/>
      <c r="E104" s="360"/>
      <c r="F104" s="360"/>
      <c r="G104" s="359" t="s">
        <v>175</v>
      </c>
      <c r="H104" s="91" t="s">
        <v>168</v>
      </c>
      <c r="I104" s="229">
        <v>0</v>
      </c>
      <c r="J104" s="229">
        <f>I104/D94</f>
        <v>0</v>
      </c>
      <c r="K104" s="229">
        <f>(22681+9600)/D94</f>
        <v>2.74</v>
      </c>
    </row>
    <row r="105" spans="1:11" s="71" customFormat="1" ht="15.75" customHeight="1" x14ac:dyDescent="0.25">
      <c r="A105" s="360"/>
      <c r="B105" s="360"/>
      <c r="C105" s="372"/>
      <c r="D105" s="292"/>
      <c r="E105" s="360"/>
      <c r="F105" s="360"/>
      <c r="G105" s="360"/>
      <c r="H105" s="91" t="s">
        <v>171</v>
      </c>
      <c r="I105" s="229">
        <v>2077915.81</v>
      </c>
      <c r="J105" s="229">
        <f>I105/D94</f>
        <v>176.34</v>
      </c>
      <c r="K105" s="229">
        <f>2241647/D94</f>
        <v>190.23</v>
      </c>
    </row>
    <row r="106" spans="1:11" s="71" customFormat="1" x14ac:dyDescent="0.25">
      <c r="A106" s="360"/>
      <c r="B106" s="360"/>
      <c r="C106" s="372"/>
      <c r="D106" s="292"/>
      <c r="E106" s="360"/>
      <c r="F106" s="360"/>
      <c r="G106" s="368"/>
      <c r="H106" s="91" t="s">
        <v>69</v>
      </c>
      <c r="I106" s="229">
        <v>0</v>
      </c>
      <c r="J106" s="229">
        <f>I106/D94</f>
        <v>0</v>
      </c>
      <c r="K106" s="229">
        <f>47971/D94</f>
        <v>4.07</v>
      </c>
    </row>
    <row r="107" spans="1:11" s="71" customFormat="1" ht="63" x14ac:dyDescent="0.25">
      <c r="A107" s="360"/>
      <c r="B107" s="360"/>
      <c r="C107" s="372"/>
      <c r="D107" s="292"/>
      <c r="E107" s="360"/>
      <c r="F107" s="360"/>
      <c r="G107" s="359" t="s">
        <v>172</v>
      </c>
      <c r="H107" s="91" t="s">
        <v>168</v>
      </c>
      <c r="I107" s="229">
        <v>0</v>
      </c>
      <c r="J107" s="229">
        <f>I107/D94</f>
        <v>0</v>
      </c>
      <c r="K107" s="229">
        <f>(22681+9600)/D94</f>
        <v>2.74</v>
      </c>
    </row>
    <row r="108" spans="1:11" s="71" customFormat="1" ht="15.75" customHeight="1" x14ac:dyDescent="0.25">
      <c r="A108" s="360"/>
      <c r="B108" s="360"/>
      <c r="C108" s="372"/>
      <c r="D108" s="292"/>
      <c r="E108" s="360"/>
      <c r="F108" s="360"/>
      <c r="G108" s="360"/>
      <c r="H108" s="91" t="s">
        <v>171</v>
      </c>
      <c r="I108" s="229">
        <v>2063420.65</v>
      </c>
      <c r="J108" s="229">
        <f>I108/D94</f>
        <v>175.11</v>
      </c>
      <c r="K108" s="229">
        <f>2241647/D94</f>
        <v>190.23</v>
      </c>
    </row>
    <row r="109" spans="1:11" s="71" customFormat="1" x14ac:dyDescent="0.25">
      <c r="A109" s="360"/>
      <c r="B109" s="360"/>
      <c r="C109" s="372"/>
      <c r="D109" s="292"/>
      <c r="E109" s="360"/>
      <c r="F109" s="360"/>
      <c r="G109" s="368"/>
      <c r="H109" s="91" t="s">
        <v>69</v>
      </c>
      <c r="I109" s="229">
        <v>0</v>
      </c>
      <c r="J109" s="229">
        <f>I109/D94</f>
        <v>0</v>
      </c>
      <c r="K109" s="229">
        <f>47971/D94</f>
        <v>4.07</v>
      </c>
    </row>
    <row r="110" spans="1:11" s="71" customFormat="1" ht="63" x14ac:dyDescent="0.25">
      <c r="A110" s="360"/>
      <c r="B110" s="360"/>
      <c r="C110" s="372"/>
      <c r="D110" s="292"/>
      <c r="E110" s="360"/>
      <c r="F110" s="360"/>
      <c r="G110" s="359" t="s">
        <v>440</v>
      </c>
      <c r="H110" s="91" t="s">
        <v>168</v>
      </c>
      <c r="I110" s="229">
        <v>0</v>
      </c>
      <c r="J110" s="229">
        <f>I110/D94</f>
        <v>0</v>
      </c>
      <c r="K110" s="229">
        <f>(22681+9600)/D94</f>
        <v>2.74</v>
      </c>
    </row>
    <row r="111" spans="1:11" s="71" customFormat="1" ht="15.75" customHeight="1" x14ac:dyDescent="0.25">
      <c r="A111" s="360"/>
      <c r="B111" s="360"/>
      <c r="C111" s="372"/>
      <c r="D111" s="292"/>
      <c r="E111" s="360"/>
      <c r="F111" s="360"/>
      <c r="G111" s="360"/>
      <c r="H111" s="91" t="s">
        <v>171</v>
      </c>
      <c r="I111" s="229">
        <v>2077915.81</v>
      </c>
      <c r="J111" s="229">
        <f>I111/D94</f>
        <v>176.34</v>
      </c>
      <c r="K111" s="229">
        <f>2241647/D94</f>
        <v>190.23</v>
      </c>
    </row>
    <row r="112" spans="1:11" s="71" customFormat="1" x14ac:dyDescent="0.25">
      <c r="A112" s="368"/>
      <c r="B112" s="368"/>
      <c r="C112" s="396"/>
      <c r="D112" s="293"/>
      <c r="E112" s="368"/>
      <c r="F112" s="368"/>
      <c r="G112" s="368"/>
      <c r="H112" s="91" t="s">
        <v>69</v>
      </c>
      <c r="I112" s="229">
        <v>0</v>
      </c>
      <c r="J112" s="229">
        <f>I112/D94</f>
        <v>0</v>
      </c>
      <c r="K112" s="229">
        <f>47971/D94</f>
        <v>4.07</v>
      </c>
    </row>
    <row r="113" spans="1:11" s="71" customFormat="1" x14ac:dyDescent="0.25">
      <c r="A113" s="359">
        <f>A94+1</f>
        <v>9</v>
      </c>
      <c r="B113" s="359">
        <v>5926</v>
      </c>
      <c r="C113" s="371" t="s">
        <v>465</v>
      </c>
      <c r="D113" s="291">
        <v>8565.2999999999993</v>
      </c>
      <c r="E113" s="359" t="s">
        <v>64</v>
      </c>
      <c r="F113" s="359">
        <v>10</v>
      </c>
      <c r="G113" s="158"/>
      <c r="H113" s="91" t="s">
        <v>66</v>
      </c>
      <c r="I113" s="229">
        <f>SUM(I114:I125)</f>
        <v>9034319.0600000005</v>
      </c>
      <c r="J113" s="229">
        <f>SUM(J114:J125)</f>
        <v>1054.76</v>
      </c>
      <c r="K113" s="229">
        <f>SUM(K114:K125)</f>
        <v>1084.33</v>
      </c>
    </row>
    <row r="114" spans="1:11" s="71" customFormat="1" ht="63" x14ac:dyDescent="0.25">
      <c r="A114" s="360"/>
      <c r="B114" s="360"/>
      <c r="C114" s="372"/>
      <c r="D114" s="292"/>
      <c r="E114" s="360"/>
      <c r="F114" s="360"/>
      <c r="G114" s="359" t="s">
        <v>170</v>
      </c>
      <c r="H114" s="91" t="s">
        <v>168</v>
      </c>
      <c r="I114" s="229">
        <v>28141</v>
      </c>
      <c r="J114" s="229">
        <f>I114/D113</f>
        <v>3.29</v>
      </c>
      <c r="K114" s="229">
        <f>(22681+9600)/D113</f>
        <v>3.77</v>
      </c>
    </row>
    <row r="115" spans="1:11" s="71" customFormat="1" x14ac:dyDescent="0.25">
      <c r="A115" s="360"/>
      <c r="B115" s="360"/>
      <c r="C115" s="372"/>
      <c r="D115" s="292"/>
      <c r="E115" s="360"/>
      <c r="F115" s="360"/>
      <c r="G115" s="360"/>
      <c r="H115" s="91" t="s">
        <v>171</v>
      </c>
      <c r="I115" s="229">
        <v>2230438.7599999998</v>
      </c>
      <c r="J115" s="229">
        <f>I115/D113</f>
        <v>260.39999999999998</v>
      </c>
      <c r="K115" s="229">
        <f>2241647/D113</f>
        <v>261.70999999999998</v>
      </c>
    </row>
    <row r="116" spans="1:11" s="71" customFormat="1" x14ac:dyDescent="0.25">
      <c r="A116" s="360"/>
      <c r="B116" s="360"/>
      <c r="C116" s="372"/>
      <c r="D116" s="292"/>
      <c r="E116" s="360"/>
      <c r="F116" s="360"/>
      <c r="G116" s="368"/>
      <c r="H116" s="91" t="s">
        <v>69</v>
      </c>
      <c r="I116" s="229">
        <v>0</v>
      </c>
      <c r="J116" s="229">
        <f>I116/D113</f>
        <v>0</v>
      </c>
      <c r="K116" s="229">
        <f>47971/D113</f>
        <v>5.6</v>
      </c>
    </row>
    <row r="117" spans="1:11" s="71" customFormat="1" ht="63" x14ac:dyDescent="0.25">
      <c r="A117" s="360"/>
      <c r="B117" s="360"/>
      <c r="C117" s="372"/>
      <c r="D117" s="292"/>
      <c r="E117" s="360"/>
      <c r="F117" s="360"/>
      <c r="G117" s="359" t="s">
        <v>173</v>
      </c>
      <c r="H117" s="91" t="s">
        <v>168</v>
      </c>
      <c r="I117" s="229">
        <v>28141</v>
      </c>
      <c r="J117" s="229">
        <f>I117/D113</f>
        <v>3.29</v>
      </c>
      <c r="K117" s="229">
        <f>(22681+9600)/D113</f>
        <v>3.77</v>
      </c>
    </row>
    <row r="118" spans="1:11" s="71" customFormat="1" x14ac:dyDescent="0.25">
      <c r="A118" s="360"/>
      <c r="B118" s="360"/>
      <c r="C118" s="372"/>
      <c r="D118" s="292"/>
      <c r="E118" s="360"/>
      <c r="F118" s="360"/>
      <c r="G118" s="360"/>
      <c r="H118" s="91" t="s">
        <v>171</v>
      </c>
      <c r="I118" s="229">
        <v>2230438.77</v>
      </c>
      <c r="J118" s="229">
        <f>I118/D113</f>
        <v>260.39999999999998</v>
      </c>
      <c r="K118" s="229">
        <f>2241647/D113</f>
        <v>261.70999999999998</v>
      </c>
    </row>
    <row r="119" spans="1:11" s="71" customFormat="1" x14ac:dyDescent="0.25">
      <c r="A119" s="360"/>
      <c r="B119" s="360"/>
      <c r="C119" s="372"/>
      <c r="D119" s="292"/>
      <c r="E119" s="360"/>
      <c r="F119" s="360"/>
      <c r="G119" s="368"/>
      <c r="H119" s="91" t="s">
        <v>69</v>
      </c>
      <c r="I119" s="229">
        <v>0</v>
      </c>
      <c r="J119" s="229">
        <f>I119/D113</f>
        <v>0</v>
      </c>
      <c r="K119" s="229">
        <f>47971/D113</f>
        <v>5.6</v>
      </c>
    </row>
    <row r="120" spans="1:11" s="71" customFormat="1" ht="63" x14ac:dyDescent="0.25">
      <c r="A120" s="360"/>
      <c r="B120" s="360"/>
      <c r="C120" s="372"/>
      <c r="D120" s="292"/>
      <c r="E120" s="360"/>
      <c r="F120" s="360"/>
      <c r="G120" s="359" t="s">
        <v>174</v>
      </c>
      <c r="H120" s="91" t="s">
        <v>168</v>
      </c>
      <c r="I120" s="229">
        <v>28141</v>
      </c>
      <c r="J120" s="229">
        <f>I120/D113</f>
        <v>3.29</v>
      </c>
      <c r="K120" s="229">
        <f>(22681+9600)/D113</f>
        <v>3.77</v>
      </c>
    </row>
    <row r="121" spans="1:11" s="71" customFormat="1" x14ac:dyDescent="0.25">
      <c r="A121" s="360"/>
      <c r="B121" s="360"/>
      <c r="C121" s="372"/>
      <c r="D121" s="292"/>
      <c r="E121" s="360"/>
      <c r="F121" s="360"/>
      <c r="G121" s="360"/>
      <c r="H121" s="91" t="s">
        <v>171</v>
      </c>
      <c r="I121" s="229">
        <v>2230438.7599999998</v>
      </c>
      <c r="J121" s="229">
        <f>I121/D113</f>
        <v>260.39999999999998</v>
      </c>
      <c r="K121" s="229">
        <f>2241647/D113+0.01</f>
        <v>261.72000000000003</v>
      </c>
    </row>
    <row r="122" spans="1:11" s="71" customFormat="1" x14ac:dyDescent="0.25">
      <c r="A122" s="360"/>
      <c r="B122" s="360"/>
      <c r="C122" s="372"/>
      <c r="D122" s="292"/>
      <c r="E122" s="360"/>
      <c r="F122" s="360"/>
      <c r="G122" s="368"/>
      <c r="H122" s="91" t="s">
        <v>69</v>
      </c>
      <c r="I122" s="229">
        <v>0</v>
      </c>
      <c r="J122" s="229">
        <f>I122/D113</f>
        <v>0</v>
      </c>
      <c r="K122" s="229">
        <f>47971/D113</f>
        <v>5.6</v>
      </c>
    </row>
    <row r="123" spans="1:11" s="71" customFormat="1" ht="63" x14ac:dyDescent="0.25">
      <c r="A123" s="360"/>
      <c r="B123" s="360"/>
      <c r="C123" s="372"/>
      <c r="D123" s="292"/>
      <c r="E123" s="360"/>
      <c r="F123" s="360"/>
      <c r="G123" s="359" t="s">
        <v>175</v>
      </c>
      <c r="H123" s="91" t="s">
        <v>168</v>
      </c>
      <c r="I123" s="229">
        <v>28141</v>
      </c>
      <c r="J123" s="229">
        <f>I123/D113</f>
        <v>3.29</v>
      </c>
      <c r="K123" s="229">
        <f>(22681+9600)/D113</f>
        <v>3.77</v>
      </c>
    </row>
    <row r="124" spans="1:11" s="71" customFormat="1" x14ac:dyDescent="0.25">
      <c r="A124" s="360"/>
      <c r="B124" s="360"/>
      <c r="C124" s="372"/>
      <c r="D124" s="292"/>
      <c r="E124" s="360"/>
      <c r="F124" s="360"/>
      <c r="G124" s="360"/>
      <c r="H124" s="91" t="s">
        <v>171</v>
      </c>
      <c r="I124" s="229">
        <v>2230438.77</v>
      </c>
      <c r="J124" s="229">
        <f>I124/D113</f>
        <v>260.39999999999998</v>
      </c>
      <c r="K124" s="229">
        <f>2241647/D113</f>
        <v>261.70999999999998</v>
      </c>
    </row>
    <row r="125" spans="1:11" s="71" customFormat="1" x14ac:dyDescent="0.25">
      <c r="A125" s="360"/>
      <c r="B125" s="360"/>
      <c r="C125" s="372"/>
      <c r="D125" s="292"/>
      <c r="E125" s="360"/>
      <c r="F125" s="360"/>
      <c r="G125" s="368"/>
      <c r="H125" s="91" t="s">
        <v>69</v>
      </c>
      <c r="I125" s="229">
        <v>0</v>
      </c>
      <c r="J125" s="229">
        <f>I125/D113</f>
        <v>0</v>
      </c>
      <c r="K125" s="229">
        <f>47971/D113</f>
        <v>5.6</v>
      </c>
    </row>
    <row r="126" spans="1:11" s="71" customFormat="1" x14ac:dyDescent="0.25">
      <c r="A126" s="359">
        <f>A113+1</f>
        <v>10</v>
      </c>
      <c r="B126" s="359">
        <v>5937</v>
      </c>
      <c r="C126" s="371" t="s">
        <v>441</v>
      </c>
      <c r="D126" s="291">
        <v>10637.8</v>
      </c>
      <c r="E126" s="359" t="s">
        <v>64</v>
      </c>
      <c r="F126" s="359">
        <v>9</v>
      </c>
      <c r="G126" s="158"/>
      <c r="H126" s="91" t="s">
        <v>66</v>
      </c>
      <c r="I126" s="229">
        <f>SUM(I127:I144)</f>
        <v>13540878.59</v>
      </c>
      <c r="J126" s="229">
        <f t="shared" ref="J126:K126" si="5">SUM(J127:J144)</f>
        <v>1272.9000000000001</v>
      </c>
      <c r="K126" s="229">
        <f t="shared" si="5"/>
        <v>1309.6199999999999</v>
      </c>
    </row>
    <row r="127" spans="1:11" s="71" customFormat="1" ht="63" x14ac:dyDescent="0.25">
      <c r="A127" s="360"/>
      <c r="B127" s="360"/>
      <c r="C127" s="372"/>
      <c r="D127" s="292"/>
      <c r="E127" s="360"/>
      <c r="F127" s="360"/>
      <c r="G127" s="359" t="s">
        <v>170</v>
      </c>
      <c r="H127" s="91" t="s">
        <v>168</v>
      </c>
      <c r="I127" s="229">
        <v>26374.34</v>
      </c>
      <c r="J127" s="229">
        <f>I127/D126</f>
        <v>2.48</v>
      </c>
      <c r="K127" s="229">
        <f>(22681+9600)/D126</f>
        <v>3.03</v>
      </c>
    </row>
    <row r="128" spans="1:11" s="71" customFormat="1" ht="15.75" customHeight="1" x14ac:dyDescent="0.25">
      <c r="A128" s="360"/>
      <c r="B128" s="360"/>
      <c r="C128" s="372"/>
      <c r="D128" s="292"/>
      <c r="E128" s="360"/>
      <c r="F128" s="360"/>
      <c r="G128" s="360"/>
      <c r="H128" s="91" t="s">
        <v>171</v>
      </c>
      <c r="I128" s="229">
        <v>2230438.7599999998</v>
      </c>
      <c r="J128" s="229">
        <f>I128/D126</f>
        <v>209.67</v>
      </c>
      <c r="K128" s="229">
        <f>2241647/D126+0.01</f>
        <v>210.73</v>
      </c>
    </row>
    <row r="129" spans="1:11" s="71" customFormat="1" x14ac:dyDescent="0.25">
      <c r="A129" s="360"/>
      <c r="B129" s="360"/>
      <c r="C129" s="372"/>
      <c r="D129" s="292"/>
      <c r="E129" s="360"/>
      <c r="F129" s="360"/>
      <c r="G129" s="368"/>
      <c r="H129" s="91" t="s">
        <v>69</v>
      </c>
      <c r="I129" s="229">
        <v>0</v>
      </c>
      <c r="J129" s="229">
        <f>I129/D126</f>
        <v>0</v>
      </c>
      <c r="K129" s="229">
        <f>47971/D126</f>
        <v>4.51</v>
      </c>
    </row>
    <row r="130" spans="1:11" s="71" customFormat="1" ht="63" x14ac:dyDescent="0.25">
      <c r="A130" s="360"/>
      <c r="B130" s="360"/>
      <c r="C130" s="372"/>
      <c r="D130" s="292"/>
      <c r="E130" s="360"/>
      <c r="F130" s="360"/>
      <c r="G130" s="359" t="s">
        <v>173</v>
      </c>
      <c r="H130" s="91" t="s">
        <v>168</v>
      </c>
      <c r="I130" s="229">
        <v>26374.33</v>
      </c>
      <c r="J130" s="229">
        <f>I130/D126</f>
        <v>2.48</v>
      </c>
      <c r="K130" s="229">
        <f>(22681+9600)/D126</f>
        <v>3.03</v>
      </c>
    </row>
    <row r="131" spans="1:11" s="71" customFormat="1" ht="15.75" customHeight="1" x14ac:dyDescent="0.25">
      <c r="A131" s="360"/>
      <c r="B131" s="360"/>
      <c r="C131" s="372"/>
      <c r="D131" s="292"/>
      <c r="E131" s="360"/>
      <c r="F131" s="360"/>
      <c r="G131" s="360"/>
      <c r="H131" s="91" t="s">
        <v>171</v>
      </c>
      <c r="I131" s="229">
        <v>2230438.77</v>
      </c>
      <c r="J131" s="229">
        <f>I131/D126</f>
        <v>209.67</v>
      </c>
      <c r="K131" s="229">
        <f>2241647/D126+0.01</f>
        <v>210.73</v>
      </c>
    </row>
    <row r="132" spans="1:11" s="71" customFormat="1" x14ac:dyDescent="0.25">
      <c r="A132" s="360"/>
      <c r="B132" s="360"/>
      <c r="C132" s="372"/>
      <c r="D132" s="292"/>
      <c r="E132" s="360"/>
      <c r="F132" s="360"/>
      <c r="G132" s="368"/>
      <c r="H132" s="91" t="s">
        <v>69</v>
      </c>
      <c r="I132" s="229">
        <v>0</v>
      </c>
      <c r="J132" s="229">
        <f>I132/D126</f>
        <v>0</v>
      </c>
      <c r="K132" s="229">
        <f>47971/D126</f>
        <v>4.51</v>
      </c>
    </row>
    <row r="133" spans="1:11" s="71" customFormat="1" ht="63" x14ac:dyDescent="0.25">
      <c r="A133" s="360"/>
      <c r="B133" s="360"/>
      <c r="C133" s="372"/>
      <c r="D133" s="292"/>
      <c r="E133" s="360"/>
      <c r="F133" s="360"/>
      <c r="G133" s="359" t="s">
        <v>174</v>
      </c>
      <c r="H133" s="91" t="s">
        <v>168</v>
      </c>
      <c r="I133" s="229">
        <v>26374.33</v>
      </c>
      <c r="J133" s="229">
        <f>I133/D126</f>
        <v>2.48</v>
      </c>
      <c r="K133" s="229">
        <f>(22681+9600)/D126</f>
        <v>3.03</v>
      </c>
    </row>
    <row r="134" spans="1:11" s="71" customFormat="1" ht="15.75" customHeight="1" x14ac:dyDescent="0.25">
      <c r="A134" s="360"/>
      <c r="B134" s="360"/>
      <c r="C134" s="372"/>
      <c r="D134" s="292"/>
      <c r="E134" s="360"/>
      <c r="F134" s="360"/>
      <c r="G134" s="360"/>
      <c r="H134" s="91" t="s">
        <v>171</v>
      </c>
      <c r="I134" s="229">
        <v>2230438.7599999998</v>
      </c>
      <c r="J134" s="229">
        <f>I134/D126</f>
        <v>209.67</v>
      </c>
      <c r="K134" s="229">
        <f>2241647/D126+0.01</f>
        <v>210.73</v>
      </c>
    </row>
    <row r="135" spans="1:11" s="71" customFormat="1" x14ac:dyDescent="0.25">
      <c r="A135" s="360"/>
      <c r="B135" s="360"/>
      <c r="C135" s="372"/>
      <c r="D135" s="292"/>
      <c r="E135" s="360"/>
      <c r="F135" s="360"/>
      <c r="G135" s="368"/>
      <c r="H135" s="91" t="s">
        <v>69</v>
      </c>
      <c r="I135" s="229">
        <v>0</v>
      </c>
      <c r="J135" s="229">
        <f>I135/D126</f>
        <v>0</v>
      </c>
      <c r="K135" s="229">
        <f>47971/D126</f>
        <v>4.51</v>
      </c>
    </row>
    <row r="136" spans="1:11" s="71" customFormat="1" ht="63" x14ac:dyDescent="0.25">
      <c r="A136" s="360"/>
      <c r="B136" s="360"/>
      <c r="C136" s="372"/>
      <c r="D136" s="292"/>
      <c r="E136" s="360"/>
      <c r="F136" s="360"/>
      <c r="G136" s="359" t="s">
        <v>175</v>
      </c>
      <c r="H136" s="91" t="s">
        <v>168</v>
      </c>
      <c r="I136" s="229">
        <v>26374.34</v>
      </c>
      <c r="J136" s="229">
        <f>I136/D126</f>
        <v>2.48</v>
      </c>
      <c r="K136" s="229">
        <f>(22681+9600)/D126</f>
        <v>3.03</v>
      </c>
    </row>
    <row r="137" spans="1:11" s="71" customFormat="1" ht="15.75" customHeight="1" x14ac:dyDescent="0.25">
      <c r="A137" s="360"/>
      <c r="B137" s="360"/>
      <c r="C137" s="372"/>
      <c r="D137" s="292"/>
      <c r="E137" s="360"/>
      <c r="F137" s="360"/>
      <c r="G137" s="360"/>
      <c r="H137" s="91" t="s">
        <v>171</v>
      </c>
      <c r="I137" s="229">
        <v>2230438.7599999998</v>
      </c>
      <c r="J137" s="229">
        <f>I137/D126</f>
        <v>209.67</v>
      </c>
      <c r="K137" s="229">
        <f>2241647/D126+0.01</f>
        <v>210.73</v>
      </c>
    </row>
    <row r="138" spans="1:11" s="71" customFormat="1" x14ac:dyDescent="0.25">
      <c r="A138" s="360"/>
      <c r="B138" s="360"/>
      <c r="C138" s="372"/>
      <c r="D138" s="292"/>
      <c r="E138" s="360"/>
      <c r="F138" s="360"/>
      <c r="G138" s="368"/>
      <c r="H138" s="91" t="s">
        <v>69</v>
      </c>
      <c r="I138" s="229">
        <v>0</v>
      </c>
      <c r="J138" s="229">
        <f>I138/D126</f>
        <v>0</v>
      </c>
      <c r="K138" s="229">
        <f>47971/D126</f>
        <v>4.51</v>
      </c>
    </row>
    <row r="139" spans="1:11" s="71" customFormat="1" ht="63" x14ac:dyDescent="0.25">
      <c r="A139" s="360"/>
      <c r="B139" s="360"/>
      <c r="C139" s="372"/>
      <c r="D139" s="292"/>
      <c r="E139" s="360"/>
      <c r="F139" s="360"/>
      <c r="G139" s="359" t="s">
        <v>172</v>
      </c>
      <c r="H139" s="91" t="s">
        <v>168</v>
      </c>
      <c r="I139" s="229">
        <v>26374.33</v>
      </c>
      <c r="J139" s="229">
        <f>I139/D126</f>
        <v>2.48</v>
      </c>
      <c r="K139" s="229">
        <f>(22681+9600)/D126</f>
        <v>3.03</v>
      </c>
    </row>
    <row r="140" spans="1:11" s="71" customFormat="1" ht="15.75" customHeight="1" x14ac:dyDescent="0.25">
      <c r="A140" s="360"/>
      <c r="B140" s="360"/>
      <c r="C140" s="372"/>
      <c r="D140" s="292"/>
      <c r="E140" s="360"/>
      <c r="F140" s="360"/>
      <c r="G140" s="360"/>
      <c r="H140" s="91" t="s">
        <v>171</v>
      </c>
      <c r="I140" s="229">
        <v>2230438.77</v>
      </c>
      <c r="J140" s="229">
        <f>I140/D126</f>
        <v>209.67</v>
      </c>
      <c r="K140" s="229">
        <f>2241647/D126+0.01</f>
        <v>210.73</v>
      </c>
    </row>
    <row r="141" spans="1:11" s="71" customFormat="1" x14ac:dyDescent="0.25">
      <c r="A141" s="360"/>
      <c r="B141" s="360"/>
      <c r="C141" s="372"/>
      <c r="D141" s="292"/>
      <c r="E141" s="360"/>
      <c r="F141" s="360"/>
      <c r="G141" s="368"/>
      <c r="H141" s="91" t="s">
        <v>69</v>
      </c>
      <c r="I141" s="229">
        <v>0</v>
      </c>
      <c r="J141" s="229">
        <f>I141/D126</f>
        <v>0</v>
      </c>
      <c r="K141" s="229">
        <f>47971/D126</f>
        <v>4.51</v>
      </c>
    </row>
    <row r="142" spans="1:11" s="71" customFormat="1" ht="63" x14ac:dyDescent="0.25">
      <c r="A142" s="360"/>
      <c r="B142" s="360"/>
      <c r="C142" s="372"/>
      <c r="D142" s="292"/>
      <c r="E142" s="360"/>
      <c r="F142" s="360"/>
      <c r="G142" s="359" t="s">
        <v>440</v>
      </c>
      <c r="H142" s="91" t="s">
        <v>168</v>
      </c>
      <c r="I142" s="229">
        <v>26374.33</v>
      </c>
      <c r="J142" s="229">
        <f>I142/D126</f>
        <v>2.48</v>
      </c>
      <c r="K142" s="229">
        <f>(22681+9600)/D126</f>
        <v>3.03</v>
      </c>
    </row>
    <row r="143" spans="1:11" s="71" customFormat="1" ht="15.75" customHeight="1" x14ac:dyDescent="0.25">
      <c r="A143" s="360"/>
      <c r="B143" s="360"/>
      <c r="C143" s="372"/>
      <c r="D143" s="292"/>
      <c r="E143" s="360"/>
      <c r="F143" s="360"/>
      <c r="G143" s="360"/>
      <c r="H143" s="91" t="s">
        <v>171</v>
      </c>
      <c r="I143" s="229">
        <v>2230438.77</v>
      </c>
      <c r="J143" s="229">
        <f>I143/D126</f>
        <v>209.67</v>
      </c>
      <c r="K143" s="229">
        <f>2241647/D126+0.01</f>
        <v>210.73</v>
      </c>
    </row>
    <row r="144" spans="1:11" s="71" customFormat="1" x14ac:dyDescent="0.25">
      <c r="A144" s="368"/>
      <c r="B144" s="368"/>
      <c r="C144" s="396"/>
      <c r="D144" s="293"/>
      <c r="E144" s="368"/>
      <c r="F144" s="368"/>
      <c r="G144" s="368"/>
      <c r="H144" s="91" t="s">
        <v>69</v>
      </c>
      <c r="I144" s="229">
        <v>0</v>
      </c>
      <c r="J144" s="229">
        <f>I144/D126</f>
        <v>0</v>
      </c>
      <c r="K144" s="229">
        <f>47971/D126</f>
        <v>4.51</v>
      </c>
    </row>
    <row r="145" spans="1:11" s="71" customFormat="1" x14ac:dyDescent="0.25">
      <c r="A145" s="359">
        <f>A126+1</f>
        <v>11</v>
      </c>
      <c r="B145" s="359">
        <v>5940</v>
      </c>
      <c r="C145" s="371" t="s">
        <v>466</v>
      </c>
      <c r="D145" s="291">
        <v>3856.6</v>
      </c>
      <c r="E145" s="359" t="s">
        <v>64</v>
      </c>
      <c r="F145" s="359">
        <v>5</v>
      </c>
      <c r="G145" s="359" t="s">
        <v>75</v>
      </c>
      <c r="H145" s="91" t="s">
        <v>66</v>
      </c>
      <c r="I145" s="229">
        <f>I146+I147</f>
        <v>7805280.6799999997</v>
      </c>
      <c r="J145" s="229">
        <f>J146+J147</f>
        <v>2023.88</v>
      </c>
      <c r="K145" s="229">
        <f>K146+K147</f>
        <v>6136</v>
      </c>
    </row>
    <row r="146" spans="1:11" s="71" customFormat="1" x14ac:dyDescent="0.25">
      <c r="A146" s="360"/>
      <c r="B146" s="360"/>
      <c r="C146" s="372"/>
      <c r="D146" s="292"/>
      <c r="E146" s="360"/>
      <c r="F146" s="360"/>
      <c r="G146" s="360"/>
      <c r="H146" s="91" t="s">
        <v>67</v>
      </c>
      <c r="I146" s="229">
        <f>9199610.96-1394330.28</f>
        <v>7805280.6799999997</v>
      </c>
      <c r="J146" s="229">
        <f>I146/D145</f>
        <v>2023.88</v>
      </c>
      <c r="K146" s="229">
        <v>6007</v>
      </c>
    </row>
    <row r="147" spans="1:11" s="71" customFormat="1" x14ac:dyDescent="0.25">
      <c r="A147" s="368"/>
      <c r="B147" s="368"/>
      <c r="C147" s="396"/>
      <c r="D147" s="293"/>
      <c r="E147" s="368"/>
      <c r="F147" s="368"/>
      <c r="G147" s="368"/>
      <c r="H147" s="91" t="s">
        <v>69</v>
      </c>
      <c r="I147" s="229">
        <v>0</v>
      </c>
      <c r="J147" s="229">
        <v>0</v>
      </c>
      <c r="K147" s="229">
        <v>129</v>
      </c>
    </row>
    <row r="148" spans="1:11" s="71" customFormat="1" x14ac:dyDescent="0.25">
      <c r="A148" s="359">
        <f>A145+1</f>
        <v>12</v>
      </c>
      <c r="B148" s="359">
        <v>5948</v>
      </c>
      <c r="C148" s="371" t="s">
        <v>467</v>
      </c>
      <c r="D148" s="291">
        <v>3853.4</v>
      </c>
      <c r="E148" s="359" t="s">
        <v>64</v>
      </c>
      <c r="F148" s="359">
        <v>5</v>
      </c>
      <c r="G148" s="359" t="s">
        <v>75</v>
      </c>
      <c r="H148" s="91" t="s">
        <v>66</v>
      </c>
      <c r="I148" s="229">
        <f>I149+I150</f>
        <v>7950222.5199999996</v>
      </c>
      <c r="J148" s="229">
        <f>J149+J150</f>
        <v>2063.17</v>
      </c>
      <c r="K148" s="229">
        <f>K149+K150</f>
        <v>6136</v>
      </c>
    </row>
    <row r="149" spans="1:11" s="71" customFormat="1" x14ac:dyDescent="0.25">
      <c r="A149" s="360">
        <v>75</v>
      </c>
      <c r="B149" s="360"/>
      <c r="C149" s="372"/>
      <c r="D149" s="292"/>
      <c r="E149" s="360"/>
      <c r="F149" s="360"/>
      <c r="G149" s="360"/>
      <c r="H149" s="91" t="s">
        <v>67</v>
      </c>
      <c r="I149" s="229">
        <f>9425523.18-1475300.66</f>
        <v>7950222.5199999996</v>
      </c>
      <c r="J149" s="229">
        <f>I149/D148</f>
        <v>2063.17</v>
      </c>
      <c r="K149" s="229">
        <v>6007</v>
      </c>
    </row>
    <row r="150" spans="1:11" s="71" customFormat="1" x14ac:dyDescent="0.25">
      <c r="A150" s="368"/>
      <c r="B150" s="368"/>
      <c r="C150" s="396"/>
      <c r="D150" s="293"/>
      <c r="E150" s="368"/>
      <c r="F150" s="368"/>
      <c r="G150" s="368"/>
      <c r="H150" s="91" t="s">
        <v>69</v>
      </c>
      <c r="I150" s="229">
        <v>0</v>
      </c>
      <c r="J150" s="229">
        <v>0</v>
      </c>
      <c r="K150" s="229">
        <v>129</v>
      </c>
    </row>
    <row r="151" spans="1:11" s="71" customFormat="1" x14ac:dyDescent="0.25">
      <c r="A151" s="366">
        <f>A148+1</f>
        <v>13</v>
      </c>
      <c r="B151" s="366">
        <v>6087</v>
      </c>
      <c r="C151" s="430" t="s">
        <v>468</v>
      </c>
      <c r="D151" s="291">
        <v>2459.1</v>
      </c>
      <c r="E151" s="366" t="s">
        <v>68</v>
      </c>
      <c r="F151" s="366">
        <v>5</v>
      </c>
      <c r="H151" s="91" t="s">
        <v>66</v>
      </c>
      <c r="I151" s="229">
        <f>I152+I153+I154+I155+I156+I157+I158+I159</f>
        <v>5828539.4800000004</v>
      </c>
      <c r="J151" s="229">
        <f>J152+J153+J154+J155+J156+J157+J158+J159</f>
        <v>2370.19</v>
      </c>
      <c r="K151" s="229">
        <f>K152+K153+K154+K155+K156+K157+K158+K159</f>
        <v>5271</v>
      </c>
    </row>
    <row r="152" spans="1:11" s="71" customFormat="1" x14ac:dyDescent="0.25">
      <c r="A152" s="367"/>
      <c r="B152" s="367"/>
      <c r="C152" s="431"/>
      <c r="D152" s="292"/>
      <c r="E152" s="367"/>
      <c r="F152" s="367"/>
      <c r="G152" s="359" t="s">
        <v>78</v>
      </c>
      <c r="H152" s="91" t="s">
        <v>169</v>
      </c>
      <c r="I152" s="229">
        <f>1791330.7*0.7</f>
        <v>1253931.49</v>
      </c>
      <c r="J152" s="229">
        <f>I152/D151</f>
        <v>509.91</v>
      </c>
      <c r="K152" s="229">
        <v>961</v>
      </c>
    </row>
    <row r="153" spans="1:11" s="71" customFormat="1" x14ac:dyDescent="0.25">
      <c r="A153" s="367"/>
      <c r="B153" s="367"/>
      <c r="C153" s="431"/>
      <c r="D153" s="292"/>
      <c r="E153" s="367"/>
      <c r="F153" s="367"/>
      <c r="G153" s="368"/>
      <c r="H153" s="91" t="s">
        <v>69</v>
      </c>
      <c r="I153" s="229">
        <v>0</v>
      </c>
      <c r="J153" s="229">
        <f>I153/D151</f>
        <v>0</v>
      </c>
      <c r="K153" s="229">
        <v>21</v>
      </c>
    </row>
    <row r="154" spans="1:11" s="71" customFormat="1" x14ac:dyDescent="0.25">
      <c r="A154" s="367"/>
      <c r="B154" s="367"/>
      <c r="C154" s="431"/>
      <c r="D154" s="292"/>
      <c r="E154" s="367"/>
      <c r="F154" s="367"/>
      <c r="G154" s="359" t="s">
        <v>71</v>
      </c>
      <c r="H154" s="91" t="s">
        <v>169</v>
      </c>
      <c r="I154" s="229">
        <f>946712.4*0.7</f>
        <v>662698.68000000005</v>
      </c>
      <c r="J154" s="229">
        <f>I154/D151</f>
        <v>269.49</v>
      </c>
      <c r="K154" s="229">
        <v>746</v>
      </c>
    </row>
    <row r="155" spans="1:11" s="71" customFormat="1" x14ac:dyDescent="0.25">
      <c r="A155" s="367"/>
      <c r="B155" s="367"/>
      <c r="C155" s="431"/>
      <c r="D155" s="292"/>
      <c r="E155" s="367"/>
      <c r="F155" s="367"/>
      <c r="G155" s="368"/>
      <c r="H155" s="91" t="s">
        <v>69</v>
      </c>
      <c r="I155" s="229">
        <v>0</v>
      </c>
      <c r="J155" s="229">
        <f>I155/D151</f>
        <v>0</v>
      </c>
      <c r="K155" s="229">
        <v>16</v>
      </c>
    </row>
    <row r="156" spans="1:11" s="71" customFormat="1" x14ac:dyDescent="0.25">
      <c r="A156" s="367"/>
      <c r="B156" s="367"/>
      <c r="C156" s="431"/>
      <c r="D156" s="292"/>
      <c r="E156" s="367"/>
      <c r="F156" s="367"/>
      <c r="G156" s="359" t="s">
        <v>72</v>
      </c>
      <c r="H156" s="91" t="s">
        <v>169</v>
      </c>
      <c r="I156" s="229">
        <f>606509.86*0.7</f>
        <v>424556.9</v>
      </c>
      <c r="J156" s="229">
        <f>I156/D151</f>
        <v>172.65</v>
      </c>
      <c r="K156" s="229">
        <v>542</v>
      </c>
    </row>
    <row r="157" spans="1:11" s="71" customFormat="1" x14ac:dyDescent="0.25">
      <c r="A157" s="367"/>
      <c r="B157" s="367"/>
      <c r="C157" s="431"/>
      <c r="D157" s="292"/>
      <c r="E157" s="367"/>
      <c r="F157" s="367"/>
      <c r="G157" s="368"/>
      <c r="H157" s="91" t="s">
        <v>69</v>
      </c>
      <c r="I157" s="229">
        <v>0</v>
      </c>
      <c r="J157" s="229">
        <f>I157/D151</f>
        <v>0</v>
      </c>
      <c r="K157" s="229">
        <v>12</v>
      </c>
    </row>
    <row r="158" spans="1:11" s="71" customFormat="1" x14ac:dyDescent="0.25">
      <c r="A158" s="367"/>
      <c r="B158" s="367"/>
      <c r="C158" s="431"/>
      <c r="D158" s="292"/>
      <c r="E158" s="367"/>
      <c r="F158" s="367"/>
      <c r="G158" s="359" t="s">
        <v>70</v>
      </c>
      <c r="H158" s="91" t="s">
        <v>169</v>
      </c>
      <c r="I158" s="229">
        <f>4981932.01*0.7</f>
        <v>3487352.41</v>
      </c>
      <c r="J158" s="229">
        <f>I158/D151</f>
        <v>1418.14</v>
      </c>
      <c r="K158" s="229">
        <v>2911</v>
      </c>
    </row>
    <row r="159" spans="1:11" s="71" customFormat="1" x14ac:dyDescent="0.25">
      <c r="A159" s="383"/>
      <c r="B159" s="383"/>
      <c r="C159" s="432"/>
      <c r="D159" s="293"/>
      <c r="E159" s="383"/>
      <c r="F159" s="383"/>
      <c r="G159" s="368"/>
      <c r="H159" s="91" t="s">
        <v>69</v>
      </c>
      <c r="I159" s="229">
        <v>0</v>
      </c>
      <c r="J159" s="229">
        <f>I159/D151</f>
        <v>0</v>
      </c>
      <c r="K159" s="229">
        <v>62</v>
      </c>
    </row>
    <row r="160" spans="1:11" s="71" customFormat="1" ht="15.75" customHeight="1" x14ac:dyDescent="0.25">
      <c r="A160" s="359">
        <f>A151+1</f>
        <v>14</v>
      </c>
      <c r="B160" s="359">
        <v>6120</v>
      </c>
      <c r="C160" s="371" t="s">
        <v>555</v>
      </c>
      <c r="D160" s="291">
        <v>2259.1</v>
      </c>
      <c r="E160" s="359" t="s">
        <v>68</v>
      </c>
      <c r="F160" s="359">
        <v>9</v>
      </c>
      <c r="G160" s="158"/>
      <c r="H160" s="91" t="s">
        <v>66</v>
      </c>
      <c r="I160" s="229">
        <f>SUM(I161:I161)</f>
        <v>31801</v>
      </c>
      <c r="J160" s="229">
        <f>SUM(J161:J161)</f>
        <v>14.08</v>
      </c>
      <c r="K160" s="229">
        <f>SUM(K161:K161)</f>
        <v>14.29</v>
      </c>
    </row>
    <row r="161" spans="1:11" s="71" customFormat="1" ht="63" x14ac:dyDescent="0.25">
      <c r="A161" s="360"/>
      <c r="B161" s="360"/>
      <c r="C161" s="372"/>
      <c r="D161" s="292"/>
      <c r="E161" s="360"/>
      <c r="F161" s="360"/>
      <c r="G161" s="147" t="s">
        <v>170</v>
      </c>
      <c r="H161" s="91" t="s">
        <v>168</v>
      </c>
      <c r="I161" s="229">
        <v>31801</v>
      </c>
      <c r="J161" s="229">
        <f>I161/D160</f>
        <v>14.08</v>
      </c>
      <c r="K161" s="229">
        <f>(22681+9600)/D160</f>
        <v>14.29</v>
      </c>
    </row>
    <row r="162" spans="1:11" s="71" customFormat="1" x14ac:dyDescent="0.25">
      <c r="A162" s="359">
        <f>A160+1</f>
        <v>15</v>
      </c>
      <c r="B162" s="359">
        <v>6125</v>
      </c>
      <c r="C162" s="371" t="s">
        <v>418</v>
      </c>
      <c r="D162" s="291">
        <v>2272.8000000000002</v>
      </c>
      <c r="E162" s="359" t="s">
        <v>68</v>
      </c>
      <c r="F162" s="359">
        <v>9</v>
      </c>
      <c r="G162" s="158"/>
      <c r="H162" s="91" t="s">
        <v>66</v>
      </c>
      <c r="I162" s="229">
        <f>SUM(I163:I165)</f>
        <v>2262719.7599999998</v>
      </c>
      <c r="J162" s="229">
        <f t="shared" ref="J162:K162" si="6">SUM(J163:J165)</f>
        <v>995.56</v>
      </c>
      <c r="K162" s="229">
        <f t="shared" si="6"/>
        <v>1021.61</v>
      </c>
    </row>
    <row r="163" spans="1:11" s="71" customFormat="1" ht="63" x14ac:dyDescent="0.25">
      <c r="A163" s="360"/>
      <c r="B163" s="360"/>
      <c r="C163" s="372"/>
      <c r="D163" s="292"/>
      <c r="E163" s="360"/>
      <c r="F163" s="360"/>
      <c r="G163" s="359" t="s">
        <v>170</v>
      </c>
      <c r="H163" s="91" t="s">
        <v>168</v>
      </c>
      <c r="I163" s="229">
        <f>22681+9600</f>
        <v>32281</v>
      </c>
      <c r="J163" s="229">
        <f>I163/D162</f>
        <v>14.2</v>
      </c>
      <c r="K163" s="229">
        <f>(22681+9600)/D162</f>
        <v>14.2</v>
      </c>
    </row>
    <row r="164" spans="1:11" s="71" customFormat="1" ht="15.75" customHeight="1" x14ac:dyDescent="0.25">
      <c r="A164" s="360"/>
      <c r="B164" s="360"/>
      <c r="C164" s="372"/>
      <c r="D164" s="292"/>
      <c r="E164" s="360"/>
      <c r="F164" s="360"/>
      <c r="G164" s="360"/>
      <c r="H164" s="91" t="s">
        <v>171</v>
      </c>
      <c r="I164" s="229">
        <v>2230438.7599999998</v>
      </c>
      <c r="J164" s="229">
        <f>I164/D162</f>
        <v>981.36</v>
      </c>
      <c r="K164" s="229">
        <f>2241647/D162+0.01</f>
        <v>986.3</v>
      </c>
    </row>
    <row r="165" spans="1:11" s="71" customFormat="1" x14ac:dyDescent="0.25">
      <c r="A165" s="368"/>
      <c r="B165" s="368"/>
      <c r="C165" s="396"/>
      <c r="D165" s="293"/>
      <c r="E165" s="368"/>
      <c r="F165" s="368"/>
      <c r="G165" s="368"/>
      <c r="H165" s="91" t="s">
        <v>69</v>
      </c>
      <c r="I165" s="229">
        <v>0</v>
      </c>
      <c r="J165" s="229">
        <f>I165/D162</f>
        <v>0</v>
      </c>
      <c r="K165" s="229">
        <f>47971/D162</f>
        <v>21.11</v>
      </c>
    </row>
    <row r="166" spans="1:11" s="71" customFormat="1" x14ac:dyDescent="0.25">
      <c r="A166" s="359">
        <f>A162+1</f>
        <v>16</v>
      </c>
      <c r="B166" s="359">
        <v>6143</v>
      </c>
      <c r="C166" s="371" t="s">
        <v>164</v>
      </c>
      <c r="D166" s="291">
        <v>1897.7</v>
      </c>
      <c r="E166" s="291" t="s">
        <v>68</v>
      </c>
      <c r="F166" s="366">
        <v>3</v>
      </c>
      <c r="G166" s="158"/>
      <c r="H166" s="91" t="s">
        <v>66</v>
      </c>
      <c r="I166" s="229">
        <f>I167+I168+I169+I170</f>
        <v>8398898.9499999993</v>
      </c>
      <c r="J166" s="229">
        <f>J167+J168+J169+J170</f>
        <v>4425.83</v>
      </c>
      <c r="K166" s="229">
        <f>K167+K168+K169+K170</f>
        <v>9490</v>
      </c>
    </row>
    <row r="167" spans="1:11" s="71" customFormat="1" x14ac:dyDescent="0.25">
      <c r="A167" s="360"/>
      <c r="B167" s="360"/>
      <c r="C167" s="372"/>
      <c r="D167" s="292"/>
      <c r="E167" s="292"/>
      <c r="F167" s="367"/>
      <c r="G167" s="376" t="s">
        <v>65</v>
      </c>
      <c r="H167" s="91" t="s">
        <v>67</v>
      </c>
      <c r="I167" s="229">
        <v>5859105.9500000002</v>
      </c>
      <c r="J167" s="229">
        <f>I167/D166</f>
        <v>3087.48</v>
      </c>
      <c r="K167" s="229">
        <v>5036</v>
      </c>
    </row>
    <row r="168" spans="1:11" s="71" customFormat="1" x14ac:dyDescent="0.25">
      <c r="A168" s="360"/>
      <c r="B168" s="360"/>
      <c r="C168" s="372"/>
      <c r="D168" s="292"/>
      <c r="E168" s="292"/>
      <c r="F168" s="367"/>
      <c r="G168" s="376"/>
      <c r="H168" s="91" t="s">
        <v>69</v>
      </c>
      <c r="I168" s="229">
        <v>0</v>
      </c>
      <c r="J168" s="229">
        <f>I168/D166</f>
        <v>0</v>
      </c>
      <c r="K168" s="229">
        <v>108</v>
      </c>
    </row>
    <row r="169" spans="1:11" s="71" customFormat="1" x14ac:dyDescent="0.25">
      <c r="A169" s="360"/>
      <c r="B169" s="360"/>
      <c r="C169" s="372"/>
      <c r="D169" s="292"/>
      <c r="E169" s="292"/>
      <c r="F169" s="367"/>
      <c r="G169" s="360" t="s">
        <v>79</v>
      </c>
      <c r="H169" s="91" t="s">
        <v>67</v>
      </c>
      <c r="I169" s="229">
        <v>2539793</v>
      </c>
      <c r="J169" s="229">
        <f>I169/D166</f>
        <v>1338.35</v>
      </c>
      <c r="K169" s="229">
        <v>4255</v>
      </c>
    </row>
    <row r="170" spans="1:11" s="71" customFormat="1" x14ac:dyDescent="0.25">
      <c r="A170" s="368"/>
      <c r="B170" s="368"/>
      <c r="C170" s="396"/>
      <c r="D170" s="293"/>
      <c r="E170" s="293"/>
      <c r="F170" s="383"/>
      <c r="G170" s="368"/>
      <c r="H170" s="91" t="s">
        <v>69</v>
      </c>
      <c r="I170" s="229">
        <v>0</v>
      </c>
      <c r="J170" s="229">
        <f>I170/D166</f>
        <v>0</v>
      </c>
      <c r="K170" s="229">
        <v>91</v>
      </c>
    </row>
    <row r="171" spans="1:11" s="71" customFormat="1" x14ac:dyDescent="0.25">
      <c r="A171" s="359">
        <f>A166+1</f>
        <v>17</v>
      </c>
      <c r="B171" s="359">
        <v>6152</v>
      </c>
      <c r="C171" s="371" t="s">
        <v>469</v>
      </c>
      <c r="D171" s="291">
        <v>2611.6</v>
      </c>
      <c r="E171" s="291" t="s">
        <v>68</v>
      </c>
      <c r="F171" s="366">
        <v>4</v>
      </c>
      <c r="G171" s="359" t="s">
        <v>65</v>
      </c>
      <c r="H171" s="91" t="s">
        <v>66</v>
      </c>
      <c r="I171" s="229">
        <f>I172+I173</f>
        <v>4992672.33</v>
      </c>
      <c r="J171" s="229">
        <f>J172+J173</f>
        <v>1911.73</v>
      </c>
      <c r="K171" s="229">
        <f>K172+K173</f>
        <v>5144</v>
      </c>
    </row>
    <row r="172" spans="1:11" s="71" customFormat="1" x14ac:dyDescent="0.25">
      <c r="A172" s="360"/>
      <c r="B172" s="360"/>
      <c r="C172" s="372"/>
      <c r="D172" s="292"/>
      <c r="E172" s="292"/>
      <c r="F172" s="367"/>
      <c r="G172" s="360"/>
      <c r="H172" s="91" t="s">
        <v>67</v>
      </c>
      <c r="I172" s="229">
        <f>7535875.2-2543202.87</f>
        <v>4992672.33</v>
      </c>
      <c r="J172" s="229">
        <f>I172/D171</f>
        <v>1911.73</v>
      </c>
      <c r="K172" s="229">
        <v>5036</v>
      </c>
    </row>
    <row r="173" spans="1:11" s="71" customFormat="1" x14ac:dyDescent="0.25">
      <c r="A173" s="360"/>
      <c r="B173" s="360"/>
      <c r="C173" s="372"/>
      <c r="D173" s="292"/>
      <c r="E173" s="292"/>
      <c r="F173" s="367"/>
      <c r="G173" s="368"/>
      <c r="H173" s="91" t="s">
        <v>69</v>
      </c>
      <c r="I173" s="229">
        <v>0</v>
      </c>
      <c r="J173" s="229">
        <f>I173/D171</f>
        <v>0</v>
      </c>
      <c r="K173" s="229">
        <v>108</v>
      </c>
    </row>
    <row r="174" spans="1:11" s="71" customFormat="1" x14ac:dyDescent="0.25">
      <c r="A174" s="359">
        <f>A171+1</f>
        <v>18</v>
      </c>
      <c r="B174" s="359">
        <v>6176</v>
      </c>
      <c r="C174" s="371" t="s">
        <v>385</v>
      </c>
      <c r="D174" s="291">
        <v>10924.18</v>
      </c>
      <c r="E174" s="291" t="s">
        <v>68</v>
      </c>
      <c r="F174" s="366">
        <v>9</v>
      </c>
      <c r="G174" s="359" t="s">
        <v>65</v>
      </c>
      <c r="H174" s="91" t="s">
        <v>66</v>
      </c>
      <c r="I174" s="229">
        <f>I175+I176</f>
        <v>11232106.050000001</v>
      </c>
      <c r="J174" s="229">
        <f t="shared" ref="J174:K174" si="7">J175+J176</f>
        <v>1028.19</v>
      </c>
      <c r="K174" s="229">
        <f t="shared" si="7"/>
        <v>2492</v>
      </c>
    </row>
    <row r="175" spans="1:11" s="71" customFormat="1" x14ac:dyDescent="0.25">
      <c r="A175" s="360"/>
      <c r="B175" s="360"/>
      <c r="C175" s="372"/>
      <c r="D175" s="292"/>
      <c r="E175" s="292"/>
      <c r="F175" s="367"/>
      <c r="G175" s="360"/>
      <c r="H175" s="91" t="s">
        <v>67</v>
      </c>
      <c r="I175" s="229">
        <v>11232106.050000001</v>
      </c>
      <c r="J175" s="229">
        <f>I175/D174</f>
        <v>1028.19</v>
      </c>
      <c r="K175" s="229">
        <v>2440</v>
      </c>
    </row>
    <row r="176" spans="1:11" s="71" customFormat="1" x14ac:dyDescent="0.25">
      <c r="A176" s="360"/>
      <c r="B176" s="360"/>
      <c r="C176" s="372"/>
      <c r="D176" s="292"/>
      <c r="E176" s="292"/>
      <c r="F176" s="367"/>
      <c r="G176" s="360"/>
      <c r="H176" s="91" t="s">
        <v>69</v>
      </c>
      <c r="I176" s="229">
        <v>0</v>
      </c>
      <c r="J176" s="229">
        <f>I176/D174</f>
        <v>0</v>
      </c>
      <c r="K176" s="229">
        <v>52</v>
      </c>
    </row>
    <row r="177" spans="1:11" s="71" customFormat="1" x14ac:dyDescent="0.25">
      <c r="A177" s="359">
        <f>A174+1</f>
        <v>19</v>
      </c>
      <c r="B177" s="359">
        <v>6183</v>
      </c>
      <c r="C177" s="371" t="s">
        <v>386</v>
      </c>
      <c r="D177" s="291">
        <v>9992</v>
      </c>
      <c r="E177" s="291" t="s">
        <v>68</v>
      </c>
      <c r="F177" s="366">
        <v>10</v>
      </c>
      <c r="G177" s="359" t="s">
        <v>65</v>
      </c>
      <c r="H177" s="91" t="s">
        <v>66</v>
      </c>
      <c r="I177" s="229">
        <f>I178+I179</f>
        <v>6219893.0700000003</v>
      </c>
      <c r="J177" s="229">
        <f>J178+J179</f>
        <v>622.49</v>
      </c>
      <c r="K177" s="229">
        <f>K178+K179</f>
        <v>2604</v>
      </c>
    </row>
    <row r="178" spans="1:11" s="71" customFormat="1" ht="63" x14ac:dyDescent="0.25">
      <c r="A178" s="360"/>
      <c r="B178" s="360"/>
      <c r="C178" s="372"/>
      <c r="D178" s="292"/>
      <c r="E178" s="292"/>
      <c r="F178" s="367"/>
      <c r="G178" s="360"/>
      <c r="H178" s="91" t="s">
        <v>178</v>
      </c>
      <c r="I178" s="229">
        <v>862652.75</v>
      </c>
      <c r="J178" s="229">
        <f>I178/D177</f>
        <v>86.33</v>
      </c>
      <c r="K178" s="229">
        <f>151+13</f>
        <v>164</v>
      </c>
    </row>
    <row r="179" spans="1:11" s="71" customFormat="1" x14ac:dyDescent="0.25">
      <c r="A179" s="360"/>
      <c r="B179" s="360"/>
      <c r="C179" s="372"/>
      <c r="D179" s="292"/>
      <c r="E179" s="292"/>
      <c r="F179" s="367"/>
      <c r="G179" s="360"/>
      <c r="H179" s="91" t="s">
        <v>67</v>
      </c>
      <c r="I179" s="229">
        <v>5357240.3200000003</v>
      </c>
      <c r="J179" s="229">
        <f>I179/D177+0.01</f>
        <v>536.16</v>
      </c>
      <c r="K179" s="229">
        <v>2440</v>
      </c>
    </row>
    <row r="180" spans="1:11" s="71" customFormat="1" x14ac:dyDescent="0.25">
      <c r="A180" s="359">
        <f>A177+1</f>
        <v>20</v>
      </c>
      <c r="B180" s="359">
        <v>6184</v>
      </c>
      <c r="C180" s="371" t="s">
        <v>387</v>
      </c>
      <c r="D180" s="291">
        <v>10125.5</v>
      </c>
      <c r="E180" s="291" t="s">
        <v>68</v>
      </c>
      <c r="F180" s="366">
        <v>10</v>
      </c>
      <c r="G180" s="359" t="s">
        <v>65</v>
      </c>
      <c r="H180" s="91" t="s">
        <v>66</v>
      </c>
      <c r="I180" s="229">
        <f>I181</f>
        <v>5490887.7699999996</v>
      </c>
      <c r="J180" s="229">
        <f t="shared" ref="J180:K180" si="8">J181</f>
        <v>542.28</v>
      </c>
      <c r="K180" s="229">
        <f t="shared" si="8"/>
        <v>2440</v>
      </c>
    </row>
    <row r="181" spans="1:11" s="71" customFormat="1" x14ac:dyDescent="0.25">
      <c r="A181" s="360"/>
      <c r="B181" s="360"/>
      <c r="C181" s="372"/>
      <c r="D181" s="292"/>
      <c r="E181" s="292"/>
      <c r="F181" s="367"/>
      <c r="G181" s="360"/>
      <c r="H181" s="91" t="s">
        <v>67</v>
      </c>
      <c r="I181" s="229">
        <v>5490887.7699999996</v>
      </c>
      <c r="J181" s="229">
        <f>I181/D180</f>
        <v>542.28</v>
      </c>
      <c r="K181" s="229">
        <v>2440</v>
      </c>
    </row>
    <row r="182" spans="1:11" s="71" customFormat="1" x14ac:dyDescent="0.25">
      <c r="A182" s="359">
        <f>A180+1</f>
        <v>21</v>
      </c>
      <c r="B182" s="359">
        <v>6193</v>
      </c>
      <c r="C182" s="371" t="s">
        <v>556</v>
      </c>
      <c r="D182" s="291">
        <v>11067.6</v>
      </c>
      <c r="E182" s="359" t="s">
        <v>64</v>
      </c>
      <c r="F182" s="359">
        <v>9</v>
      </c>
      <c r="G182" s="158"/>
      <c r="H182" s="91" t="s">
        <v>66</v>
      </c>
      <c r="I182" s="229">
        <f>SUM(I183:I183)</f>
        <v>0</v>
      </c>
      <c r="J182" s="229">
        <f>SUM(J183:J183)</f>
        <v>0</v>
      </c>
      <c r="K182" s="229">
        <f>SUM(K183:K183)</f>
        <v>2.92</v>
      </c>
    </row>
    <row r="183" spans="1:11" s="71" customFormat="1" ht="63" x14ac:dyDescent="0.25">
      <c r="A183" s="360"/>
      <c r="B183" s="360"/>
      <c r="C183" s="372"/>
      <c r="D183" s="292"/>
      <c r="E183" s="360"/>
      <c r="F183" s="360"/>
      <c r="G183" s="147" t="s">
        <v>170</v>
      </c>
      <c r="H183" s="91" t="s">
        <v>168</v>
      </c>
      <c r="I183" s="229">
        <v>0</v>
      </c>
      <c r="J183" s="229">
        <f>I183/D182</f>
        <v>0</v>
      </c>
      <c r="K183" s="229">
        <f>(22681+9600)/D182</f>
        <v>2.92</v>
      </c>
    </row>
    <row r="184" spans="1:11" s="71" customFormat="1" x14ac:dyDescent="0.25">
      <c r="A184" s="359">
        <f>A182+1</f>
        <v>22</v>
      </c>
      <c r="B184" s="359">
        <v>6237</v>
      </c>
      <c r="C184" s="371" t="s">
        <v>116</v>
      </c>
      <c r="D184" s="291">
        <v>542.70000000000005</v>
      </c>
      <c r="E184" s="291" t="s">
        <v>167</v>
      </c>
      <c r="F184" s="366">
        <v>2</v>
      </c>
      <c r="G184" s="27"/>
      <c r="H184" s="91" t="s">
        <v>66</v>
      </c>
      <c r="I184" s="229">
        <f>I185+I186+I187+I188</f>
        <v>4083295</v>
      </c>
      <c r="J184" s="229">
        <f>J185+J186+J187+J188</f>
        <v>7524.04</v>
      </c>
      <c r="K184" s="229">
        <f>K185+K186+K187+K188</f>
        <v>12034</v>
      </c>
    </row>
    <row r="185" spans="1:11" s="71" customFormat="1" x14ac:dyDescent="0.25">
      <c r="A185" s="360"/>
      <c r="B185" s="360"/>
      <c r="C185" s="372"/>
      <c r="D185" s="292"/>
      <c r="E185" s="292"/>
      <c r="F185" s="367"/>
      <c r="G185" s="360" t="s">
        <v>65</v>
      </c>
      <c r="H185" s="91" t="s">
        <v>67</v>
      </c>
      <c r="I185" s="229">
        <v>2205962</v>
      </c>
      <c r="J185" s="229">
        <f>I185/D184</f>
        <v>4064.79</v>
      </c>
      <c r="K185" s="229">
        <v>7527</v>
      </c>
    </row>
    <row r="186" spans="1:11" s="71" customFormat="1" x14ac:dyDescent="0.25">
      <c r="A186" s="360"/>
      <c r="B186" s="360"/>
      <c r="C186" s="372"/>
      <c r="D186" s="292"/>
      <c r="E186" s="292"/>
      <c r="F186" s="367"/>
      <c r="G186" s="368"/>
      <c r="H186" s="91" t="s">
        <v>69</v>
      </c>
      <c r="I186" s="229">
        <v>0</v>
      </c>
      <c r="J186" s="229">
        <f>I186/D184</f>
        <v>0</v>
      </c>
      <c r="K186" s="229">
        <v>161</v>
      </c>
    </row>
    <row r="187" spans="1:11" s="71" customFormat="1" x14ac:dyDescent="0.25">
      <c r="A187" s="360"/>
      <c r="B187" s="360"/>
      <c r="C187" s="372"/>
      <c r="D187" s="292"/>
      <c r="E187" s="292"/>
      <c r="F187" s="367"/>
      <c r="G187" s="360" t="s">
        <v>79</v>
      </c>
      <c r="H187" s="91" t="s">
        <v>67</v>
      </c>
      <c r="I187" s="229">
        <v>1877333</v>
      </c>
      <c r="J187" s="229">
        <f>I187/D184</f>
        <v>3459.25</v>
      </c>
      <c r="K187" s="229">
        <v>4255</v>
      </c>
    </row>
    <row r="188" spans="1:11" s="71" customFormat="1" x14ac:dyDescent="0.25">
      <c r="A188" s="368"/>
      <c r="B188" s="368"/>
      <c r="C188" s="396"/>
      <c r="D188" s="293"/>
      <c r="E188" s="293"/>
      <c r="F188" s="383"/>
      <c r="G188" s="368"/>
      <c r="H188" s="91" t="s">
        <v>69</v>
      </c>
      <c r="I188" s="229">
        <v>0</v>
      </c>
      <c r="J188" s="229">
        <f>I188/D184</f>
        <v>0</v>
      </c>
      <c r="K188" s="229">
        <v>91</v>
      </c>
    </row>
    <row r="189" spans="1:11" s="71" customFormat="1" x14ac:dyDescent="0.25">
      <c r="A189" s="359">
        <f>A184+1</f>
        <v>23</v>
      </c>
      <c r="B189" s="359">
        <v>6273</v>
      </c>
      <c r="C189" s="371" t="s">
        <v>165</v>
      </c>
      <c r="D189" s="291">
        <v>1500.8</v>
      </c>
      <c r="E189" s="291" t="s">
        <v>73</v>
      </c>
      <c r="F189" s="366">
        <v>3</v>
      </c>
      <c r="G189" s="359" t="s">
        <v>65</v>
      </c>
      <c r="H189" s="91" t="s">
        <v>66</v>
      </c>
      <c r="I189" s="229">
        <f>I190+I191</f>
        <v>5106318.45</v>
      </c>
      <c r="J189" s="229">
        <f>J190+J191</f>
        <v>3402.4</v>
      </c>
      <c r="K189" s="229">
        <f>K190+K191</f>
        <v>5144</v>
      </c>
    </row>
    <row r="190" spans="1:11" s="71" customFormat="1" x14ac:dyDescent="0.25">
      <c r="A190" s="360"/>
      <c r="B190" s="360"/>
      <c r="C190" s="372"/>
      <c r="D190" s="292"/>
      <c r="E190" s="292"/>
      <c r="F190" s="367"/>
      <c r="G190" s="360"/>
      <c r="H190" s="91" t="s">
        <v>67</v>
      </c>
      <c r="I190" s="229">
        <v>5106318.45</v>
      </c>
      <c r="J190" s="229">
        <f>I190/D189</f>
        <v>3402.4</v>
      </c>
      <c r="K190" s="229">
        <v>5036</v>
      </c>
    </row>
    <row r="191" spans="1:11" s="71" customFormat="1" x14ac:dyDescent="0.25">
      <c r="A191" s="368"/>
      <c r="B191" s="368"/>
      <c r="C191" s="396"/>
      <c r="D191" s="293"/>
      <c r="E191" s="293"/>
      <c r="F191" s="383"/>
      <c r="G191" s="368"/>
      <c r="H191" s="91" t="s">
        <v>69</v>
      </c>
      <c r="I191" s="229">
        <v>0</v>
      </c>
      <c r="J191" s="229">
        <f>I191/D189</f>
        <v>0</v>
      </c>
      <c r="K191" s="229">
        <v>108</v>
      </c>
    </row>
    <row r="192" spans="1:11" s="71" customFormat="1" x14ac:dyDescent="0.25">
      <c r="A192" s="359">
        <f>A189+1</f>
        <v>24</v>
      </c>
      <c r="B192" s="359">
        <v>6324</v>
      </c>
      <c r="C192" s="371" t="s">
        <v>525</v>
      </c>
      <c r="D192" s="291">
        <v>6717.2</v>
      </c>
      <c r="E192" s="359" t="s">
        <v>64</v>
      </c>
      <c r="F192" s="359">
        <v>10</v>
      </c>
      <c r="G192" s="158"/>
      <c r="H192" s="91" t="s">
        <v>66</v>
      </c>
      <c r="I192" s="229">
        <f>SUM(I193:I201)</f>
        <v>4776846.99</v>
      </c>
      <c r="J192" s="229">
        <f>SUM(J193:J201)</f>
        <v>711.14</v>
      </c>
      <c r="K192" s="229">
        <f>SUM(K193:K201)</f>
        <v>1037.01</v>
      </c>
    </row>
    <row r="193" spans="1:11" s="71" customFormat="1" ht="63" x14ac:dyDescent="0.25">
      <c r="A193" s="360"/>
      <c r="B193" s="360"/>
      <c r="C193" s="372"/>
      <c r="D193" s="292"/>
      <c r="E193" s="360"/>
      <c r="F193" s="360"/>
      <c r="G193" s="359" t="s">
        <v>170</v>
      </c>
      <c r="H193" s="91" t="s">
        <v>168</v>
      </c>
      <c r="I193" s="229">
        <v>29854.33</v>
      </c>
      <c r="J193" s="229">
        <f>I193/D192</f>
        <v>4.4400000000000004</v>
      </c>
      <c r="K193" s="229">
        <f>(22681+9600)/D192</f>
        <v>4.8099999999999996</v>
      </c>
    </row>
    <row r="194" spans="1:11" s="71" customFormat="1" x14ac:dyDescent="0.25">
      <c r="A194" s="360"/>
      <c r="B194" s="360"/>
      <c r="C194" s="372"/>
      <c r="D194" s="292"/>
      <c r="E194" s="360"/>
      <c r="F194" s="360"/>
      <c r="G194" s="360"/>
      <c r="H194" s="91" t="s">
        <v>171</v>
      </c>
      <c r="I194" s="229">
        <v>1562427.99</v>
      </c>
      <c r="J194" s="229">
        <f>I194/D192+0.01</f>
        <v>232.61</v>
      </c>
      <c r="K194" s="229">
        <f>2241647/D192</f>
        <v>333.72</v>
      </c>
    </row>
    <row r="195" spans="1:11" s="71" customFormat="1" x14ac:dyDescent="0.25">
      <c r="A195" s="360"/>
      <c r="B195" s="360"/>
      <c r="C195" s="372"/>
      <c r="D195" s="292"/>
      <c r="E195" s="360"/>
      <c r="F195" s="360"/>
      <c r="G195" s="368"/>
      <c r="H195" s="91" t="s">
        <v>69</v>
      </c>
      <c r="I195" s="229">
        <v>0</v>
      </c>
      <c r="J195" s="229">
        <f>I195/D192</f>
        <v>0</v>
      </c>
      <c r="K195" s="229">
        <f>47971/D192</f>
        <v>7.14</v>
      </c>
    </row>
    <row r="196" spans="1:11" s="71" customFormat="1" ht="63" x14ac:dyDescent="0.25">
      <c r="A196" s="360"/>
      <c r="B196" s="360"/>
      <c r="C196" s="372"/>
      <c r="D196" s="292"/>
      <c r="E196" s="360"/>
      <c r="F196" s="360"/>
      <c r="G196" s="359" t="s">
        <v>173</v>
      </c>
      <c r="H196" s="91" t="s">
        <v>168</v>
      </c>
      <c r="I196" s="229">
        <v>29854.33</v>
      </c>
      <c r="J196" s="229">
        <f>I196/D192</f>
        <v>4.4400000000000004</v>
      </c>
      <c r="K196" s="229">
        <f>(22681+9600)/D192</f>
        <v>4.8099999999999996</v>
      </c>
    </row>
    <row r="197" spans="1:11" s="71" customFormat="1" x14ac:dyDescent="0.25">
      <c r="A197" s="360"/>
      <c r="B197" s="360"/>
      <c r="C197" s="372"/>
      <c r="D197" s="292"/>
      <c r="E197" s="360"/>
      <c r="F197" s="360"/>
      <c r="G197" s="360"/>
      <c r="H197" s="91" t="s">
        <v>171</v>
      </c>
      <c r="I197" s="229">
        <v>1562428</v>
      </c>
      <c r="J197" s="229">
        <f>I197/D192</f>
        <v>232.6</v>
      </c>
      <c r="K197" s="229">
        <f>2241647/D192</f>
        <v>333.72</v>
      </c>
    </row>
    <row r="198" spans="1:11" s="71" customFormat="1" x14ac:dyDescent="0.25">
      <c r="A198" s="360"/>
      <c r="B198" s="360"/>
      <c r="C198" s="372"/>
      <c r="D198" s="292"/>
      <c r="E198" s="360"/>
      <c r="F198" s="360"/>
      <c r="G198" s="368"/>
      <c r="H198" s="91" t="s">
        <v>69</v>
      </c>
      <c r="I198" s="229">
        <v>0</v>
      </c>
      <c r="J198" s="229">
        <f>I198/D192</f>
        <v>0</v>
      </c>
      <c r="K198" s="229">
        <f>47971/D192</f>
        <v>7.14</v>
      </c>
    </row>
    <row r="199" spans="1:11" s="71" customFormat="1" ht="63" x14ac:dyDescent="0.25">
      <c r="A199" s="360"/>
      <c r="B199" s="360"/>
      <c r="C199" s="372"/>
      <c r="D199" s="292"/>
      <c r="E199" s="360"/>
      <c r="F199" s="360"/>
      <c r="G199" s="359" t="s">
        <v>174</v>
      </c>
      <c r="H199" s="91" t="s">
        <v>168</v>
      </c>
      <c r="I199" s="229">
        <v>29854.34</v>
      </c>
      <c r="J199" s="229">
        <f>I199/D192</f>
        <v>4.4400000000000004</v>
      </c>
      <c r="K199" s="229">
        <f>(22681+9600)/D192</f>
        <v>4.8099999999999996</v>
      </c>
    </row>
    <row r="200" spans="1:11" s="71" customFormat="1" x14ac:dyDescent="0.25">
      <c r="A200" s="360"/>
      <c r="B200" s="360"/>
      <c r="C200" s="372"/>
      <c r="D200" s="292"/>
      <c r="E200" s="360"/>
      <c r="F200" s="360"/>
      <c r="G200" s="360"/>
      <c r="H200" s="91" t="s">
        <v>171</v>
      </c>
      <c r="I200" s="229">
        <v>1562428</v>
      </c>
      <c r="J200" s="229">
        <f>I200/D192+0.01</f>
        <v>232.61</v>
      </c>
      <c r="K200" s="229">
        <f>2241647/D192</f>
        <v>333.72</v>
      </c>
    </row>
    <row r="201" spans="1:11" s="71" customFormat="1" x14ac:dyDescent="0.25">
      <c r="A201" s="360"/>
      <c r="B201" s="360"/>
      <c r="C201" s="372"/>
      <c r="D201" s="292"/>
      <c r="E201" s="360"/>
      <c r="F201" s="360"/>
      <c r="G201" s="368"/>
      <c r="H201" s="91" t="s">
        <v>69</v>
      </c>
      <c r="I201" s="229">
        <v>0</v>
      </c>
      <c r="J201" s="229">
        <f>I201/D192</f>
        <v>0</v>
      </c>
      <c r="K201" s="229">
        <f>47971/D192</f>
        <v>7.14</v>
      </c>
    </row>
    <row r="202" spans="1:11" s="71" customFormat="1" x14ac:dyDescent="0.25">
      <c r="A202" s="359">
        <f>A192+1</f>
        <v>25</v>
      </c>
      <c r="B202" s="359">
        <v>6330</v>
      </c>
      <c r="C202" s="371" t="s">
        <v>557</v>
      </c>
      <c r="D202" s="291">
        <v>10514.2</v>
      </c>
      <c r="E202" s="291" t="s">
        <v>64</v>
      </c>
      <c r="F202" s="366">
        <v>10</v>
      </c>
      <c r="G202" s="158"/>
      <c r="H202" s="91" t="s">
        <v>66</v>
      </c>
      <c r="I202" s="229">
        <f>SUM(I203:I204)</f>
        <v>54232.08</v>
      </c>
      <c r="J202" s="229">
        <f>SUM(J203:J204)</f>
        <v>5.16</v>
      </c>
      <c r="K202" s="229">
        <f>SUM(K203:K204)</f>
        <v>6.14</v>
      </c>
    </row>
    <row r="203" spans="1:11" s="71" customFormat="1" ht="63" x14ac:dyDescent="0.25">
      <c r="A203" s="360"/>
      <c r="B203" s="360"/>
      <c r="C203" s="372"/>
      <c r="D203" s="292"/>
      <c r="E203" s="292"/>
      <c r="F203" s="367"/>
      <c r="G203" s="147" t="s">
        <v>175</v>
      </c>
      <c r="H203" s="91" t="s">
        <v>168</v>
      </c>
      <c r="I203" s="229">
        <v>27116.04</v>
      </c>
      <c r="J203" s="229">
        <f>I203/D202</f>
        <v>2.58</v>
      </c>
      <c r="K203" s="229">
        <f>(22681+9600)/D202</f>
        <v>3.07</v>
      </c>
    </row>
    <row r="204" spans="1:11" s="71" customFormat="1" ht="63" x14ac:dyDescent="0.25">
      <c r="A204" s="360"/>
      <c r="B204" s="360"/>
      <c r="C204" s="372"/>
      <c r="D204" s="292"/>
      <c r="E204" s="292"/>
      <c r="F204" s="367"/>
      <c r="G204" s="147" t="s">
        <v>172</v>
      </c>
      <c r="H204" s="91" t="s">
        <v>168</v>
      </c>
      <c r="I204" s="229">
        <v>27116.04</v>
      </c>
      <c r="J204" s="229">
        <f>I204/D202</f>
        <v>2.58</v>
      </c>
      <c r="K204" s="229">
        <f>(22681+9600)/D202</f>
        <v>3.07</v>
      </c>
    </row>
    <row r="205" spans="1:11" s="71" customFormat="1" x14ac:dyDescent="0.25">
      <c r="A205" s="359">
        <f>A202+1</f>
        <v>26</v>
      </c>
      <c r="B205" s="359">
        <v>6364</v>
      </c>
      <c r="C205" s="371" t="s">
        <v>388</v>
      </c>
      <c r="D205" s="291">
        <v>2466.5</v>
      </c>
      <c r="E205" s="291" t="s">
        <v>68</v>
      </c>
      <c r="F205" s="366">
        <v>5</v>
      </c>
      <c r="G205" s="359" t="s">
        <v>65</v>
      </c>
      <c r="H205" s="91" t="s">
        <v>66</v>
      </c>
      <c r="I205" s="229">
        <f>I206+I207</f>
        <v>2628448.65</v>
      </c>
      <c r="J205" s="229">
        <f t="shared" ref="J205:K205" si="9">J206+J207</f>
        <v>1065.6600000000001</v>
      </c>
      <c r="K205" s="229">
        <f t="shared" si="9"/>
        <v>3966</v>
      </c>
    </row>
    <row r="206" spans="1:11" s="71" customFormat="1" ht="63" x14ac:dyDescent="0.25">
      <c r="A206" s="360"/>
      <c r="B206" s="360"/>
      <c r="C206" s="372"/>
      <c r="D206" s="292"/>
      <c r="E206" s="292"/>
      <c r="F206" s="367"/>
      <c r="G206" s="360"/>
      <c r="H206" s="91" t="s">
        <v>178</v>
      </c>
      <c r="I206" s="229">
        <v>170891.8</v>
      </c>
      <c r="J206" s="229">
        <f>I206/D205</f>
        <v>69.290000000000006</v>
      </c>
      <c r="K206" s="229">
        <f>151+18</f>
        <v>169</v>
      </c>
    </row>
    <row r="207" spans="1:11" s="71" customFormat="1" x14ac:dyDescent="0.25">
      <c r="A207" s="360"/>
      <c r="B207" s="360"/>
      <c r="C207" s="372"/>
      <c r="D207" s="292"/>
      <c r="E207" s="292"/>
      <c r="F207" s="367"/>
      <c r="G207" s="360"/>
      <c r="H207" s="91" t="s">
        <v>67</v>
      </c>
      <c r="I207" s="229">
        <f>8191856.16*0.3</f>
        <v>2457556.85</v>
      </c>
      <c r="J207" s="229">
        <f>I207/D205</f>
        <v>996.37</v>
      </c>
      <c r="K207" s="229">
        <v>3797</v>
      </c>
    </row>
    <row r="208" spans="1:11" s="71" customFormat="1" x14ac:dyDescent="0.25">
      <c r="A208" s="359">
        <f>A205+1</f>
        <v>27</v>
      </c>
      <c r="B208" s="359">
        <v>6373</v>
      </c>
      <c r="C208" s="371" t="s">
        <v>558</v>
      </c>
      <c r="D208" s="291">
        <v>8155.3</v>
      </c>
      <c r="E208" s="291" t="s">
        <v>64</v>
      </c>
      <c r="F208" s="366">
        <v>10</v>
      </c>
      <c r="G208" s="158"/>
      <c r="H208" s="91" t="s">
        <v>66</v>
      </c>
      <c r="I208" s="229">
        <f>SUM(I209:I212)</f>
        <v>108464.16</v>
      </c>
      <c r="J208" s="229">
        <f>SUM(J209:J212)</f>
        <v>13.3</v>
      </c>
      <c r="K208" s="229">
        <f>SUM(K209:K212)</f>
        <v>15.83</v>
      </c>
    </row>
    <row r="209" spans="1:11" s="71" customFormat="1" ht="63" x14ac:dyDescent="0.25">
      <c r="A209" s="360"/>
      <c r="B209" s="360"/>
      <c r="C209" s="372"/>
      <c r="D209" s="292"/>
      <c r="E209" s="292"/>
      <c r="F209" s="367"/>
      <c r="G209" s="147" t="s">
        <v>170</v>
      </c>
      <c r="H209" s="91" t="s">
        <v>168</v>
      </c>
      <c r="I209" s="229">
        <v>27116.04</v>
      </c>
      <c r="J209" s="229">
        <f>I209/D208+0.01</f>
        <v>3.33</v>
      </c>
      <c r="K209" s="229">
        <f>(22681+9600)/D208-0.01</f>
        <v>3.95</v>
      </c>
    </row>
    <row r="210" spans="1:11" s="71" customFormat="1" ht="63" x14ac:dyDescent="0.25">
      <c r="A210" s="360"/>
      <c r="B210" s="360"/>
      <c r="C210" s="372"/>
      <c r="D210" s="292"/>
      <c r="E210" s="292"/>
      <c r="F210" s="367"/>
      <c r="G210" s="147" t="s">
        <v>173</v>
      </c>
      <c r="H210" s="91" t="s">
        <v>168</v>
      </c>
      <c r="I210" s="229">
        <v>27116.04</v>
      </c>
      <c r="J210" s="229">
        <f>I210/D208</f>
        <v>3.32</v>
      </c>
      <c r="K210" s="229">
        <f>(22681+9600)/D208</f>
        <v>3.96</v>
      </c>
    </row>
    <row r="211" spans="1:11" s="71" customFormat="1" ht="63" x14ac:dyDescent="0.25">
      <c r="A211" s="360"/>
      <c r="B211" s="360"/>
      <c r="C211" s="372"/>
      <c r="D211" s="292"/>
      <c r="E211" s="292"/>
      <c r="F211" s="367"/>
      <c r="G211" s="147" t="s">
        <v>174</v>
      </c>
      <c r="H211" s="91" t="s">
        <v>168</v>
      </c>
      <c r="I211" s="229">
        <v>27116.04</v>
      </c>
      <c r="J211" s="229">
        <f>I211/D208+0.01</f>
        <v>3.33</v>
      </c>
      <c r="K211" s="229">
        <f>(22681+9600)/D208</f>
        <v>3.96</v>
      </c>
    </row>
    <row r="212" spans="1:11" s="71" customFormat="1" ht="63" x14ac:dyDescent="0.25">
      <c r="A212" s="360"/>
      <c r="B212" s="360"/>
      <c r="C212" s="372"/>
      <c r="D212" s="292"/>
      <c r="E212" s="292"/>
      <c r="F212" s="367"/>
      <c r="G212" s="147" t="s">
        <v>175</v>
      </c>
      <c r="H212" s="91" t="s">
        <v>168</v>
      </c>
      <c r="I212" s="229">
        <v>27116.04</v>
      </c>
      <c r="J212" s="229">
        <f>I212/D208</f>
        <v>3.32</v>
      </c>
      <c r="K212" s="229">
        <f>(22681+9600)/D208</f>
        <v>3.96</v>
      </c>
    </row>
    <row r="213" spans="1:11" s="71" customFormat="1" x14ac:dyDescent="0.25">
      <c r="A213" s="359">
        <f>A205+1</f>
        <v>27</v>
      </c>
      <c r="B213" s="359">
        <v>6374</v>
      </c>
      <c r="C213" s="371" t="s">
        <v>470</v>
      </c>
      <c r="D213" s="291">
        <v>9480</v>
      </c>
      <c r="E213" s="359" t="s">
        <v>64</v>
      </c>
      <c r="F213" s="359">
        <v>10</v>
      </c>
      <c r="G213" s="158"/>
      <c r="H213" s="91" t="s">
        <v>66</v>
      </c>
      <c r="I213" s="229">
        <f>SUM(I214:I223)</f>
        <v>3463850.81</v>
      </c>
      <c r="J213" s="229">
        <f>SUM(J214:J223)</f>
        <v>365.39</v>
      </c>
      <c r="K213" s="229">
        <f>SUM(K214:K223)</f>
        <v>1199.33</v>
      </c>
    </row>
    <row r="214" spans="1:11" s="71" customFormat="1" ht="63" x14ac:dyDescent="0.25">
      <c r="A214" s="360"/>
      <c r="B214" s="360"/>
      <c r="C214" s="372"/>
      <c r="D214" s="292"/>
      <c r="E214" s="360"/>
      <c r="F214" s="360"/>
      <c r="G214" s="359" t="s">
        <v>170</v>
      </c>
      <c r="H214" s="91" t="s">
        <v>168</v>
      </c>
      <c r="I214" s="229">
        <v>27001</v>
      </c>
      <c r="J214" s="229">
        <f>I214/D213</f>
        <v>2.85</v>
      </c>
      <c r="K214" s="229">
        <f>(22681+9600)/D213</f>
        <v>3.41</v>
      </c>
    </row>
    <row r="215" spans="1:11" s="71" customFormat="1" x14ac:dyDescent="0.25">
      <c r="A215" s="360"/>
      <c r="B215" s="360"/>
      <c r="C215" s="372"/>
      <c r="D215" s="292"/>
      <c r="E215" s="360"/>
      <c r="F215" s="360"/>
      <c r="G215" s="360"/>
      <c r="H215" s="91" t="s">
        <v>171</v>
      </c>
      <c r="I215" s="229">
        <v>665769.16</v>
      </c>
      <c r="J215" s="229">
        <f>I215/D213</f>
        <v>70.23</v>
      </c>
      <c r="K215" s="229">
        <f>2241647/D213-0.01</f>
        <v>236.45</v>
      </c>
    </row>
    <row r="216" spans="1:11" s="71" customFormat="1" ht="63" x14ac:dyDescent="0.25">
      <c r="A216" s="360"/>
      <c r="B216" s="360"/>
      <c r="C216" s="372"/>
      <c r="D216" s="292"/>
      <c r="E216" s="360"/>
      <c r="F216" s="360"/>
      <c r="G216" s="359" t="s">
        <v>173</v>
      </c>
      <c r="H216" s="91" t="s">
        <v>168</v>
      </c>
      <c r="I216" s="229">
        <v>27001</v>
      </c>
      <c r="J216" s="229">
        <f>I216/D213</f>
        <v>2.85</v>
      </c>
      <c r="K216" s="229">
        <f>(22681+9600)/D213</f>
        <v>3.41</v>
      </c>
    </row>
    <row r="217" spans="1:11" s="71" customFormat="1" x14ac:dyDescent="0.25">
      <c r="A217" s="360"/>
      <c r="B217" s="360"/>
      <c r="C217" s="372"/>
      <c r="D217" s="292"/>
      <c r="E217" s="360"/>
      <c r="F217" s="360"/>
      <c r="G217" s="360"/>
      <c r="H217" s="91" t="s">
        <v>171</v>
      </c>
      <c r="I217" s="229">
        <v>665769.16</v>
      </c>
      <c r="J217" s="229">
        <f>I217/D213</f>
        <v>70.23</v>
      </c>
      <c r="K217" s="229">
        <f>2241647/D213-0.01</f>
        <v>236.45</v>
      </c>
    </row>
    <row r="218" spans="1:11" s="71" customFormat="1" ht="63" x14ac:dyDescent="0.25">
      <c r="A218" s="360"/>
      <c r="B218" s="360"/>
      <c r="C218" s="372"/>
      <c r="D218" s="292"/>
      <c r="E218" s="360"/>
      <c r="F218" s="360"/>
      <c r="G218" s="359" t="s">
        <v>174</v>
      </c>
      <c r="H218" s="91" t="s">
        <v>168</v>
      </c>
      <c r="I218" s="229">
        <v>27001</v>
      </c>
      <c r="J218" s="229">
        <f>I218/D213</f>
        <v>2.85</v>
      </c>
      <c r="K218" s="229">
        <f>(22681+9600)/D213</f>
        <v>3.41</v>
      </c>
    </row>
    <row r="219" spans="1:11" s="71" customFormat="1" x14ac:dyDescent="0.25">
      <c r="A219" s="360"/>
      <c r="B219" s="360"/>
      <c r="C219" s="372"/>
      <c r="D219" s="292"/>
      <c r="E219" s="360"/>
      <c r="F219" s="360"/>
      <c r="G219" s="360"/>
      <c r="H219" s="91" t="s">
        <v>171</v>
      </c>
      <c r="I219" s="229">
        <v>665769.16</v>
      </c>
      <c r="J219" s="229">
        <f>I219/D213-0.01</f>
        <v>70.22</v>
      </c>
      <c r="K219" s="229">
        <f>2241647/D213</f>
        <v>236.46</v>
      </c>
    </row>
    <row r="220" spans="1:11" s="71" customFormat="1" ht="63" x14ac:dyDescent="0.25">
      <c r="A220" s="360"/>
      <c r="B220" s="360"/>
      <c r="C220" s="372"/>
      <c r="D220" s="292"/>
      <c r="E220" s="360"/>
      <c r="F220" s="360"/>
      <c r="G220" s="359" t="s">
        <v>175</v>
      </c>
      <c r="H220" s="91" t="s">
        <v>168</v>
      </c>
      <c r="I220" s="229">
        <v>27001</v>
      </c>
      <c r="J220" s="229">
        <f>I220/D213</f>
        <v>2.85</v>
      </c>
      <c r="K220" s="229">
        <f>(22681+9600)/D213</f>
        <v>3.41</v>
      </c>
    </row>
    <row r="221" spans="1:11" s="71" customFormat="1" x14ac:dyDescent="0.25">
      <c r="A221" s="360"/>
      <c r="B221" s="360"/>
      <c r="C221" s="372"/>
      <c r="D221" s="292"/>
      <c r="E221" s="360"/>
      <c r="F221" s="360"/>
      <c r="G221" s="360"/>
      <c r="H221" s="91" t="s">
        <v>171</v>
      </c>
      <c r="I221" s="229">
        <v>665769.16</v>
      </c>
      <c r="J221" s="229">
        <f>I221/D213</f>
        <v>70.23</v>
      </c>
      <c r="K221" s="229">
        <f>2241647/D213</f>
        <v>236.46</v>
      </c>
    </row>
    <row r="222" spans="1:11" s="71" customFormat="1" ht="63" x14ac:dyDescent="0.25">
      <c r="A222" s="360"/>
      <c r="B222" s="360"/>
      <c r="C222" s="372"/>
      <c r="D222" s="292"/>
      <c r="E222" s="360"/>
      <c r="F222" s="360"/>
      <c r="G222" s="359" t="s">
        <v>172</v>
      </c>
      <c r="H222" s="91" t="s">
        <v>168</v>
      </c>
      <c r="I222" s="229">
        <v>27001</v>
      </c>
      <c r="J222" s="229">
        <f>I222/D213</f>
        <v>2.85</v>
      </c>
      <c r="K222" s="229">
        <f>(22681+9600)/D213</f>
        <v>3.41</v>
      </c>
    </row>
    <row r="223" spans="1:11" s="71" customFormat="1" x14ac:dyDescent="0.25">
      <c r="A223" s="360"/>
      <c r="B223" s="360"/>
      <c r="C223" s="372"/>
      <c r="D223" s="292"/>
      <c r="E223" s="360"/>
      <c r="F223" s="360"/>
      <c r="G223" s="360"/>
      <c r="H223" s="91" t="s">
        <v>171</v>
      </c>
      <c r="I223" s="229">
        <v>665769.17000000004</v>
      </c>
      <c r="J223" s="229">
        <f>I223/D213</f>
        <v>70.23</v>
      </c>
      <c r="K223" s="229">
        <f>2241647/D213</f>
        <v>236.46</v>
      </c>
    </row>
    <row r="224" spans="1:11" s="71" customFormat="1" x14ac:dyDescent="0.25">
      <c r="A224" s="359">
        <f>A213+1</f>
        <v>28</v>
      </c>
      <c r="B224" s="359">
        <v>6387</v>
      </c>
      <c r="C224" s="371" t="s">
        <v>471</v>
      </c>
      <c r="D224" s="291">
        <v>880</v>
      </c>
      <c r="E224" s="291" t="s">
        <v>167</v>
      </c>
      <c r="F224" s="366">
        <v>2</v>
      </c>
      <c r="G224" s="359" t="s">
        <v>65</v>
      </c>
      <c r="H224" s="91" t="s">
        <v>66</v>
      </c>
      <c r="I224" s="229">
        <f>I225+I226</f>
        <v>1610218</v>
      </c>
      <c r="J224" s="229">
        <f>J225+J226</f>
        <v>1829.79</v>
      </c>
      <c r="K224" s="229">
        <f>K225+K226</f>
        <v>7787</v>
      </c>
    </row>
    <row r="225" spans="1:11" s="71" customFormat="1" ht="63" x14ac:dyDescent="0.25">
      <c r="A225" s="360"/>
      <c r="B225" s="360"/>
      <c r="C225" s="372"/>
      <c r="D225" s="292"/>
      <c r="E225" s="292"/>
      <c r="F225" s="367"/>
      <c r="G225" s="360"/>
      <c r="H225" s="91" t="s">
        <v>178</v>
      </c>
      <c r="I225" s="229">
        <v>159760</v>
      </c>
      <c r="J225" s="229">
        <f>I225/D224</f>
        <v>181.55</v>
      </c>
      <c r="K225" s="229">
        <f>164+96</f>
        <v>260</v>
      </c>
    </row>
    <row r="226" spans="1:11" s="71" customFormat="1" x14ac:dyDescent="0.25">
      <c r="A226" s="360"/>
      <c r="B226" s="360"/>
      <c r="C226" s="372"/>
      <c r="D226" s="292"/>
      <c r="E226" s="292"/>
      <c r="F226" s="367"/>
      <c r="G226" s="360"/>
      <c r="H226" s="91" t="s">
        <v>67</v>
      </c>
      <c r="I226" s="229">
        <f>4834860*0.3</f>
        <v>1450458</v>
      </c>
      <c r="J226" s="229">
        <f>I226/D224-0.01</f>
        <v>1648.24</v>
      </c>
      <c r="K226" s="229">
        <v>7527</v>
      </c>
    </row>
    <row r="227" spans="1:11" s="71" customFormat="1" x14ac:dyDescent="0.25">
      <c r="A227" s="359">
        <f>A224+1</f>
        <v>29</v>
      </c>
      <c r="B227" s="359">
        <v>6407</v>
      </c>
      <c r="C227" s="371" t="s">
        <v>184</v>
      </c>
      <c r="D227" s="291">
        <v>2722</v>
      </c>
      <c r="E227" s="291" t="s">
        <v>64</v>
      </c>
      <c r="F227" s="366">
        <v>5</v>
      </c>
      <c r="G227" s="359" t="s">
        <v>65</v>
      </c>
      <c r="H227" s="91" t="s">
        <v>66</v>
      </c>
      <c r="I227" s="229">
        <f>I228+I229</f>
        <v>8106371.8300000001</v>
      </c>
      <c r="J227" s="229">
        <f>J228+J229</f>
        <v>2978.09</v>
      </c>
      <c r="K227" s="229">
        <f>K228+K229</f>
        <v>3878</v>
      </c>
    </row>
    <row r="228" spans="1:11" s="71" customFormat="1" x14ac:dyDescent="0.25">
      <c r="A228" s="360"/>
      <c r="B228" s="360"/>
      <c r="C228" s="372"/>
      <c r="D228" s="292"/>
      <c r="E228" s="292"/>
      <c r="F228" s="367"/>
      <c r="G228" s="360"/>
      <c r="H228" s="91" t="s">
        <v>67</v>
      </c>
      <c r="I228" s="229">
        <v>8106371.8300000001</v>
      </c>
      <c r="J228" s="229">
        <f>I228/D227</f>
        <v>2978.09</v>
      </c>
      <c r="K228" s="229">
        <v>3797</v>
      </c>
    </row>
    <row r="229" spans="1:11" s="71" customFormat="1" x14ac:dyDescent="0.25">
      <c r="A229" s="368"/>
      <c r="B229" s="368"/>
      <c r="C229" s="396"/>
      <c r="D229" s="293"/>
      <c r="E229" s="293"/>
      <c r="F229" s="383"/>
      <c r="G229" s="368"/>
      <c r="H229" s="91" t="s">
        <v>69</v>
      </c>
      <c r="I229" s="229">
        <v>0</v>
      </c>
      <c r="J229" s="229">
        <f>I229/D227</f>
        <v>0</v>
      </c>
      <c r="K229" s="229">
        <v>81</v>
      </c>
    </row>
    <row r="230" spans="1:11" s="71" customFormat="1" x14ac:dyDescent="0.25">
      <c r="A230" s="359">
        <f>A227+1</f>
        <v>30</v>
      </c>
      <c r="B230" s="359">
        <v>6408</v>
      </c>
      <c r="C230" s="371" t="s">
        <v>559</v>
      </c>
      <c r="D230" s="291">
        <v>3930.3</v>
      </c>
      <c r="E230" s="291" t="s">
        <v>68</v>
      </c>
      <c r="F230" s="366">
        <v>12</v>
      </c>
      <c r="G230" s="27"/>
      <c r="H230" s="91" t="s">
        <v>66</v>
      </c>
      <c r="I230" s="229">
        <f>SUM(I231:I232)</f>
        <v>62882</v>
      </c>
      <c r="J230" s="229">
        <f>SUM(J231:J232)</f>
        <v>16</v>
      </c>
      <c r="K230" s="229">
        <f>SUM(K231:K232)</f>
        <v>16.420000000000002</v>
      </c>
    </row>
    <row r="231" spans="1:11" s="71" customFormat="1" ht="63" x14ac:dyDescent="0.25">
      <c r="A231" s="360"/>
      <c r="B231" s="360"/>
      <c r="C231" s="372"/>
      <c r="D231" s="292"/>
      <c r="E231" s="292"/>
      <c r="F231" s="367"/>
      <c r="G231" s="146" t="s">
        <v>170</v>
      </c>
      <c r="H231" s="91" t="s">
        <v>168</v>
      </c>
      <c r="I231" s="229">
        <v>31441</v>
      </c>
      <c r="J231" s="229">
        <f>I231/D230</f>
        <v>8</v>
      </c>
      <c r="K231" s="229">
        <f>(22681+9600)/D230</f>
        <v>8.2100000000000009</v>
      </c>
    </row>
    <row r="232" spans="1:11" s="71" customFormat="1" ht="63" x14ac:dyDescent="0.25">
      <c r="A232" s="360"/>
      <c r="B232" s="360"/>
      <c r="C232" s="372"/>
      <c r="D232" s="292"/>
      <c r="E232" s="292"/>
      <c r="F232" s="367"/>
      <c r="G232" s="146" t="s">
        <v>170</v>
      </c>
      <c r="H232" s="91" t="s">
        <v>168</v>
      </c>
      <c r="I232" s="229">
        <v>31441</v>
      </c>
      <c r="J232" s="229">
        <f>I232/D230</f>
        <v>8</v>
      </c>
      <c r="K232" s="229">
        <f>(22681+9600)/D230</f>
        <v>8.2100000000000009</v>
      </c>
    </row>
    <row r="233" spans="1:11" s="71" customFormat="1" x14ac:dyDescent="0.25">
      <c r="A233" s="359">
        <f>A230+1</f>
        <v>31</v>
      </c>
      <c r="B233" s="359">
        <v>6413</v>
      </c>
      <c r="C233" s="371" t="s">
        <v>185</v>
      </c>
      <c r="D233" s="291">
        <v>8338.86</v>
      </c>
      <c r="E233" s="291" t="s">
        <v>64</v>
      </c>
      <c r="F233" s="366">
        <v>5</v>
      </c>
      <c r="G233" s="359" t="s">
        <v>65</v>
      </c>
      <c r="H233" s="91" t="s">
        <v>66</v>
      </c>
      <c r="I233" s="229">
        <f>I234+I235</f>
        <v>23261796.940000001</v>
      </c>
      <c r="J233" s="229">
        <f>J234+J235</f>
        <v>2789.57</v>
      </c>
      <c r="K233" s="229">
        <f>K234+K235</f>
        <v>3878</v>
      </c>
    </row>
    <row r="234" spans="1:11" s="71" customFormat="1" x14ac:dyDescent="0.25">
      <c r="A234" s="360"/>
      <c r="B234" s="360"/>
      <c r="C234" s="372"/>
      <c r="D234" s="292"/>
      <c r="E234" s="292"/>
      <c r="F234" s="367"/>
      <c r="G234" s="360"/>
      <c r="H234" s="91" t="s">
        <v>67</v>
      </c>
      <c r="I234" s="229">
        <v>23261796.940000001</v>
      </c>
      <c r="J234" s="229">
        <f>I234/D233</f>
        <v>2789.57</v>
      </c>
      <c r="K234" s="229">
        <v>3797</v>
      </c>
    </row>
    <row r="235" spans="1:11" s="71" customFormat="1" x14ac:dyDescent="0.25">
      <c r="A235" s="368"/>
      <c r="B235" s="368"/>
      <c r="C235" s="396"/>
      <c r="D235" s="293"/>
      <c r="E235" s="293"/>
      <c r="F235" s="383"/>
      <c r="G235" s="368"/>
      <c r="H235" s="91" t="s">
        <v>69</v>
      </c>
      <c r="I235" s="229">
        <v>0</v>
      </c>
      <c r="J235" s="229">
        <f>I235/D233</f>
        <v>0</v>
      </c>
      <c r="K235" s="229">
        <v>81</v>
      </c>
    </row>
    <row r="236" spans="1:11" s="71" customFormat="1" x14ac:dyDescent="0.25">
      <c r="A236" s="359">
        <f>A233+1</f>
        <v>32</v>
      </c>
      <c r="B236" s="359">
        <v>8214</v>
      </c>
      <c r="C236" s="371" t="s">
        <v>258</v>
      </c>
      <c r="D236" s="291">
        <v>7976.7</v>
      </c>
      <c r="E236" s="359" t="s">
        <v>68</v>
      </c>
      <c r="F236" s="359">
        <v>5</v>
      </c>
      <c r="G236" s="359" t="s">
        <v>65</v>
      </c>
      <c r="H236" s="91" t="s">
        <v>66</v>
      </c>
      <c r="I236" s="229">
        <f>I237+I238</f>
        <v>4786703</v>
      </c>
      <c r="J236" s="229">
        <f t="shared" ref="J236:K236" si="10">J237+J238</f>
        <v>600.09</v>
      </c>
      <c r="K236" s="229">
        <f t="shared" si="10"/>
        <v>3878</v>
      </c>
    </row>
    <row r="237" spans="1:11" s="71" customFormat="1" x14ac:dyDescent="0.25">
      <c r="A237" s="360"/>
      <c r="B237" s="360"/>
      <c r="C237" s="372"/>
      <c r="D237" s="292"/>
      <c r="E237" s="360"/>
      <c r="F237" s="360"/>
      <c r="G237" s="360"/>
      <c r="H237" s="91" t="s">
        <v>67</v>
      </c>
      <c r="I237" s="229">
        <v>4786703</v>
      </c>
      <c r="J237" s="229">
        <f>I237/D236</f>
        <v>600.09</v>
      </c>
      <c r="K237" s="229">
        <v>3797</v>
      </c>
    </row>
    <row r="238" spans="1:11" s="71" customFormat="1" x14ac:dyDescent="0.25">
      <c r="A238" s="368"/>
      <c r="B238" s="368"/>
      <c r="C238" s="396"/>
      <c r="D238" s="293"/>
      <c r="E238" s="368"/>
      <c r="F238" s="368"/>
      <c r="G238" s="368"/>
      <c r="H238" s="91" t="s">
        <v>69</v>
      </c>
      <c r="I238" s="229">
        <v>0</v>
      </c>
      <c r="J238" s="229">
        <f>I238/D236</f>
        <v>0</v>
      </c>
      <c r="K238" s="229">
        <v>81</v>
      </c>
    </row>
    <row r="239" spans="1:11" s="71" customFormat="1" x14ac:dyDescent="0.25">
      <c r="A239" s="359">
        <f>A236+1</f>
        <v>33</v>
      </c>
      <c r="B239" s="359">
        <v>6480</v>
      </c>
      <c r="C239" s="371" t="s">
        <v>118</v>
      </c>
      <c r="D239" s="291">
        <v>402.4</v>
      </c>
      <c r="E239" s="291" t="s">
        <v>167</v>
      </c>
      <c r="F239" s="366">
        <v>2</v>
      </c>
      <c r="G239" s="27"/>
      <c r="H239" s="91" t="s">
        <v>66</v>
      </c>
      <c r="I239" s="229">
        <f>I240+I241+I242+I243</f>
        <v>2711787.73</v>
      </c>
      <c r="J239" s="229">
        <f>J240+J241+J242+J243</f>
        <v>6739.04</v>
      </c>
      <c r="K239" s="229">
        <f>K240+K241+K242+K243</f>
        <v>12034</v>
      </c>
    </row>
    <row r="240" spans="1:11" s="71" customFormat="1" x14ac:dyDescent="0.25">
      <c r="A240" s="360"/>
      <c r="B240" s="360"/>
      <c r="C240" s="372"/>
      <c r="D240" s="292"/>
      <c r="E240" s="292"/>
      <c r="F240" s="367"/>
      <c r="G240" s="376" t="s">
        <v>65</v>
      </c>
      <c r="H240" s="91" t="s">
        <v>67</v>
      </c>
      <c r="I240" s="229">
        <v>1747885.86</v>
      </c>
      <c r="J240" s="229">
        <f>I240/D239+0.01</f>
        <v>4343.66</v>
      </c>
      <c r="K240" s="229">
        <v>7527</v>
      </c>
    </row>
    <row r="241" spans="1:11" s="71" customFormat="1" x14ac:dyDescent="0.25">
      <c r="A241" s="360"/>
      <c r="B241" s="360"/>
      <c r="C241" s="372"/>
      <c r="D241" s="292"/>
      <c r="E241" s="292"/>
      <c r="F241" s="367"/>
      <c r="G241" s="376"/>
      <c r="H241" s="91" t="s">
        <v>69</v>
      </c>
      <c r="I241" s="229">
        <v>0</v>
      </c>
      <c r="J241" s="229">
        <f>I241/D239</f>
        <v>0</v>
      </c>
      <c r="K241" s="229">
        <v>161</v>
      </c>
    </row>
    <row r="242" spans="1:11" s="71" customFormat="1" x14ac:dyDescent="0.25">
      <c r="A242" s="360"/>
      <c r="B242" s="360"/>
      <c r="C242" s="372"/>
      <c r="D242" s="292"/>
      <c r="E242" s="292"/>
      <c r="F242" s="367"/>
      <c r="G242" s="376" t="s">
        <v>79</v>
      </c>
      <c r="H242" s="91" t="s">
        <v>67</v>
      </c>
      <c r="I242" s="229">
        <v>963901.87</v>
      </c>
      <c r="J242" s="229">
        <f>I242/D239</f>
        <v>2395.38</v>
      </c>
      <c r="K242" s="229">
        <v>4255</v>
      </c>
    </row>
    <row r="243" spans="1:11" s="71" customFormat="1" x14ac:dyDescent="0.25">
      <c r="A243" s="368"/>
      <c r="B243" s="368"/>
      <c r="C243" s="396"/>
      <c r="D243" s="293"/>
      <c r="E243" s="293"/>
      <c r="F243" s="383"/>
      <c r="G243" s="376"/>
      <c r="H243" s="91" t="s">
        <v>69</v>
      </c>
      <c r="I243" s="229">
        <v>0</v>
      </c>
      <c r="J243" s="229">
        <f>I243/D239</f>
        <v>0</v>
      </c>
      <c r="K243" s="229">
        <v>91</v>
      </c>
    </row>
    <row r="244" spans="1:11" s="71" customFormat="1" x14ac:dyDescent="0.25">
      <c r="A244" s="359">
        <f>A239+1</f>
        <v>34</v>
      </c>
      <c r="B244" s="359">
        <v>6490</v>
      </c>
      <c r="C244" s="371" t="s">
        <v>166</v>
      </c>
      <c r="D244" s="291">
        <v>3518.3</v>
      </c>
      <c r="E244" s="291" t="s">
        <v>64</v>
      </c>
      <c r="F244" s="366">
        <v>5</v>
      </c>
      <c r="G244" s="359" t="s">
        <v>65</v>
      </c>
      <c r="H244" s="91" t="s">
        <v>66</v>
      </c>
      <c r="I244" s="229">
        <f>I245+I246</f>
        <v>9584212</v>
      </c>
      <c r="J244" s="229">
        <f>J245+J246</f>
        <v>2724.1</v>
      </c>
      <c r="K244" s="229">
        <f>K245+K246</f>
        <v>3878</v>
      </c>
    </row>
    <row r="245" spans="1:11" s="71" customFormat="1" x14ac:dyDescent="0.25">
      <c r="A245" s="360"/>
      <c r="B245" s="360"/>
      <c r="C245" s="372"/>
      <c r="D245" s="292"/>
      <c r="E245" s="292"/>
      <c r="F245" s="367"/>
      <c r="G245" s="360"/>
      <c r="H245" s="91" t="s">
        <v>67</v>
      </c>
      <c r="I245" s="229">
        <v>9584212</v>
      </c>
      <c r="J245" s="229">
        <f>I245/D244</f>
        <v>2724.1</v>
      </c>
      <c r="K245" s="229">
        <v>3797</v>
      </c>
    </row>
    <row r="246" spans="1:11" s="71" customFormat="1" x14ac:dyDescent="0.25">
      <c r="A246" s="368"/>
      <c r="B246" s="368"/>
      <c r="C246" s="396"/>
      <c r="D246" s="293"/>
      <c r="E246" s="293"/>
      <c r="F246" s="383"/>
      <c r="G246" s="368"/>
      <c r="H246" s="91" t="s">
        <v>69</v>
      </c>
      <c r="I246" s="229">
        <v>0</v>
      </c>
      <c r="J246" s="229">
        <f>I246/D244</f>
        <v>0</v>
      </c>
      <c r="K246" s="229">
        <v>81</v>
      </c>
    </row>
    <row r="247" spans="1:11" s="71" customFormat="1" x14ac:dyDescent="0.25">
      <c r="A247" s="359">
        <f>A244+1</f>
        <v>35</v>
      </c>
      <c r="B247" s="366">
        <v>6550</v>
      </c>
      <c r="C247" s="430" t="s">
        <v>472</v>
      </c>
      <c r="D247" s="291">
        <v>485.6</v>
      </c>
      <c r="E247" s="366" t="s">
        <v>167</v>
      </c>
      <c r="F247" s="366">
        <v>2</v>
      </c>
      <c r="G247" s="359" t="s">
        <v>473</v>
      </c>
      <c r="H247" s="91" t="s">
        <v>66</v>
      </c>
      <c r="I247" s="229">
        <f>I248+I249</f>
        <v>958673.6</v>
      </c>
      <c r="J247" s="229">
        <f>J248+J249</f>
        <v>1974.2</v>
      </c>
      <c r="K247" s="229">
        <f>K248+K249</f>
        <v>5668</v>
      </c>
    </row>
    <row r="248" spans="1:11" s="71" customFormat="1" x14ac:dyDescent="0.25">
      <c r="A248" s="360"/>
      <c r="B248" s="367"/>
      <c r="C248" s="431"/>
      <c r="D248" s="292"/>
      <c r="E248" s="367"/>
      <c r="F248" s="367"/>
      <c r="G248" s="360"/>
      <c r="H248" s="91" t="s">
        <v>169</v>
      </c>
      <c r="I248" s="229">
        <v>958673.6</v>
      </c>
      <c r="J248" s="229">
        <f>I248/D247</f>
        <v>1974.2</v>
      </c>
      <c r="K248" s="229">
        <v>5549</v>
      </c>
    </row>
    <row r="249" spans="1:11" s="71" customFormat="1" x14ac:dyDescent="0.25">
      <c r="A249" s="368"/>
      <c r="B249" s="383"/>
      <c r="C249" s="432"/>
      <c r="D249" s="293"/>
      <c r="E249" s="383"/>
      <c r="F249" s="383"/>
      <c r="G249" s="368"/>
      <c r="H249" s="91" t="s">
        <v>69</v>
      </c>
      <c r="I249" s="229">
        <v>0</v>
      </c>
      <c r="J249" s="229">
        <v>0</v>
      </c>
      <c r="K249" s="229">
        <v>119</v>
      </c>
    </row>
    <row r="250" spans="1:11" s="71" customFormat="1" x14ac:dyDescent="0.25">
      <c r="A250" s="359">
        <f>A247+1</f>
        <v>36</v>
      </c>
      <c r="B250" s="359">
        <v>6510</v>
      </c>
      <c r="C250" s="371" t="s">
        <v>389</v>
      </c>
      <c r="D250" s="291">
        <v>461.9</v>
      </c>
      <c r="E250" s="366" t="s">
        <v>167</v>
      </c>
      <c r="F250" s="366">
        <v>2</v>
      </c>
      <c r="G250" s="27"/>
      <c r="H250" s="91" t="s">
        <v>66</v>
      </c>
      <c r="I250" s="229">
        <f>SUM(I251:I254)</f>
        <v>282861.38</v>
      </c>
      <c r="J250" s="229">
        <f>SUM(J251:J254)</f>
        <v>612.39</v>
      </c>
      <c r="K250" s="229">
        <f>SUM(K251:K254)</f>
        <v>3603</v>
      </c>
    </row>
    <row r="251" spans="1:11" s="71" customFormat="1" ht="63" x14ac:dyDescent="0.25">
      <c r="A251" s="360"/>
      <c r="B251" s="360"/>
      <c r="C251" s="372"/>
      <c r="D251" s="292"/>
      <c r="E251" s="367"/>
      <c r="F251" s="367"/>
      <c r="G251" s="359" t="s">
        <v>70</v>
      </c>
      <c r="H251" s="91" t="s">
        <v>168</v>
      </c>
      <c r="I251" s="229">
        <v>57512.4</v>
      </c>
      <c r="J251" s="229">
        <f>I251/D250</f>
        <v>124.51</v>
      </c>
      <c r="K251" s="229">
        <f>116+21</f>
        <v>137</v>
      </c>
    </row>
    <row r="252" spans="1:11" s="71" customFormat="1" x14ac:dyDescent="0.25">
      <c r="A252" s="360"/>
      <c r="B252" s="360"/>
      <c r="C252" s="372"/>
      <c r="D252" s="292"/>
      <c r="E252" s="367"/>
      <c r="F252" s="367"/>
      <c r="G252" s="360"/>
      <c r="H252" s="91" t="s">
        <v>169</v>
      </c>
      <c r="I252" s="229">
        <v>187848.88</v>
      </c>
      <c r="J252" s="229">
        <f>I252/D250</f>
        <v>406.69</v>
      </c>
      <c r="K252" s="229">
        <v>2911</v>
      </c>
    </row>
    <row r="253" spans="1:11" s="71" customFormat="1" ht="63" x14ac:dyDescent="0.25">
      <c r="A253" s="360"/>
      <c r="B253" s="360"/>
      <c r="C253" s="372"/>
      <c r="D253" s="292"/>
      <c r="E253" s="367"/>
      <c r="F253" s="367"/>
      <c r="G253" s="359" t="s">
        <v>71</v>
      </c>
      <c r="H253" s="91" t="s">
        <v>168</v>
      </c>
      <c r="I253" s="229">
        <v>15259.9</v>
      </c>
      <c r="J253" s="229">
        <f>I253/D250</f>
        <v>33.04</v>
      </c>
      <c r="K253" s="229">
        <f>21+21</f>
        <v>42</v>
      </c>
    </row>
    <row r="254" spans="1:11" s="71" customFormat="1" x14ac:dyDescent="0.25">
      <c r="A254" s="360"/>
      <c r="B254" s="360"/>
      <c r="C254" s="372"/>
      <c r="D254" s="292"/>
      <c r="E254" s="367"/>
      <c r="F254" s="367"/>
      <c r="G254" s="360"/>
      <c r="H254" s="91" t="s">
        <v>169</v>
      </c>
      <c r="I254" s="229">
        <v>22240.2</v>
      </c>
      <c r="J254" s="229">
        <f>I254/D250</f>
        <v>48.15</v>
      </c>
      <c r="K254" s="229">
        <v>513</v>
      </c>
    </row>
    <row r="255" spans="1:11" x14ac:dyDescent="0.25">
      <c r="A255" s="81" t="s">
        <v>41</v>
      </c>
      <c r="B255" s="216"/>
      <c r="C255" s="81"/>
      <c r="D255" s="80">
        <f>D256+D265+D274+D276+D281+D290+D293+D295+D299+D303+D306+D309+D312+D325</f>
        <v>66514.399999999994</v>
      </c>
      <c r="E255" s="80"/>
      <c r="F255" s="80"/>
      <c r="G255" s="151"/>
      <c r="H255" s="92"/>
      <c r="I255" s="223">
        <f>I256+I265+I274+I276+I281+I290+I293+I295+I299+I303+I306+I309+I312+I325</f>
        <v>66654757.590000004</v>
      </c>
      <c r="J255" s="223"/>
      <c r="K255" s="223"/>
    </row>
    <row r="256" spans="1:11" x14ac:dyDescent="0.25">
      <c r="A256" s="307">
        <v>1</v>
      </c>
      <c r="B256" s="307">
        <v>5108</v>
      </c>
      <c r="C256" s="386" t="s">
        <v>235</v>
      </c>
      <c r="D256" s="318">
        <v>2556</v>
      </c>
      <c r="E256" s="318" t="s">
        <v>68</v>
      </c>
      <c r="F256" s="330">
        <v>4</v>
      </c>
      <c r="G256" s="161"/>
      <c r="H256" s="87" t="s">
        <v>66</v>
      </c>
      <c r="I256" s="223">
        <f>SUM(I257:I264)</f>
        <v>6505232.8700000001</v>
      </c>
      <c r="J256" s="223">
        <f>SUM(J257:J264)</f>
        <v>2545.08</v>
      </c>
      <c r="K256" s="223">
        <f>SUM(K257:K264)</f>
        <v>4813</v>
      </c>
    </row>
    <row r="257" spans="1:11" x14ac:dyDescent="0.25">
      <c r="A257" s="308"/>
      <c r="B257" s="308"/>
      <c r="C257" s="387"/>
      <c r="D257" s="319"/>
      <c r="E257" s="319"/>
      <c r="F257" s="331"/>
      <c r="G257" s="310" t="s">
        <v>70</v>
      </c>
      <c r="H257" s="153" t="s">
        <v>67</v>
      </c>
      <c r="I257" s="223">
        <f>(3960384+26300)*1.2</f>
        <v>4784020.8</v>
      </c>
      <c r="J257" s="223">
        <f>I257/D256-0.01</f>
        <v>1871.67</v>
      </c>
      <c r="K257" s="223">
        <v>2967</v>
      </c>
    </row>
    <row r="258" spans="1:11" x14ac:dyDescent="0.25">
      <c r="A258" s="308"/>
      <c r="B258" s="308"/>
      <c r="C258" s="387"/>
      <c r="D258" s="319"/>
      <c r="E258" s="319"/>
      <c r="F258" s="331"/>
      <c r="G258" s="310"/>
      <c r="H258" s="153" t="s">
        <v>69</v>
      </c>
      <c r="I258" s="223">
        <v>102378.05</v>
      </c>
      <c r="J258" s="223">
        <f>I258/D256</f>
        <v>40.049999999999997</v>
      </c>
      <c r="K258" s="223">
        <v>63</v>
      </c>
    </row>
    <row r="259" spans="1:11" x14ac:dyDescent="0.25">
      <c r="A259" s="308"/>
      <c r="B259" s="308"/>
      <c r="C259" s="387"/>
      <c r="D259" s="319"/>
      <c r="E259" s="319"/>
      <c r="F259" s="331"/>
      <c r="G259" s="308" t="s">
        <v>71</v>
      </c>
      <c r="H259" s="87" t="s">
        <v>67</v>
      </c>
      <c r="I259" s="223">
        <v>366394.8</v>
      </c>
      <c r="J259" s="223">
        <f>I259/D256</f>
        <v>143.35</v>
      </c>
      <c r="K259" s="223">
        <v>618</v>
      </c>
    </row>
    <row r="260" spans="1:11" x14ac:dyDescent="0.25">
      <c r="A260" s="308"/>
      <c r="B260" s="308"/>
      <c r="C260" s="387"/>
      <c r="D260" s="319"/>
      <c r="E260" s="319"/>
      <c r="F260" s="331"/>
      <c r="G260" s="309"/>
      <c r="H260" s="87" t="s">
        <v>69</v>
      </c>
      <c r="I260" s="223">
        <v>7840.85</v>
      </c>
      <c r="J260" s="223">
        <f>I260/D256</f>
        <v>3.07</v>
      </c>
      <c r="K260" s="223">
        <v>13</v>
      </c>
    </row>
    <row r="261" spans="1:11" x14ac:dyDescent="0.25">
      <c r="A261" s="308"/>
      <c r="B261" s="308"/>
      <c r="C261" s="387"/>
      <c r="D261" s="319"/>
      <c r="E261" s="319"/>
      <c r="F261" s="331"/>
      <c r="G261" s="308" t="s">
        <v>72</v>
      </c>
      <c r="H261" s="87" t="s">
        <v>67</v>
      </c>
      <c r="I261" s="223">
        <v>742503.6</v>
      </c>
      <c r="J261" s="223">
        <f>I261/D256</f>
        <v>290.49</v>
      </c>
      <c r="K261" s="223">
        <v>601</v>
      </c>
    </row>
    <row r="262" spans="1:11" x14ac:dyDescent="0.25">
      <c r="A262" s="308"/>
      <c r="B262" s="308"/>
      <c r="C262" s="387"/>
      <c r="D262" s="319"/>
      <c r="E262" s="319"/>
      <c r="F262" s="331"/>
      <c r="G262" s="309"/>
      <c r="H262" s="87" t="s">
        <v>69</v>
      </c>
      <c r="I262" s="223">
        <v>15889.58</v>
      </c>
      <c r="J262" s="223">
        <f>I262/D256</f>
        <v>6.22</v>
      </c>
      <c r="K262" s="223">
        <v>13</v>
      </c>
    </row>
    <row r="263" spans="1:11" x14ac:dyDescent="0.25">
      <c r="A263" s="308"/>
      <c r="B263" s="308"/>
      <c r="C263" s="387"/>
      <c r="D263" s="319"/>
      <c r="E263" s="319"/>
      <c r="F263" s="331"/>
      <c r="G263" s="308" t="s">
        <v>78</v>
      </c>
      <c r="H263" s="87" t="s">
        <v>67</v>
      </c>
      <c r="I263" s="223">
        <v>476018.4</v>
      </c>
      <c r="J263" s="223">
        <f>I263/D256</f>
        <v>186.24</v>
      </c>
      <c r="K263" s="223">
        <v>527</v>
      </c>
    </row>
    <row r="264" spans="1:11" x14ac:dyDescent="0.25">
      <c r="A264" s="309"/>
      <c r="B264" s="309"/>
      <c r="C264" s="388"/>
      <c r="D264" s="329"/>
      <c r="E264" s="329"/>
      <c r="F264" s="332"/>
      <c r="G264" s="309"/>
      <c r="H264" s="87" t="s">
        <v>69</v>
      </c>
      <c r="I264" s="223">
        <v>10186.790000000001</v>
      </c>
      <c r="J264" s="223">
        <f>I264/D256</f>
        <v>3.99</v>
      </c>
      <c r="K264" s="223">
        <v>11</v>
      </c>
    </row>
    <row r="265" spans="1:11" x14ac:dyDescent="0.25">
      <c r="A265" s="307">
        <f>A256+1</f>
        <v>2</v>
      </c>
      <c r="B265" s="307">
        <v>5114</v>
      </c>
      <c r="C265" s="386" t="s">
        <v>236</v>
      </c>
      <c r="D265" s="318">
        <v>909.6</v>
      </c>
      <c r="E265" s="318" t="s">
        <v>64</v>
      </c>
      <c r="F265" s="330">
        <v>2</v>
      </c>
      <c r="G265" s="121"/>
      <c r="H265" s="87" t="s">
        <v>66</v>
      </c>
      <c r="I265" s="223">
        <f>SUM(I266:I273)</f>
        <v>2610366.5499999998</v>
      </c>
      <c r="J265" s="223">
        <f>SUM(J266:J273)</f>
        <v>2869.8</v>
      </c>
      <c r="K265" s="223">
        <f>SUM(K266:K273)</f>
        <v>4813</v>
      </c>
    </row>
    <row r="266" spans="1:11" x14ac:dyDescent="0.25">
      <c r="A266" s="308"/>
      <c r="B266" s="308"/>
      <c r="C266" s="387"/>
      <c r="D266" s="319"/>
      <c r="E266" s="319"/>
      <c r="F266" s="331"/>
      <c r="G266" s="310" t="s">
        <v>70</v>
      </c>
      <c r="H266" s="153" t="s">
        <v>67</v>
      </c>
      <c r="I266" s="223">
        <v>1517264</v>
      </c>
      <c r="J266" s="223">
        <f>I266/D265</f>
        <v>1668.06</v>
      </c>
      <c r="K266" s="223">
        <v>2967</v>
      </c>
    </row>
    <row r="267" spans="1:11" x14ac:dyDescent="0.25">
      <c r="A267" s="308"/>
      <c r="B267" s="308"/>
      <c r="C267" s="387"/>
      <c r="D267" s="319"/>
      <c r="E267" s="319"/>
      <c r="F267" s="331"/>
      <c r="G267" s="310"/>
      <c r="H267" s="153" t="s">
        <v>69</v>
      </c>
      <c r="I267" s="223">
        <v>32469.45</v>
      </c>
      <c r="J267" s="223">
        <f>I267/D265</f>
        <v>35.700000000000003</v>
      </c>
      <c r="K267" s="223">
        <v>63</v>
      </c>
    </row>
    <row r="268" spans="1:11" x14ac:dyDescent="0.25">
      <c r="A268" s="308"/>
      <c r="B268" s="308"/>
      <c r="C268" s="387"/>
      <c r="D268" s="319"/>
      <c r="E268" s="319"/>
      <c r="F268" s="331"/>
      <c r="G268" s="310" t="s">
        <v>71</v>
      </c>
      <c r="H268" s="87" t="s">
        <v>67</v>
      </c>
      <c r="I268" s="223">
        <v>256739</v>
      </c>
      <c r="J268" s="223">
        <f>I268/D265</f>
        <v>282.25</v>
      </c>
      <c r="K268" s="223">
        <v>618</v>
      </c>
    </row>
    <row r="269" spans="1:11" x14ac:dyDescent="0.25">
      <c r="A269" s="308"/>
      <c r="B269" s="308"/>
      <c r="C269" s="387"/>
      <c r="D269" s="319"/>
      <c r="E269" s="319"/>
      <c r="F269" s="331"/>
      <c r="G269" s="310"/>
      <c r="H269" s="87" t="s">
        <v>69</v>
      </c>
      <c r="I269" s="223">
        <v>5494.21</v>
      </c>
      <c r="J269" s="223">
        <f>I269/D265</f>
        <v>6.04</v>
      </c>
      <c r="K269" s="223">
        <v>13</v>
      </c>
    </row>
    <row r="270" spans="1:11" x14ac:dyDescent="0.25">
      <c r="A270" s="308"/>
      <c r="B270" s="308"/>
      <c r="C270" s="387"/>
      <c r="D270" s="319"/>
      <c r="E270" s="319"/>
      <c r="F270" s="331"/>
      <c r="G270" s="310" t="s">
        <v>72</v>
      </c>
      <c r="H270" s="87" t="s">
        <v>67</v>
      </c>
      <c r="I270" s="223">
        <v>527806</v>
      </c>
      <c r="J270" s="223">
        <f>I270/D265</f>
        <v>580.26</v>
      </c>
      <c r="K270" s="223">
        <v>601</v>
      </c>
    </row>
    <row r="271" spans="1:11" x14ac:dyDescent="0.25">
      <c r="A271" s="308"/>
      <c r="B271" s="308"/>
      <c r="C271" s="387"/>
      <c r="D271" s="319"/>
      <c r="E271" s="319"/>
      <c r="F271" s="331"/>
      <c r="G271" s="310"/>
      <c r="H271" s="87" t="s">
        <v>69</v>
      </c>
      <c r="I271" s="223">
        <v>10915.2</v>
      </c>
      <c r="J271" s="223">
        <f>I271/D265</f>
        <v>12</v>
      </c>
      <c r="K271" s="223">
        <v>13</v>
      </c>
    </row>
    <row r="272" spans="1:11" x14ac:dyDescent="0.25">
      <c r="A272" s="308"/>
      <c r="B272" s="308"/>
      <c r="C272" s="387"/>
      <c r="D272" s="319"/>
      <c r="E272" s="319"/>
      <c r="F272" s="331"/>
      <c r="G272" s="310" t="s">
        <v>78</v>
      </c>
      <c r="H272" s="87" t="s">
        <v>67</v>
      </c>
      <c r="I272" s="223">
        <v>254238</v>
      </c>
      <c r="J272" s="223">
        <f>I272/D265</f>
        <v>279.51</v>
      </c>
      <c r="K272" s="223">
        <v>527</v>
      </c>
    </row>
    <row r="273" spans="1:11" x14ac:dyDescent="0.25">
      <c r="A273" s="309"/>
      <c r="B273" s="309"/>
      <c r="C273" s="388"/>
      <c r="D273" s="329"/>
      <c r="E273" s="329"/>
      <c r="F273" s="332"/>
      <c r="G273" s="310"/>
      <c r="H273" s="87" t="s">
        <v>69</v>
      </c>
      <c r="I273" s="223">
        <v>5440.69</v>
      </c>
      <c r="J273" s="223">
        <f>I273/D265</f>
        <v>5.98</v>
      </c>
      <c r="K273" s="223">
        <v>11</v>
      </c>
    </row>
    <row r="274" spans="1:11" x14ac:dyDescent="0.25">
      <c r="A274" s="307">
        <f>A265+1</f>
        <v>3</v>
      </c>
      <c r="B274" s="307">
        <v>5117</v>
      </c>
      <c r="C274" s="386" t="s">
        <v>340</v>
      </c>
      <c r="D274" s="318">
        <v>2307.3000000000002</v>
      </c>
      <c r="E274" s="318" t="s">
        <v>68</v>
      </c>
      <c r="F274" s="330">
        <v>9</v>
      </c>
      <c r="G274" s="307" t="s">
        <v>65</v>
      </c>
      <c r="H274" s="87" t="s">
        <v>66</v>
      </c>
      <c r="I274" s="223">
        <f>I275</f>
        <v>385319.1</v>
      </c>
      <c r="J274" s="223">
        <f>J275</f>
        <v>167</v>
      </c>
      <c r="K274" s="223">
        <f>K275</f>
        <v>167</v>
      </c>
    </row>
    <row r="275" spans="1:11" ht="63" x14ac:dyDescent="0.25">
      <c r="A275" s="309"/>
      <c r="B275" s="309"/>
      <c r="C275" s="388"/>
      <c r="D275" s="329"/>
      <c r="E275" s="329"/>
      <c r="F275" s="332"/>
      <c r="G275" s="309"/>
      <c r="H275" s="87" t="s">
        <v>178</v>
      </c>
      <c r="I275" s="223">
        <f>D274*K275</f>
        <v>385319.1</v>
      </c>
      <c r="J275" s="223">
        <f>I275/D274</f>
        <v>167</v>
      </c>
      <c r="K275" s="223">
        <f>154+13</f>
        <v>167</v>
      </c>
    </row>
    <row r="276" spans="1:11" x14ac:dyDescent="0.25">
      <c r="A276" s="307">
        <f>A274+1</f>
        <v>4</v>
      </c>
      <c r="B276" s="307">
        <v>5127</v>
      </c>
      <c r="C276" s="386" t="s">
        <v>237</v>
      </c>
      <c r="D276" s="318">
        <v>3273.7</v>
      </c>
      <c r="E276" s="318" t="s">
        <v>68</v>
      </c>
      <c r="F276" s="330">
        <v>5</v>
      </c>
      <c r="G276" s="121"/>
      <c r="H276" s="87" t="s">
        <v>66</v>
      </c>
      <c r="I276" s="223">
        <f>SUM(I277:I280)</f>
        <v>2795970.22</v>
      </c>
      <c r="J276" s="223">
        <f>SUM(J277:J280)</f>
        <v>854.07</v>
      </c>
      <c r="K276" s="223">
        <f>SUM(K277:K280)</f>
        <v>4073</v>
      </c>
    </row>
    <row r="277" spans="1:11" ht="38.25" customHeight="1" x14ac:dyDescent="0.25">
      <c r="A277" s="308"/>
      <c r="B277" s="308"/>
      <c r="C277" s="387"/>
      <c r="D277" s="319"/>
      <c r="E277" s="319"/>
      <c r="F277" s="331"/>
      <c r="G277" s="145" t="s">
        <v>70</v>
      </c>
      <c r="H277" s="153" t="s">
        <v>67</v>
      </c>
      <c r="I277" s="223">
        <f>6368851.44*0.3</f>
        <v>1910655.43</v>
      </c>
      <c r="J277" s="223">
        <f>I277/D276-0.01</f>
        <v>583.63</v>
      </c>
      <c r="K277" s="223">
        <v>2327</v>
      </c>
    </row>
    <row r="278" spans="1:11" ht="47.25" x14ac:dyDescent="0.25">
      <c r="A278" s="308"/>
      <c r="B278" s="308"/>
      <c r="C278" s="387"/>
      <c r="D278" s="319"/>
      <c r="E278" s="319"/>
      <c r="F278" s="331"/>
      <c r="G278" s="145" t="s">
        <v>71</v>
      </c>
      <c r="H278" s="87" t="s">
        <v>67</v>
      </c>
      <c r="I278" s="223">
        <f>531863.5*0.3</f>
        <v>159559.04999999999</v>
      </c>
      <c r="J278" s="223">
        <f>I278/D276</f>
        <v>48.74</v>
      </c>
      <c r="K278" s="223">
        <v>618</v>
      </c>
    </row>
    <row r="279" spans="1:11" ht="47.25" x14ac:dyDescent="0.25">
      <c r="A279" s="308"/>
      <c r="B279" s="308"/>
      <c r="C279" s="387"/>
      <c r="D279" s="319"/>
      <c r="E279" s="319"/>
      <c r="F279" s="331"/>
      <c r="G279" s="145" t="s">
        <v>72</v>
      </c>
      <c r="H279" s="87" t="s">
        <v>67</v>
      </c>
      <c r="I279" s="223">
        <f>1486113.48*0.3</f>
        <v>445834.04</v>
      </c>
      <c r="J279" s="223">
        <f>I279/D276</f>
        <v>136.19</v>
      </c>
      <c r="K279" s="223">
        <v>601</v>
      </c>
    </row>
    <row r="280" spans="1:11" ht="31.5" x14ac:dyDescent="0.25">
      <c r="A280" s="308"/>
      <c r="B280" s="308"/>
      <c r="C280" s="387"/>
      <c r="D280" s="319"/>
      <c r="E280" s="319"/>
      <c r="F280" s="331"/>
      <c r="G280" s="145" t="s">
        <v>78</v>
      </c>
      <c r="H280" s="87" t="s">
        <v>67</v>
      </c>
      <c r="I280" s="223">
        <f>933072.34*0.3</f>
        <v>279921.7</v>
      </c>
      <c r="J280" s="223">
        <f>I280/D276</f>
        <v>85.51</v>
      </c>
      <c r="K280" s="223">
        <v>527</v>
      </c>
    </row>
    <row r="281" spans="1:11" x14ac:dyDescent="0.25">
      <c r="A281" s="307">
        <f>A276+1</f>
        <v>5</v>
      </c>
      <c r="B281" s="307">
        <v>5128</v>
      </c>
      <c r="C281" s="386" t="s">
        <v>238</v>
      </c>
      <c r="D281" s="318">
        <v>3054.1</v>
      </c>
      <c r="E281" s="318" t="s">
        <v>68</v>
      </c>
      <c r="F281" s="330">
        <v>9</v>
      </c>
      <c r="G281" s="161"/>
      <c r="H281" s="87" t="s">
        <v>66</v>
      </c>
      <c r="I281" s="223">
        <f>+I282+I283+I284+I285+I286+I287+I288+I289</f>
        <v>5439901.8399999999</v>
      </c>
      <c r="J281" s="223">
        <f>+J282+J283+J284+J285+J286+J287+J288+J289</f>
        <v>1781.19</v>
      </c>
      <c r="K281" s="223">
        <f>+K282+K283+K284+K285+K286+K287+K288+K289</f>
        <v>4160</v>
      </c>
    </row>
    <row r="282" spans="1:11" x14ac:dyDescent="0.25">
      <c r="A282" s="308"/>
      <c r="B282" s="308"/>
      <c r="C282" s="387"/>
      <c r="D282" s="319"/>
      <c r="E282" s="319"/>
      <c r="F282" s="331"/>
      <c r="G282" s="310" t="s">
        <v>70</v>
      </c>
      <c r="H282" s="153" t="s">
        <v>67</v>
      </c>
      <c r="I282" s="223">
        <v>3889471</v>
      </c>
      <c r="J282" s="223">
        <f>I282/D281+0.01</f>
        <v>1273.53</v>
      </c>
      <c r="K282" s="223">
        <v>2327</v>
      </c>
    </row>
    <row r="283" spans="1:11" x14ac:dyDescent="0.25">
      <c r="A283" s="308"/>
      <c r="B283" s="308"/>
      <c r="C283" s="387"/>
      <c r="D283" s="319"/>
      <c r="E283" s="319"/>
      <c r="F283" s="331"/>
      <c r="G283" s="310"/>
      <c r="H283" s="153" t="s">
        <v>69</v>
      </c>
      <c r="I283" s="223">
        <v>83234.679999999993</v>
      </c>
      <c r="J283" s="223">
        <f>I283/D281</f>
        <v>27.25</v>
      </c>
      <c r="K283" s="223">
        <v>50</v>
      </c>
    </row>
    <row r="284" spans="1:11" x14ac:dyDescent="0.25">
      <c r="A284" s="308"/>
      <c r="B284" s="308"/>
      <c r="C284" s="387"/>
      <c r="D284" s="319"/>
      <c r="E284" s="319"/>
      <c r="F284" s="331"/>
      <c r="G284" s="308" t="s">
        <v>71</v>
      </c>
      <c r="H284" s="87" t="s">
        <v>67</v>
      </c>
      <c r="I284" s="223">
        <v>373206</v>
      </c>
      <c r="J284" s="223">
        <f>I284/D281</f>
        <v>122.2</v>
      </c>
      <c r="K284" s="223">
        <v>618</v>
      </c>
    </row>
    <row r="285" spans="1:11" x14ac:dyDescent="0.25">
      <c r="A285" s="308"/>
      <c r="B285" s="308"/>
      <c r="C285" s="387"/>
      <c r="D285" s="319"/>
      <c r="E285" s="319"/>
      <c r="F285" s="331"/>
      <c r="G285" s="309"/>
      <c r="H285" s="87" t="s">
        <v>69</v>
      </c>
      <c r="I285" s="223">
        <v>7986.61</v>
      </c>
      <c r="J285" s="223">
        <f>I285/D281</f>
        <v>2.62</v>
      </c>
      <c r="K285" s="223">
        <v>13</v>
      </c>
    </row>
    <row r="286" spans="1:11" x14ac:dyDescent="0.25">
      <c r="A286" s="308"/>
      <c r="B286" s="308"/>
      <c r="C286" s="387"/>
      <c r="D286" s="319"/>
      <c r="E286" s="319"/>
      <c r="F286" s="331"/>
      <c r="G286" s="308" t="s">
        <v>72</v>
      </c>
      <c r="H286" s="87" t="s">
        <v>67</v>
      </c>
      <c r="I286" s="223">
        <v>644474</v>
      </c>
      <c r="J286" s="223">
        <f>I286/D281</f>
        <v>211.02</v>
      </c>
      <c r="K286" s="223">
        <v>601</v>
      </c>
    </row>
    <row r="287" spans="1:11" x14ac:dyDescent="0.25">
      <c r="A287" s="308"/>
      <c r="B287" s="308"/>
      <c r="C287" s="387"/>
      <c r="D287" s="319"/>
      <c r="E287" s="319"/>
      <c r="F287" s="331"/>
      <c r="G287" s="309"/>
      <c r="H287" s="87" t="s">
        <v>69</v>
      </c>
      <c r="I287" s="223">
        <v>13791.74</v>
      </c>
      <c r="J287" s="223">
        <f>I287/D281</f>
        <v>4.5199999999999996</v>
      </c>
      <c r="K287" s="223">
        <v>13</v>
      </c>
    </row>
    <row r="288" spans="1:11" x14ac:dyDescent="0.25">
      <c r="A288" s="308"/>
      <c r="B288" s="308"/>
      <c r="C288" s="387"/>
      <c r="D288" s="319"/>
      <c r="E288" s="319"/>
      <c r="F288" s="331"/>
      <c r="G288" s="308" t="s">
        <v>78</v>
      </c>
      <c r="H288" s="87" t="s">
        <v>67</v>
      </c>
      <c r="I288" s="223">
        <v>418776</v>
      </c>
      <c r="J288" s="223">
        <f>I288/D281</f>
        <v>137.12</v>
      </c>
      <c r="K288" s="223">
        <v>527</v>
      </c>
    </row>
    <row r="289" spans="1:11" x14ac:dyDescent="0.25">
      <c r="A289" s="309"/>
      <c r="B289" s="309"/>
      <c r="C289" s="388"/>
      <c r="D289" s="329"/>
      <c r="E289" s="329"/>
      <c r="F289" s="332"/>
      <c r="G289" s="309"/>
      <c r="H289" s="87" t="s">
        <v>69</v>
      </c>
      <c r="I289" s="223">
        <v>8961.81</v>
      </c>
      <c r="J289" s="223">
        <f>I289/D281</f>
        <v>2.93</v>
      </c>
      <c r="K289" s="223">
        <v>11</v>
      </c>
    </row>
    <row r="290" spans="1:11" x14ac:dyDescent="0.25">
      <c r="A290" s="376">
        <f>A281+1</f>
        <v>6</v>
      </c>
      <c r="B290" s="376">
        <v>5133</v>
      </c>
      <c r="C290" s="390" t="s">
        <v>479</v>
      </c>
      <c r="D290" s="413">
        <v>8595.5</v>
      </c>
      <c r="E290" s="413" t="s">
        <v>68</v>
      </c>
      <c r="F290" s="414">
        <v>9</v>
      </c>
      <c r="G290" s="376" t="s">
        <v>65</v>
      </c>
      <c r="H290" s="91" t="s">
        <v>66</v>
      </c>
      <c r="I290" s="229">
        <f>I291+I292</f>
        <v>10781438.140000001</v>
      </c>
      <c r="J290" s="229">
        <f>J291+J292</f>
        <v>1254.31</v>
      </c>
      <c r="K290" s="229">
        <f>K291+K292</f>
        <v>2914</v>
      </c>
    </row>
    <row r="291" spans="1:11" x14ac:dyDescent="0.25">
      <c r="A291" s="376">
        <v>275</v>
      </c>
      <c r="B291" s="376"/>
      <c r="C291" s="390"/>
      <c r="D291" s="413"/>
      <c r="E291" s="413"/>
      <c r="F291" s="414"/>
      <c r="G291" s="376"/>
      <c r="H291" s="91" t="s">
        <v>67</v>
      </c>
      <c r="I291" s="229">
        <f>14892484.8-4410384.94</f>
        <v>10482099.859999999</v>
      </c>
      <c r="J291" s="229">
        <f>I291/D290</f>
        <v>1219.49</v>
      </c>
      <c r="K291" s="223">
        <v>2853</v>
      </c>
    </row>
    <row r="292" spans="1:11" x14ac:dyDescent="0.25">
      <c r="A292" s="376">
        <v>276</v>
      </c>
      <c r="B292" s="376"/>
      <c r="C292" s="390"/>
      <c r="D292" s="413"/>
      <c r="E292" s="413"/>
      <c r="F292" s="414"/>
      <c r="G292" s="376"/>
      <c r="H292" s="91" t="s">
        <v>69</v>
      </c>
      <c r="I292" s="229">
        <v>299338.28000000003</v>
      </c>
      <c r="J292" s="229">
        <f>I292/D290</f>
        <v>34.82</v>
      </c>
      <c r="K292" s="223">
        <v>61</v>
      </c>
    </row>
    <row r="293" spans="1:11" x14ac:dyDescent="0.25">
      <c r="A293" s="307">
        <f>A290+1</f>
        <v>7</v>
      </c>
      <c r="B293" s="307">
        <v>5172</v>
      </c>
      <c r="C293" s="348" t="s">
        <v>242</v>
      </c>
      <c r="D293" s="318">
        <v>3986</v>
      </c>
      <c r="E293" s="318" t="s">
        <v>64</v>
      </c>
      <c r="F293" s="330">
        <v>5</v>
      </c>
      <c r="G293" s="307" t="s">
        <v>65</v>
      </c>
      <c r="H293" s="87" t="s">
        <v>66</v>
      </c>
      <c r="I293" s="223">
        <f>I294</f>
        <v>4231288.51</v>
      </c>
      <c r="J293" s="223">
        <f t="shared" ref="J293:K293" si="11">J294</f>
        <v>1061.54</v>
      </c>
      <c r="K293" s="223">
        <f t="shared" si="11"/>
        <v>3559</v>
      </c>
    </row>
    <row r="294" spans="1:11" ht="31.5" x14ac:dyDescent="0.25">
      <c r="A294" s="308"/>
      <c r="B294" s="308"/>
      <c r="C294" s="349"/>
      <c r="D294" s="319"/>
      <c r="E294" s="319"/>
      <c r="F294" s="331"/>
      <c r="G294" s="308"/>
      <c r="H294" s="87" t="s">
        <v>76</v>
      </c>
      <c r="I294" s="223">
        <f>14104295.04*0.3</f>
        <v>4231288.51</v>
      </c>
      <c r="J294" s="223">
        <f>I294/D293</f>
        <v>1061.54</v>
      </c>
      <c r="K294" s="223">
        <v>3559</v>
      </c>
    </row>
    <row r="295" spans="1:11" x14ac:dyDescent="0.25">
      <c r="A295" s="307">
        <f>A293+1</f>
        <v>8</v>
      </c>
      <c r="B295" s="307">
        <v>5195</v>
      </c>
      <c r="C295" s="315" t="s">
        <v>565</v>
      </c>
      <c r="D295" s="318">
        <v>6541.2</v>
      </c>
      <c r="E295" s="307" t="s">
        <v>64</v>
      </c>
      <c r="F295" s="307">
        <v>10</v>
      </c>
      <c r="G295" s="161"/>
      <c r="H295" s="87" t="s">
        <v>66</v>
      </c>
      <c r="I295" s="223">
        <f>SUM(I296:I298)</f>
        <v>96843</v>
      </c>
      <c r="J295" s="223">
        <f>SUM(J296:J298)</f>
        <v>14.81</v>
      </c>
      <c r="K295" s="223">
        <f>SUM(K296:K298)</f>
        <v>14.81</v>
      </c>
    </row>
    <row r="296" spans="1:11" ht="63" x14ac:dyDescent="0.25">
      <c r="A296" s="308"/>
      <c r="B296" s="308"/>
      <c r="C296" s="317"/>
      <c r="D296" s="319"/>
      <c r="E296" s="308"/>
      <c r="F296" s="308"/>
      <c r="G296" s="148" t="s">
        <v>170</v>
      </c>
      <c r="H296" s="87" t="s">
        <v>178</v>
      </c>
      <c r="I296" s="223">
        <f>22681+9600</f>
        <v>32281</v>
      </c>
      <c r="J296" s="223">
        <f>I296/D295-0.01</f>
        <v>4.93</v>
      </c>
      <c r="K296" s="223">
        <f>(22681+9600)/D295-0.01</f>
        <v>4.93</v>
      </c>
    </row>
    <row r="297" spans="1:11" ht="63" x14ac:dyDescent="0.25">
      <c r="A297" s="308"/>
      <c r="B297" s="308"/>
      <c r="C297" s="317"/>
      <c r="D297" s="319"/>
      <c r="E297" s="308"/>
      <c r="F297" s="308"/>
      <c r="G297" s="148" t="s">
        <v>173</v>
      </c>
      <c r="H297" s="87" t="s">
        <v>178</v>
      </c>
      <c r="I297" s="223">
        <f>22681+9600</f>
        <v>32281</v>
      </c>
      <c r="J297" s="223">
        <f>I297/D295</f>
        <v>4.9400000000000004</v>
      </c>
      <c r="K297" s="223">
        <f>(22681+9600)/D295</f>
        <v>4.9400000000000004</v>
      </c>
    </row>
    <row r="298" spans="1:11" ht="63" x14ac:dyDescent="0.25">
      <c r="A298" s="308"/>
      <c r="B298" s="308"/>
      <c r="C298" s="317"/>
      <c r="D298" s="319"/>
      <c r="E298" s="308"/>
      <c r="F298" s="308"/>
      <c r="G298" s="148" t="s">
        <v>174</v>
      </c>
      <c r="H298" s="87" t="s">
        <v>178</v>
      </c>
      <c r="I298" s="223">
        <f>22681+9600</f>
        <v>32281</v>
      </c>
      <c r="J298" s="223">
        <f>I298/D295</f>
        <v>4.9400000000000004</v>
      </c>
      <c r="K298" s="223">
        <f>(22681+9600)/D295</f>
        <v>4.9400000000000004</v>
      </c>
    </row>
    <row r="299" spans="1:11" x14ac:dyDescent="0.25">
      <c r="A299" s="307">
        <f>A295+1</f>
        <v>9</v>
      </c>
      <c r="B299" s="307">
        <v>5221</v>
      </c>
      <c r="C299" s="315" t="s">
        <v>446</v>
      </c>
      <c r="D299" s="318">
        <v>3149</v>
      </c>
      <c r="E299" s="307" t="s">
        <v>68</v>
      </c>
      <c r="F299" s="307">
        <v>9</v>
      </c>
      <c r="G299" s="161"/>
      <c r="H299" s="87" t="s">
        <v>66</v>
      </c>
      <c r="I299" s="223">
        <f>SUM(I300:I302)</f>
        <v>1864588.6</v>
      </c>
      <c r="J299" s="223">
        <f t="shared" ref="J299:K299" si="12">SUM(J300:J302)</f>
        <v>592.12</v>
      </c>
      <c r="K299" s="223">
        <f t="shared" si="12"/>
        <v>737.34</v>
      </c>
    </row>
    <row r="300" spans="1:11" ht="63" x14ac:dyDescent="0.25">
      <c r="A300" s="308"/>
      <c r="B300" s="308"/>
      <c r="C300" s="317"/>
      <c r="D300" s="319"/>
      <c r="E300" s="308"/>
      <c r="F300" s="308"/>
      <c r="G300" s="307" t="s">
        <v>170</v>
      </c>
      <c r="H300" s="87" t="s">
        <v>178</v>
      </c>
      <c r="I300" s="223">
        <f>22681+9600</f>
        <v>32281</v>
      </c>
      <c r="J300" s="223">
        <f>I300/D299</f>
        <v>10.25</v>
      </c>
      <c r="K300" s="223">
        <f>(22681+9600)/D299</f>
        <v>10.25</v>
      </c>
    </row>
    <row r="301" spans="1:11" x14ac:dyDescent="0.25">
      <c r="A301" s="308"/>
      <c r="B301" s="308"/>
      <c r="C301" s="317"/>
      <c r="D301" s="319"/>
      <c r="E301" s="308"/>
      <c r="F301" s="308"/>
      <c r="G301" s="308"/>
      <c r="H301" s="87" t="s">
        <v>171</v>
      </c>
      <c r="I301" s="223">
        <v>1800167.04</v>
      </c>
      <c r="J301" s="223">
        <f>I301/D299</f>
        <v>571.66</v>
      </c>
      <c r="K301" s="223">
        <f>2241647/D299</f>
        <v>711.86</v>
      </c>
    </row>
    <row r="302" spans="1:11" x14ac:dyDescent="0.25">
      <c r="A302" s="309"/>
      <c r="B302" s="309"/>
      <c r="C302" s="316"/>
      <c r="D302" s="329"/>
      <c r="E302" s="309"/>
      <c r="F302" s="309"/>
      <c r="G302" s="309"/>
      <c r="H302" s="87" t="s">
        <v>69</v>
      </c>
      <c r="I302" s="267">
        <v>32140.560000000001</v>
      </c>
      <c r="J302" s="223">
        <f>I302/D299</f>
        <v>10.210000000000001</v>
      </c>
      <c r="K302" s="223">
        <f>47971/D299</f>
        <v>15.23</v>
      </c>
    </row>
    <row r="303" spans="1:11" x14ac:dyDescent="0.25">
      <c r="A303" s="307">
        <f>A299+1</f>
        <v>10</v>
      </c>
      <c r="B303" s="307">
        <v>5257</v>
      </c>
      <c r="C303" s="348" t="s">
        <v>253</v>
      </c>
      <c r="D303" s="318">
        <v>576.6</v>
      </c>
      <c r="E303" s="318" t="s">
        <v>68</v>
      </c>
      <c r="F303" s="330">
        <v>2</v>
      </c>
      <c r="G303" s="307" t="s">
        <v>65</v>
      </c>
      <c r="H303" s="87" t="s">
        <v>66</v>
      </c>
      <c r="I303" s="223">
        <f>I305+I304</f>
        <v>3853825.52</v>
      </c>
      <c r="J303" s="223">
        <f>J305+J304</f>
        <v>6683.71</v>
      </c>
      <c r="K303" s="223">
        <f>K305+K304</f>
        <v>8203</v>
      </c>
    </row>
    <row r="304" spans="1:11" x14ac:dyDescent="0.25">
      <c r="A304" s="308"/>
      <c r="B304" s="308"/>
      <c r="C304" s="349"/>
      <c r="D304" s="319"/>
      <c r="E304" s="319"/>
      <c r="F304" s="331"/>
      <c r="G304" s="308"/>
      <c r="H304" s="87" t="s">
        <v>67</v>
      </c>
      <c r="I304" s="223">
        <v>3773081.57</v>
      </c>
      <c r="J304" s="223">
        <f>I304/D303+0.01</f>
        <v>6543.68</v>
      </c>
      <c r="K304" s="223">
        <v>8031</v>
      </c>
    </row>
    <row r="305" spans="1:11" x14ac:dyDescent="0.25">
      <c r="A305" s="309"/>
      <c r="B305" s="309"/>
      <c r="C305" s="350"/>
      <c r="D305" s="329"/>
      <c r="E305" s="329"/>
      <c r="F305" s="332"/>
      <c r="G305" s="309"/>
      <c r="H305" s="87" t="s">
        <v>69</v>
      </c>
      <c r="I305" s="223">
        <v>80743.95</v>
      </c>
      <c r="J305" s="223">
        <f>I305/D303</f>
        <v>140.03</v>
      </c>
      <c r="K305" s="223">
        <v>172</v>
      </c>
    </row>
    <row r="306" spans="1:11" x14ac:dyDescent="0.25">
      <c r="A306" s="307">
        <f>A303+1</f>
        <v>11</v>
      </c>
      <c r="B306" s="307">
        <v>5259</v>
      </c>
      <c r="C306" s="348" t="s">
        <v>254</v>
      </c>
      <c r="D306" s="318">
        <v>565.6</v>
      </c>
      <c r="E306" s="318" t="s">
        <v>68</v>
      </c>
      <c r="F306" s="330">
        <v>2</v>
      </c>
      <c r="G306" s="307" t="s">
        <v>65</v>
      </c>
      <c r="H306" s="87" t="s">
        <v>66</v>
      </c>
      <c r="I306" s="223">
        <f>I308+I307</f>
        <v>3850338.9</v>
      </c>
      <c r="J306" s="223">
        <f>J308+J307</f>
        <v>6807.53</v>
      </c>
      <c r="K306" s="223">
        <f>K308+K307</f>
        <v>8203</v>
      </c>
    </row>
    <row r="307" spans="1:11" x14ac:dyDescent="0.25">
      <c r="A307" s="308"/>
      <c r="B307" s="308"/>
      <c r="C307" s="349"/>
      <c r="D307" s="319"/>
      <c r="E307" s="319"/>
      <c r="F307" s="331"/>
      <c r="G307" s="308"/>
      <c r="H307" s="87" t="s">
        <v>67</v>
      </c>
      <c r="I307" s="223">
        <v>3769668</v>
      </c>
      <c r="J307" s="223">
        <f>I307/D306</f>
        <v>6664.9</v>
      </c>
      <c r="K307" s="223">
        <v>8031</v>
      </c>
    </row>
    <row r="308" spans="1:11" x14ac:dyDescent="0.25">
      <c r="A308" s="309"/>
      <c r="B308" s="309"/>
      <c r="C308" s="350"/>
      <c r="D308" s="329"/>
      <c r="E308" s="329"/>
      <c r="F308" s="332"/>
      <c r="G308" s="309"/>
      <c r="H308" s="87" t="s">
        <v>69</v>
      </c>
      <c r="I308" s="223">
        <v>80670.899999999994</v>
      </c>
      <c r="J308" s="223">
        <f>I308/D306</f>
        <v>142.63</v>
      </c>
      <c r="K308" s="223">
        <v>172</v>
      </c>
    </row>
    <row r="309" spans="1:11" x14ac:dyDescent="0.25">
      <c r="A309" s="307">
        <f>A306+1</f>
        <v>12</v>
      </c>
      <c r="B309" s="307">
        <v>5263</v>
      </c>
      <c r="C309" s="348" t="s">
        <v>255</v>
      </c>
      <c r="D309" s="318">
        <v>560.6</v>
      </c>
      <c r="E309" s="318" t="s">
        <v>68</v>
      </c>
      <c r="F309" s="330">
        <v>2</v>
      </c>
      <c r="G309" s="307" t="s">
        <v>65</v>
      </c>
      <c r="H309" s="87" t="s">
        <v>66</v>
      </c>
      <c r="I309" s="223">
        <f>I311+I310</f>
        <v>3962971.53</v>
      </c>
      <c r="J309" s="223">
        <f>J311+J310</f>
        <v>7069.16</v>
      </c>
      <c r="K309" s="223">
        <f>K311+K310</f>
        <v>8203</v>
      </c>
    </row>
    <row r="310" spans="1:11" x14ac:dyDescent="0.25">
      <c r="A310" s="308"/>
      <c r="B310" s="308"/>
      <c r="C310" s="349"/>
      <c r="D310" s="319"/>
      <c r="E310" s="319"/>
      <c r="F310" s="331"/>
      <c r="G310" s="308"/>
      <c r="H310" s="87" t="s">
        <v>67</v>
      </c>
      <c r="I310" s="223">
        <v>3879940.8</v>
      </c>
      <c r="J310" s="223">
        <f>I310/D309</f>
        <v>6921.05</v>
      </c>
      <c r="K310" s="223">
        <v>8031</v>
      </c>
    </row>
    <row r="311" spans="1:11" x14ac:dyDescent="0.25">
      <c r="A311" s="309"/>
      <c r="B311" s="309"/>
      <c r="C311" s="350"/>
      <c r="D311" s="329"/>
      <c r="E311" s="329"/>
      <c r="F311" s="332"/>
      <c r="G311" s="309"/>
      <c r="H311" s="87" t="s">
        <v>69</v>
      </c>
      <c r="I311" s="223">
        <v>83030.73</v>
      </c>
      <c r="J311" s="223">
        <f>I311/D309</f>
        <v>148.11000000000001</v>
      </c>
      <c r="K311" s="223">
        <v>172</v>
      </c>
    </row>
    <row r="312" spans="1:11" x14ac:dyDescent="0.25">
      <c r="A312" s="307">
        <f>A309+1</f>
        <v>13</v>
      </c>
      <c r="B312" s="307">
        <v>5285</v>
      </c>
      <c r="C312" s="315" t="s">
        <v>447</v>
      </c>
      <c r="D312" s="318">
        <v>16283.9</v>
      </c>
      <c r="E312" s="307" t="s">
        <v>68</v>
      </c>
      <c r="F312" s="307">
        <v>9</v>
      </c>
      <c r="G312" s="161"/>
      <c r="H312" s="87" t="s">
        <v>66</v>
      </c>
      <c r="I312" s="223">
        <f>SUM(I313:I324)</f>
        <v>7401832.6100000003</v>
      </c>
      <c r="J312" s="223">
        <f>SUM(J313:J324)</f>
        <v>454.55</v>
      </c>
      <c r="K312" s="223">
        <f>SUM(K313:K324)</f>
        <v>570.35</v>
      </c>
    </row>
    <row r="313" spans="1:11" ht="63" x14ac:dyDescent="0.25">
      <c r="A313" s="308"/>
      <c r="B313" s="308"/>
      <c r="C313" s="317"/>
      <c r="D313" s="319"/>
      <c r="E313" s="308"/>
      <c r="F313" s="308"/>
      <c r="G313" s="307" t="s">
        <v>170</v>
      </c>
      <c r="H313" s="87" t="s">
        <v>178</v>
      </c>
      <c r="I313" s="223">
        <v>24999.99</v>
      </c>
      <c r="J313" s="223">
        <f>I313/D312</f>
        <v>1.54</v>
      </c>
      <c r="K313" s="223">
        <f>(22681+9600)/D312</f>
        <v>1.98</v>
      </c>
    </row>
    <row r="314" spans="1:11" x14ac:dyDescent="0.25">
      <c r="A314" s="308"/>
      <c r="B314" s="308"/>
      <c r="C314" s="317"/>
      <c r="D314" s="319"/>
      <c r="E314" s="308"/>
      <c r="F314" s="308"/>
      <c r="G314" s="308"/>
      <c r="H314" s="87" t="s">
        <v>171</v>
      </c>
      <c r="I314" s="223">
        <v>1793317.6</v>
      </c>
      <c r="J314" s="223">
        <f>I314/D312-0.01</f>
        <v>110.12</v>
      </c>
      <c r="K314" s="223">
        <f>2241647/D312-0.01</f>
        <v>137.65</v>
      </c>
    </row>
    <row r="315" spans="1:11" x14ac:dyDescent="0.25">
      <c r="A315" s="308"/>
      <c r="B315" s="308"/>
      <c r="C315" s="317"/>
      <c r="D315" s="319"/>
      <c r="E315" s="308"/>
      <c r="F315" s="308"/>
      <c r="G315" s="309"/>
      <c r="H315" s="87" t="s">
        <v>69</v>
      </c>
      <c r="I315" s="223">
        <v>32140.560000000001</v>
      </c>
      <c r="J315" s="223">
        <f>I315/D312</f>
        <v>1.97</v>
      </c>
      <c r="K315" s="223">
        <f>47971/D312</f>
        <v>2.95</v>
      </c>
    </row>
    <row r="316" spans="1:11" ht="63" x14ac:dyDescent="0.25">
      <c r="A316" s="308"/>
      <c r="B316" s="308"/>
      <c r="C316" s="317"/>
      <c r="D316" s="319"/>
      <c r="E316" s="308"/>
      <c r="F316" s="308"/>
      <c r="G316" s="307" t="s">
        <v>173</v>
      </c>
      <c r="H316" s="87" t="s">
        <v>178</v>
      </c>
      <c r="I316" s="223">
        <v>24999.99</v>
      </c>
      <c r="J316" s="223">
        <f>I316/D312</f>
        <v>1.54</v>
      </c>
      <c r="K316" s="223">
        <f>(22681+9600)/D312</f>
        <v>1.98</v>
      </c>
    </row>
    <row r="317" spans="1:11" x14ac:dyDescent="0.25">
      <c r="A317" s="308"/>
      <c r="B317" s="308"/>
      <c r="C317" s="317"/>
      <c r="D317" s="319"/>
      <c r="E317" s="308"/>
      <c r="F317" s="308"/>
      <c r="G317" s="308"/>
      <c r="H317" s="87" t="s">
        <v>171</v>
      </c>
      <c r="I317" s="223">
        <v>1793317.6</v>
      </c>
      <c r="J317" s="223">
        <f>I317/D312</f>
        <v>110.13</v>
      </c>
      <c r="K317" s="223">
        <f>2241647/D312</f>
        <v>137.66</v>
      </c>
    </row>
    <row r="318" spans="1:11" x14ac:dyDescent="0.25">
      <c r="A318" s="308"/>
      <c r="B318" s="308"/>
      <c r="C318" s="317"/>
      <c r="D318" s="319"/>
      <c r="E318" s="308"/>
      <c r="F318" s="308"/>
      <c r="G318" s="309"/>
      <c r="H318" s="87" t="s">
        <v>69</v>
      </c>
      <c r="I318" s="223">
        <v>32140.560000000001</v>
      </c>
      <c r="J318" s="223">
        <f>I318/D312</f>
        <v>1.97</v>
      </c>
      <c r="K318" s="223">
        <f>47971/D312</f>
        <v>2.95</v>
      </c>
    </row>
    <row r="319" spans="1:11" ht="63" x14ac:dyDescent="0.25">
      <c r="A319" s="308"/>
      <c r="B319" s="308"/>
      <c r="C319" s="317"/>
      <c r="D319" s="319"/>
      <c r="E319" s="308"/>
      <c r="F319" s="308"/>
      <c r="G319" s="307" t="s">
        <v>174</v>
      </c>
      <c r="H319" s="87" t="s">
        <v>178</v>
      </c>
      <c r="I319" s="223">
        <v>24999.99</v>
      </c>
      <c r="J319" s="223">
        <f>I319/D312</f>
        <v>1.54</v>
      </c>
      <c r="K319" s="223">
        <f>(22681+9600)/D312</f>
        <v>1.98</v>
      </c>
    </row>
    <row r="320" spans="1:11" x14ac:dyDescent="0.25">
      <c r="A320" s="308"/>
      <c r="B320" s="308"/>
      <c r="C320" s="317"/>
      <c r="D320" s="319"/>
      <c r="E320" s="308"/>
      <c r="F320" s="308"/>
      <c r="G320" s="308"/>
      <c r="H320" s="87" t="s">
        <v>171</v>
      </c>
      <c r="I320" s="223">
        <v>1793317.6</v>
      </c>
      <c r="J320" s="223">
        <f>I320/D312</f>
        <v>110.13</v>
      </c>
      <c r="K320" s="223">
        <f>2241647/D312</f>
        <v>137.66</v>
      </c>
    </row>
    <row r="321" spans="1:11" x14ac:dyDescent="0.25">
      <c r="A321" s="308"/>
      <c r="B321" s="308"/>
      <c r="C321" s="317"/>
      <c r="D321" s="319"/>
      <c r="E321" s="308"/>
      <c r="F321" s="308"/>
      <c r="G321" s="309"/>
      <c r="H321" s="87" t="s">
        <v>69</v>
      </c>
      <c r="I321" s="223">
        <v>32140.560000000001</v>
      </c>
      <c r="J321" s="223">
        <f>I321/D312</f>
        <v>1.97</v>
      </c>
      <c r="K321" s="223">
        <f>47971/D312</f>
        <v>2.95</v>
      </c>
    </row>
    <row r="322" spans="1:11" ht="63" x14ac:dyDescent="0.25">
      <c r="A322" s="308"/>
      <c r="B322" s="308"/>
      <c r="C322" s="317"/>
      <c r="D322" s="319"/>
      <c r="E322" s="308"/>
      <c r="F322" s="308"/>
      <c r="G322" s="307" t="s">
        <v>175</v>
      </c>
      <c r="H322" s="87" t="s">
        <v>178</v>
      </c>
      <c r="I322" s="223">
        <v>24999.99</v>
      </c>
      <c r="J322" s="223">
        <f>I322/D312</f>
        <v>1.54</v>
      </c>
      <c r="K322" s="223">
        <f>(22681+9600)/D312</f>
        <v>1.98</v>
      </c>
    </row>
    <row r="323" spans="1:11" x14ac:dyDescent="0.25">
      <c r="A323" s="308"/>
      <c r="B323" s="308"/>
      <c r="C323" s="317"/>
      <c r="D323" s="319"/>
      <c r="E323" s="308"/>
      <c r="F323" s="308"/>
      <c r="G323" s="308"/>
      <c r="H323" s="87" t="s">
        <v>171</v>
      </c>
      <c r="I323" s="223">
        <v>1793317.6</v>
      </c>
      <c r="J323" s="223">
        <f>I323/D312</f>
        <v>110.13</v>
      </c>
      <c r="K323" s="223">
        <f>2241647/D312</f>
        <v>137.66</v>
      </c>
    </row>
    <row r="324" spans="1:11" x14ac:dyDescent="0.25">
      <c r="A324" s="308"/>
      <c r="B324" s="308"/>
      <c r="C324" s="317"/>
      <c r="D324" s="319"/>
      <c r="E324" s="308"/>
      <c r="F324" s="308"/>
      <c r="G324" s="309"/>
      <c r="H324" s="87" t="s">
        <v>69</v>
      </c>
      <c r="I324" s="223">
        <v>32140.57</v>
      </c>
      <c r="J324" s="223">
        <f>I324/D312</f>
        <v>1.97</v>
      </c>
      <c r="K324" s="223">
        <f>47971/D312</f>
        <v>2.95</v>
      </c>
    </row>
    <row r="325" spans="1:11" x14ac:dyDescent="0.25">
      <c r="A325" s="310">
        <f>A312+1</f>
        <v>14</v>
      </c>
      <c r="B325" s="310">
        <v>5288</v>
      </c>
      <c r="C325" s="435" t="s">
        <v>448</v>
      </c>
      <c r="D325" s="312">
        <v>14155.3</v>
      </c>
      <c r="E325" s="312" t="s">
        <v>68</v>
      </c>
      <c r="F325" s="313">
        <v>9</v>
      </c>
      <c r="G325" s="161"/>
      <c r="H325" s="87" t="s">
        <v>66</v>
      </c>
      <c r="I325" s="223">
        <f>SUM(I326:I346)</f>
        <v>12874840.199999999</v>
      </c>
      <c r="J325" s="223">
        <f>SUM(J326:J346)</f>
        <v>909.54</v>
      </c>
      <c r="K325" s="223">
        <f>SUM(K326:K346)</f>
        <v>1148.17</v>
      </c>
    </row>
    <row r="326" spans="1:11" ht="63" x14ac:dyDescent="0.25">
      <c r="A326" s="310"/>
      <c r="B326" s="310"/>
      <c r="C326" s="435"/>
      <c r="D326" s="312"/>
      <c r="E326" s="312"/>
      <c r="F326" s="313"/>
      <c r="G326" s="307" t="s">
        <v>170</v>
      </c>
      <c r="H326" s="87" t="s">
        <v>178</v>
      </c>
      <c r="I326" s="223">
        <f>12914.28+1371.43</f>
        <v>14285.71</v>
      </c>
      <c r="J326" s="223">
        <f>I326/D325</f>
        <v>1.01</v>
      </c>
      <c r="K326" s="223">
        <f>(22681+9600)/D325</f>
        <v>2.2799999999999998</v>
      </c>
    </row>
    <row r="327" spans="1:11" x14ac:dyDescent="0.25">
      <c r="A327" s="310"/>
      <c r="B327" s="310"/>
      <c r="C327" s="435"/>
      <c r="D327" s="312"/>
      <c r="E327" s="312"/>
      <c r="F327" s="313"/>
      <c r="G327" s="308"/>
      <c r="H327" s="87" t="s">
        <v>171</v>
      </c>
      <c r="I327" s="223">
        <v>1793795.21</v>
      </c>
      <c r="J327" s="223">
        <f>I327/D325</f>
        <v>126.72</v>
      </c>
      <c r="K327" s="223">
        <f>2241647/D325-0.01</f>
        <v>158.35</v>
      </c>
    </row>
    <row r="328" spans="1:11" x14ac:dyDescent="0.25">
      <c r="A328" s="310"/>
      <c r="B328" s="310"/>
      <c r="C328" s="435"/>
      <c r="D328" s="312"/>
      <c r="E328" s="312"/>
      <c r="F328" s="313"/>
      <c r="G328" s="309"/>
      <c r="H328" s="87" t="s">
        <v>69</v>
      </c>
      <c r="I328" s="223">
        <v>31660.86</v>
      </c>
      <c r="J328" s="223">
        <f>I328/D325</f>
        <v>2.2400000000000002</v>
      </c>
      <c r="K328" s="223">
        <f>47971/D325</f>
        <v>3.39</v>
      </c>
    </row>
    <row r="329" spans="1:11" ht="63" x14ac:dyDescent="0.25">
      <c r="A329" s="310"/>
      <c r="B329" s="310"/>
      <c r="C329" s="435"/>
      <c r="D329" s="312"/>
      <c r="E329" s="312"/>
      <c r="F329" s="313"/>
      <c r="G329" s="307" t="s">
        <v>173</v>
      </c>
      <c r="H329" s="87" t="s">
        <v>178</v>
      </c>
      <c r="I329" s="223">
        <f>12914.28+1371.43</f>
        <v>14285.71</v>
      </c>
      <c r="J329" s="223">
        <f>I329/D325</f>
        <v>1.01</v>
      </c>
      <c r="K329" s="223">
        <f>(22681+9600)/D325</f>
        <v>2.2799999999999998</v>
      </c>
    </row>
    <row r="330" spans="1:11" x14ac:dyDescent="0.25">
      <c r="A330" s="310"/>
      <c r="B330" s="310"/>
      <c r="C330" s="435"/>
      <c r="D330" s="312"/>
      <c r="E330" s="312"/>
      <c r="F330" s="313"/>
      <c r="G330" s="308"/>
      <c r="H330" s="87" t="s">
        <v>171</v>
      </c>
      <c r="I330" s="223">
        <v>1793795.96</v>
      </c>
      <c r="J330" s="223">
        <f>I330/D325</f>
        <v>126.72</v>
      </c>
      <c r="K330" s="223">
        <f>2241647/D325-0.01</f>
        <v>158.35</v>
      </c>
    </row>
    <row r="331" spans="1:11" x14ac:dyDescent="0.25">
      <c r="A331" s="310"/>
      <c r="B331" s="310"/>
      <c r="C331" s="435"/>
      <c r="D331" s="312"/>
      <c r="E331" s="312"/>
      <c r="F331" s="313"/>
      <c r="G331" s="309"/>
      <c r="H331" s="87" t="s">
        <v>69</v>
      </c>
      <c r="I331" s="223">
        <v>31660.86</v>
      </c>
      <c r="J331" s="223">
        <f>I331/D325</f>
        <v>2.2400000000000002</v>
      </c>
      <c r="K331" s="223">
        <f>47971/D325</f>
        <v>3.39</v>
      </c>
    </row>
    <row r="332" spans="1:11" ht="63" x14ac:dyDescent="0.25">
      <c r="A332" s="310"/>
      <c r="B332" s="310"/>
      <c r="C332" s="435"/>
      <c r="D332" s="312"/>
      <c r="E332" s="312"/>
      <c r="F332" s="313"/>
      <c r="G332" s="307" t="s">
        <v>174</v>
      </c>
      <c r="H332" s="87" t="s">
        <v>178</v>
      </c>
      <c r="I332" s="223">
        <f>12914.28+1371.43</f>
        <v>14285.71</v>
      </c>
      <c r="J332" s="223">
        <f>I332/D325</f>
        <v>1.01</v>
      </c>
      <c r="K332" s="223">
        <f>(22681+9600)/D325</f>
        <v>2.2799999999999998</v>
      </c>
    </row>
    <row r="333" spans="1:11" x14ac:dyDescent="0.25">
      <c r="A333" s="310"/>
      <c r="B333" s="310"/>
      <c r="C333" s="435"/>
      <c r="D333" s="312"/>
      <c r="E333" s="312"/>
      <c r="F333" s="313"/>
      <c r="G333" s="308"/>
      <c r="H333" s="87" t="s">
        <v>171</v>
      </c>
      <c r="I333" s="223">
        <v>1793799.04</v>
      </c>
      <c r="J333" s="223">
        <f>I333/D325</f>
        <v>126.72</v>
      </c>
      <c r="K333" s="223">
        <f>2241647/D325-0.01</f>
        <v>158.35</v>
      </c>
    </row>
    <row r="334" spans="1:11" x14ac:dyDescent="0.25">
      <c r="A334" s="310"/>
      <c r="B334" s="310"/>
      <c r="C334" s="435"/>
      <c r="D334" s="312"/>
      <c r="E334" s="312"/>
      <c r="F334" s="313"/>
      <c r="G334" s="309"/>
      <c r="H334" s="87" t="s">
        <v>69</v>
      </c>
      <c r="I334" s="223">
        <v>31660.86</v>
      </c>
      <c r="J334" s="223">
        <f>I334/D325</f>
        <v>2.2400000000000002</v>
      </c>
      <c r="K334" s="223">
        <f>47971/D325</f>
        <v>3.39</v>
      </c>
    </row>
    <row r="335" spans="1:11" ht="63" x14ac:dyDescent="0.25">
      <c r="A335" s="310"/>
      <c r="B335" s="310"/>
      <c r="C335" s="435"/>
      <c r="D335" s="312"/>
      <c r="E335" s="312"/>
      <c r="F335" s="313"/>
      <c r="G335" s="307" t="s">
        <v>175</v>
      </c>
      <c r="H335" s="87" t="s">
        <v>178</v>
      </c>
      <c r="I335" s="223">
        <f>12914.28+1371.43</f>
        <v>14285.71</v>
      </c>
      <c r="J335" s="223">
        <f>I335/D325</f>
        <v>1.01</v>
      </c>
      <c r="K335" s="223">
        <f>(22681+9600)/D325</f>
        <v>2.2799999999999998</v>
      </c>
    </row>
    <row r="336" spans="1:11" x14ac:dyDescent="0.25">
      <c r="A336" s="310"/>
      <c r="B336" s="310"/>
      <c r="C336" s="435"/>
      <c r="D336" s="312"/>
      <c r="E336" s="312"/>
      <c r="F336" s="313"/>
      <c r="G336" s="308"/>
      <c r="H336" s="87" t="s">
        <v>171</v>
      </c>
      <c r="I336" s="266">
        <v>1793799.04</v>
      </c>
      <c r="J336" s="223">
        <f>I336/D325-0.01</f>
        <v>126.71</v>
      </c>
      <c r="K336" s="223">
        <f>2241647/D325-0.01</f>
        <v>158.35</v>
      </c>
    </row>
    <row r="337" spans="1:11" x14ac:dyDescent="0.25">
      <c r="A337" s="310"/>
      <c r="B337" s="310"/>
      <c r="C337" s="435"/>
      <c r="D337" s="312"/>
      <c r="E337" s="312"/>
      <c r="F337" s="313"/>
      <c r="G337" s="309"/>
      <c r="H337" s="87" t="s">
        <v>69</v>
      </c>
      <c r="I337" s="223">
        <v>31660.86</v>
      </c>
      <c r="J337" s="223">
        <f>I337/D325</f>
        <v>2.2400000000000002</v>
      </c>
      <c r="K337" s="223">
        <f>47971/D325</f>
        <v>3.39</v>
      </c>
    </row>
    <row r="338" spans="1:11" ht="63" x14ac:dyDescent="0.25">
      <c r="A338" s="310"/>
      <c r="B338" s="310"/>
      <c r="C338" s="435"/>
      <c r="D338" s="312"/>
      <c r="E338" s="312"/>
      <c r="F338" s="313"/>
      <c r="G338" s="307" t="s">
        <v>172</v>
      </c>
      <c r="H338" s="87" t="s">
        <v>178</v>
      </c>
      <c r="I338" s="223">
        <f>12914.28+1371.43</f>
        <v>14285.71</v>
      </c>
      <c r="J338" s="223">
        <f>I338/D325</f>
        <v>1.01</v>
      </c>
      <c r="K338" s="223">
        <f>(22681+9600)/D325</f>
        <v>2.2799999999999998</v>
      </c>
    </row>
    <row r="339" spans="1:11" x14ac:dyDescent="0.25">
      <c r="A339" s="310"/>
      <c r="B339" s="310"/>
      <c r="C339" s="435"/>
      <c r="D339" s="312"/>
      <c r="E339" s="312"/>
      <c r="F339" s="313"/>
      <c r="G339" s="308"/>
      <c r="H339" s="87" t="s">
        <v>171</v>
      </c>
      <c r="I339" s="223">
        <v>1793798.82</v>
      </c>
      <c r="J339" s="223">
        <f>I339/D325</f>
        <v>126.72</v>
      </c>
      <c r="K339" s="223">
        <f>2241647/D325</f>
        <v>158.36000000000001</v>
      </c>
    </row>
    <row r="340" spans="1:11" x14ac:dyDescent="0.25">
      <c r="A340" s="310"/>
      <c r="B340" s="310"/>
      <c r="C340" s="435"/>
      <c r="D340" s="312"/>
      <c r="E340" s="312"/>
      <c r="F340" s="313"/>
      <c r="G340" s="309"/>
      <c r="H340" s="87" t="s">
        <v>69</v>
      </c>
      <c r="I340" s="223">
        <v>31660.86</v>
      </c>
      <c r="J340" s="223">
        <f>I340/D325</f>
        <v>2.2400000000000002</v>
      </c>
      <c r="K340" s="223">
        <f>47971/D325</f>
        <v>3.39</v>
      </c>
    </row>
    <row r="341" spans="1:11" ht="63" x14ac:dyDescent="0.25">
      <c r="A341" s="310"/>
      <c r="B341" s="310"/>
      <c r="C341" s="435"/>
      <c r="D341" s="312"/>
      <c r="E341" s="312"/>
      <c r="F341" s="313"/>
      <c r="G341" s="307" t="s">
        <v>440</v>
      </c>
      <c r="H341" s="87" t="s">
        <v>178</v>
      </c>
      <c r="I341" s="223">
        <f>12914.28+1371.43</f>
        <v>14285.71</v>
      </c>
      <c r="J341" s="223">
        <f>I341/D325</f>
        <v>1.01</v>
      </c>
      <c r="K341" s="223">
        <f>(22681+9600)/D325</f>
        <v>2.2799999999999998</v>
      </c>
    </row>
    <row r="342" spans="1:11" x14ac:dyDescent="0.25">
      <c r="A342" s="310"/>
      <c r="B342" s="310"/>
      <c r="C342" s="435"/>
      <c r="D342" s="312"/>
      <c r="E342" s="312"/>
      <c r="F342" s="313"/>
      <c r="G342" s="308"/>
      <c r="H342" s="87" t="s">
        <v>171</v>
      </c>
      <c r="I342" s="223">
        <v>1793798.82</v>
      </c>
      <c r="J342" s="223">
        <f>I342/D325</f>
        <v>126.72</v>
      </c>
      <c r="K342" s="223">
        <f>2241647/D325</f>
        <v>158.36000000000001</v>
      </c>
    </row>
    <row r="343" spans="1:11" x14ac:dyDescent="0.25">
      <c r="A343" s="310"/>
      <c r="B343" s="310"/>
      <c r="C343" s="435"/>
      <c r="D343" s="312"/>
      <c r="E343" s="312"/>
      <c r="F343" s="313"/>
      <c r="G343" s="309"/>
      <c r="H343" s="87" t="s">
        <v>69</v>
      </c>
      <c r="I343" s="223">
        <v>31660.86</v>
      </c>
      <c r="J343" s="223">
        <f>I343/D325</f>
        <v>2.2400000000000002</v>
      </c>
      <c r="K343" s="223">
        <f>47971/D325</f>
        <v>3.39</v>
      </c>
    </row>
    <row r="344" spans="1:11" ht="63" x14ac:dyDescent="0.25">
      <c r="A344" s="310"/>
      <c r="B344" s="310"/>
      <c r="C344" s="435"/>
      <c r="D344" s="312"/>
      <c r="E344" s="312"/>
      <c r="F344" s="313"/>
      <c r="G344" s="307" t="s">
        <v>449</v>
      </c>
      <c r="H344" s="87" t="s">
        <v>178</v>
      </c>
      <c r="I344" s="223">
        <f>12914.28+1371.42</f>
        <v>14285.7</v>
      </c>
      <c r="J344" s="223">
        <f>I344/D325</f>
        <v>1.01</v>
      </c>
      <c r="K344" s="223">
        <f>(22681+9600)/D325</f>
        <v>2.2799999999999998</v>
      </c>
    </row>
    <row r="345" spans="1:11" x14ac:dyDescent="0.25">
      <c r="A345" s="310"/>
      <c r="B345" s="310"/>
      <c r="C345" s="435"/>
      <c r="D345" s="312"/>
      <c r="E345" s="312"/>
      <c r="F345" s="313"/>
      <c r="G345" s="308"/>
      <c r="H345" s="87" t="s">
        <v>171</v>
      </c>
      <c r="I345" s="266">
        <v>1790427.33</v>
      </c>
      <c r="J345" s="223">
        <f>I345/D325</f>
        <v>126.48</v>
      </c>
      <c r="K345" s="223">
        <f>2241647/D325</f>
        <v>158.36000000000001</v>
      </c>
    </row>
    <row r="346" spans="1:11" x14ac:dyDescent="0.25">
      <c r="A346" s="310"/>
      <c r="B346" s="310"/>
      <c r="C346" s="435"/>
      <c r="D346" s="312"/>
      <c r="E346" s="312"/>
      <c r="F346" s="313"/>
      <c r="G346" s="309"/>
      <c r="H346" s="87" t="s">
        <v>69</v>
      </c>
      <c r="I346" s="267">
        <v>31660.86</v>
      </c>
      <c r="J346" s="223">
        <f>I346/D325</f>
        <v>2.2400000000000002</v>
      </c>
      <c r="K346" s="223">
        <f>47971/D325</f>
        <v>3.39</v>
      </c>
    </row>
    <row r="347" spans="1:11" x14ac:dyDescent="0.25">
      <c r="A347" s="81" t="s">
        <v>42</v>
      </c>
      <c r="B347" s="81"/>
      <c r="C347" s="81"/>
      <c r="D347" s="80">
        <f>D348+D350+D352+D354+D358+D360+D363+D366+D373+D376+D379+D383+D386+D388+D391+D394+D398+D401+D405+D409+D411+D416+D423+D432+D441+D446+D449+D451+D460+D465+D468+D477+D479+D482+D492+D501+D504+D511+D516+D521+D524+D526+D536+D541+D544+D547+D550+D555+D558+D561+D564+D567+D569+D574+D577+D580+D583+D586+D589+D592+D595+D597+D600+D616+D619+D622+D625+D628+D631+D634+D644+D649+D658+D668+D672+D681+D684+D687+D690+D693+D698+D701+D703+D706+D708+D711+D714+D716+D719+D722+D731+D734+D739+D742+D744+D747+D750+D753+D756+D759+D762+D764+D766+D775+D777+D779+D782+D785+D787+D789+D791+D793+D812+D815+D819+D823+D826+D829+D831+D833+D835+D839+D843+D845+D849+D852+D855+D858+D860+D863+D865+D868+D871+D874+D884+D886+D894+D900+D912+D922+D925</f>
        <v>728238.82</v>
      </c>
      <c r="E347" s="80"/>
      <c r="F347" s="83"/>
      <c r="G347" s="145"/>
      <c r="H347" s="84"/>
      <c r="I347" s="223">
        <f>I348+I350+I352+I354+I358+I360+I363+I366+I373+I376+I379+I383+I386+I388+I391+I394+I398+I401+I405+I409+I411+I416+I423+I432+I441+I446+I449+I451+I460+I465+I468+I477+I479+I482+I492+I501+I504+I511+I516+I521+I524+I526+I536+I541+I544+I547+I550+I555+I558+I561+I564+I567+I569+I574+I577+I580+I583+I586+I589+I592+I595+I597+I600+I616+I619+I622+I625+I628+I631+I634+I644+I649+I658+I668+I672+I681+I684+I687+I690+I693+I698+I701+I703+I706+I708+I711+I714+I716+I719+I722+I731+I734+I739+I742+I744+I747+I750+I753+I756+I759+I762+I764+I766+I775+I777+I779+I782+I785+I787+I789+I791+I793+I812+I815+I819+I823+I826+I829+I831+I833+I835+I839+I843+I845+I849+I852+I855+I858+I860+I863+I865+I868+I871+I874+I884+I886+I894+I900+I912+I922+I925</f>
        <v>601611526.89999998</v>
      </c>
      <c r="J347" s="223"/>
      <c r="K347" s="223"/>
    </row>
    <row r="348" spans="1:11" ht="15.75" customHeight="1" x14ac:dyDescent="0.25">
      <c r="A348" s="310">
        <v>1</v>
      </c>
      <c r="B348" s="310">
        <v>122</v>
      </c>
      <c r="C348" s="333" t="s">
        <v>573</v>
      </c>
      <c r="D348" s="312">
        <v>821.3</v>
      </c>
      <c r="E348" s="312" t="s">
        <v>73</v>
      </c>
      <c r="F348" s="313">
        <v>3</v>
      </c>
      <c r="G348" s="310" t="s">
        <v>74</v>
      </c>
      <c r="H348" s="87" t="s">
        <v>66</v>
      </c>
      <c r="I348" s="223">
        <f>I349</f>
        <v>57758</v>
      </c>
      <c r="J348" s="223">
        <f>J349</f>
        <v>70.33</v>
      </c>
      <c r="K348" s="223">
        <f>K349</f>
        <v>73</v>
      </c>
    </row>
    <row r="349" spans="1:11" ht="47.25" customHeight="1" x14ac:dyDescent="0.25">
      <c r="A349" s="310"/>
      <c r="B349" s="310"/>
      <c r="C349" s="333"/>
      <c r="D349" s="312"/>
      <c r="E349" s="312"/>
      <c r="F349" s="313"/>
      <c r="G349" s="310"/>
      <c r="H349" s="87" t="s">
        <v>168</v>
      </c>
      <c r="I349" s="223">
        <v>57758</v>
      </c>
      <c r="J349" s="223">
        <f>I349/D348</f>
        <v>70.33</v>
      </c>
      <c r="K349" s="223">
        <f>60+13</f>
        <v>73</v>
      </c>
    </row>
    <row r="350" spans="1:11" ht="15.75" customHeight="1" x14ac:dyDescent="0.25">
      <c r="A350" s="310">
        <f>A348+1</f>
        <v>2</v>
      </c>
      <c r="B350" s="310">
        <v>123</v>
      </c>
      <c r="C350" s="333" t="s">
        <v>574</v>
      </c>
      <c r="D350" s="312">
        <v>824.1</v>
      </c>
      <c r="E350" s="312" t="s">
        <v>73</v>
      </c>
      <c r="F350" s="313">
        <v>3</v>
      </c>
      <c r="G350" s="310" t="s">
        <v>74</v>
      </c>
      <c r="H350" s="87" t="s">
        <v>66</v>
      </c>
      <c r="I350" s="223">
        <f>I351</f>
        <v>57926</v>
      </c>
      <c r="J350" s="223">
        <f>J351</f>
        <v>70.290000000000006</v>
      </c>
      <c r="K350" s="223">
        <f>K351</f>
        <v>73</v>
      </c>
    </row>
    <row r="351" spans="1:11" ht="47.25" customHeight="1" x14ac:dyDescent="0.25">
      <c r="A351" s="310"/>
      <c r="B351" s="310"/>
      <c r="C351" s="333"/>
      <c r="D351" s="312"/>
      <c r="E351" s="312"/>
      <c r="F351" s="313"/>
      <c r="G351" s="310"/>
      <c r="H351" s="87" t="s">
        <v>168</v>
      </c>
      <c r="I351" s="223">
        <v>57926</v>
      </c>
      <c r="J351" s="223">
        <f>I351/D350</f>
        <v>70.290000000000006</v>
      </c>
      <c r="K351" s="223">
        <f>60+13</f>
        <v>73</v>
      </c>
    </row>
    <row r="352" spans="1:11" ht="15.75" customHeight="1" x14ac:dyDescent="0.25">
      <c r="A352" s="310">
        <f>A350+1</f>
        <v>3</v>
      </c>
      <c r="B352" s="310">
        <v>131</v>
      </c>
      <c r="C352" s="333" t="s">
        <v>575</v>
      </c>
      <c r="D352" s="312">
        <v>829.3</v>
      </c>
      <c r="E352" s="312" t="s">
        <v>73</v>
      </c>
      <c r="F352" s="313">
        <v>3</v>
      </c>
      <c r="G352" s="310" t="s">
        <v>74</v>
      </c>
      <c r="H352" s="87" t="s">
        <v>66</v>
      </c>
      <c r="I352" s="223">
        <f>I353</f>
        <v>58238</v>
      </c>
      <c r="J352" s="223">
        <f>J353</f>
        <v>70.23</v>
      </c>
      <c r="K352" s="223">
        <f>K353</f>
        <v>73</v>
      </c>
    </row>
    <row r="353" spans="1:11" ht="47.25" customHeight="1" x14ac:dyDescent="0.25">
      <c r="A353" s="310"/>
      <c r="B353" s="310"/>
      <c r="C353" s="333"/>
      <c r="D353" s="312"/>
      <c r="E353" s="312"/>
      <c r="F353" s="313"/>
      <c r="G353" s="310"/>
      <c r="H353" s="87" t="s">
        <v>168</v>
      </c>
      <c r="I353" s="223">
        <v>58238</v>
      </c>
      <c r="J353" s="223">
        <f>I353/D352</f>
        <v>70.23</v>
      </c>
      <c r="K353" s="223">
        <f>60+13</f>
        <v>73</v>
      </c>
    </row>
    <row r="354" spans="1:11" x14ac:dyDescent="0.25">
      <c r="A354" s="310">
        <f>A352+1</f>
        <v>4</v>
      </c>
      <c r="B354" s="310">
        <v>481</v>
      </c>
      <c r="C354" s="333" t="s">
        <v>355</v>
      </c>
      <c r="D354" s="312">
        <v>1590.2</v>
      </c>
      <c r="E354" s="312" t="s">
        <v>68</v>
      </c>
      <c r="F354" s="313">
        <v>5</v>
      </c>
      <c r="G354" s="310" t="s">
        <v>74</v>
      </c>
      <c r="H354" s="87" t="s">
        <v>66</v>
      </c>
      <c r="I354" s="223">
        <f>I355+I356+I357</f>
        <v>366387.44</v>
      </c>
      <c r="J354" s="223">
        <f>J355+J356+J357</f>
        <v>230.4</v>
      </c>
      <c r="K354" s="223">
        <f>K355+K356+K357</f>
        <v>409</v>
      </c>
    </row>
    <row r="355" spans="1:11" ht="63" x14ac:dyDescent="0.25">
      <c r="A355" s="310"/>
      <c r="B355" s="310"/>
      <c r="C355" s="333"/>
      <c r="D355" s="312"/>
      <c r="E355" s="312"/>
      <c r="F355" s="313"/>
      <c r="G355" s="310"/>
      <c r="H355" s="87" t="s">
        <v>168</v>
      </c>
      <c r="I355" s="223">
        <v>61826.8</v>
      </c>
      <c r="J355" s="223">
        <f>I355/D354</f>
        <v>38.880000000000003</v>
      </c>
      <c r="K355" s="223">
        <f>34+13</f>
        <v>47</v>
      </c>
    </row>
    <row r="356" spans="1:11" x14ac:dyDescent="0.25">
      <c r="A356" s="310"/>
      <c r="B356" s="310"/>
      <c r="C356" s="333"/>
      <c r="D356" s="312"/>
      <c r="E356" s="312"/>
      <c r="F356" s="313"/>
      <c r="G356" s="310"/>
      <c r="H356" s="87" t="s">
        <v>67</v>
      </c>
      <c r="I356" s="223">
        <v>298179.59999999998</v>
      </c>
      <c r="J356" s="223">
        <f>I356/D354</f>
        <v>187.51</v>
      </c>
      <c r="K356" s="223">
        <v>354</v>
      </c>
    </row>
    <row r="357" spans="1:11" x14ac:dyDescent="0.25">
      <c r="A357" s="310"/>
      <c r="B357" s="310"/>
      <c r="C357" s="333"/>
      <c r="D357" s="312"/>
      <c r="E357" s="312"/>
      <c r="F357" s="313"/>
      <c r="G357" s="310"/>
      <c r="H357" s="87" t="s">
        <v>69</v>
      </c>
      <c r="I357" s="223">
        <v>6381.04</v>
      </c>
      <c r="J357" s="223">
        <f>I357/D354</f>
        <v>4.01</v>
      </c>
      <c r="K357" s="223">
        <v>8</v>
      </c>
    </row>
    <row r="358" spans="1:11" ht="15.75" customHeight="1" x14ac:dyDescent="0.25">
      <c r="A358" s="310">
        <f>A354+1</f>
        <v>5</v>
      </c>
      <c r="B358" s="310">
        <v>368</v>
      </c>
      <c r="C358" s="333" t="s">
        <v>539</v>
      </c>
      <c r="D358" s="312">
        <v>3670.2</v>
      </c>
      <c r="E358" s="312" t="s">
        <v>68</v>
      </c>
      <c r="F358" s="313">
        <v>5</v>
      </c>
      <c r="G358" s="310" t="s">
        <v>74</v>
      </c>
      <c r="H358" s="87" t="s">
        <v>66</v>
      </c>
      <c r="I358" s="223">
        <f>I359</f>
        <v>88084.800000000003</v>
      </c>
      <c r="J358" s="223">
        <f>J359</f>
        <v>24</v>
      </c>
      <c r="K358" s="223">
        <f>K359</f>
        <v>24</v>
      </c>
    </row>
    <row r="359" spans="1:11" ht="47.25" customHeight="1" x14ac:dyDescent="0.25">
      <c r="A359" s="310"/>
      <c r="B359" s="310"/>
      <c r="C359" s="333"/>
      <c r="D359" s="312"/>
      <c r="E359" s="312"/>
      <c r="F359" s="313"/>
      <c r="G359" s="310"/>
      <c r="H359" s="87" t="s">
        <v>168</v>
      </c>
      <c r="I359" s="223">
        <f>D358*K359</f>
        <v>88084.800000000003</v>
      </c>
      <c r="J359" s="223">
        <f>I359/D358</f>
        <v>24</v>
      </c>
      <c r="K359" s="223">
        <f>22+2</f>
        <v>24</v>
      </c>
    </row>
    <row r="360" spans="1:11" x14ac:dyDescent="0.25">
      <c r="A360" s="310">
        <f>A358+1</f>
        <v>6</v>
      </c>
      <c r="B360" s="310">
        <v>842</v>
      </c>
      <c r="C360" s="333" t="s">
        <v>94</v>
      </c>
      <c r="D360" s="312">
        <v>4014.5</v>
      </c>
      <c r="E360" s="312" t="s">
        <v>64</v>
      </c>
      <c r="F360" s="313">
        <v>5</v>
      </c>
      <c r="G360" s="310" t="s">
        <v>65</v>
      </c>
      <c r="H360" s="87" t="s">
        <v>66</v>
      </c>
      <c r="I360" s="223">
        <f>I361+I362</f>
        <v>4699894.47</v>
      </c>
      <c r="J360" s="223">
        <f>J361+J362</f>
        <v>1170.73</v>
      </c>
      <c r="K360" s="223">
        <f>K361+K362</f>
        <v>3878</v>
      </c>
    </row>
    <row r="361" spans="1:11" x14ac:dyDescent="0.25">
      <c r="A361" s="310">
        <v>76</v>
      </c>
      <c r="B361" s="310"/>
      <c r="C361" s="333"/>
      <c r="D361" s="310"/>
      <c r="E361" s="312"/>
      <c r="F361" s="313"/>
      <c r="G361" s="310"/>
      <c r="H361" s="87" t="s">
        <v>67</v>
      </c>
      <c r="I361" s="223">
        <v>4601424</v>
      </c>
      <c r="J361" s="223">
        <f>I361/D360</f>
        <v>1146.2</v>
      </c>
      <c r="K361" s="223">
        <v>3797</v>
      </c>
    </row>
    <row r="362" spans="1:11" x14ac:dyDescent="0.25">
      <c r="A362" s="310"/>
      <c r="B362" s="310"/>
      <c r="C362" s="333"/>
      <c r="D362" s="310"/>
      <c r="E362" s="312"/>
      <c r="F362" s="313"/>
      <c r="G362" s="310"/>
      <c r="H362" s="87" t="s">
        <v>69</v>
      </c>
      <c r="I362" s="223">
        <v>98470.47</v>
      </c>
      <c r="J362" s="223">
        <f>I362/D360</f>
        <v>24.53</v>
      </c>
      <c r="K362" s="223">
        <v>81</v>
      </c>
    </row>
    <row r="363" spans="1:11" x14ac:dyDescent="0.25">
      <c r="A363" s="310">
        <f>A360+1</f>
        <v>7</v>
      </c>
      <c r="B363" s="310">
        <v>743</v>
      </c>
      <c r="C363" s="333" t="s">
        <v>356</v>
      </c>
      <c r="D363" s="312">
        <v>3996.6</v>
      </c>
      <c r="E363" s="312" t="s">
        <v>64</v>
      </c>
      <c r="F363" s="313">
        <v>5</v>
      </c>
      <c r="G363" s="310" t="s">
        <v>65</v>
      </c>
      <c r="H363" s="87" t="s">
        <v>66</v>
      </c>
      <c r="I363" s="223">
        <f>I364+I365</f>
        <v>14158021.699999999</v>
      </c>
      <c r="J363" s="223">
        <f>J364+J365</f>
        <v>3542.52</v>
      </c>
      <c r="K363" s="223">
        <f>K364+K365</f>
        <v>3878</v>
      </c>
    </row>
    <row r="364" spans="1:11" x14ac:dyDescent="0.25">
      <c r="A364" s="310">
        <v>76</v>
      </c>
      <c r="B364" s="310"/>
      <c r="C364" s="333"/>
      <c r="D364" s="310"/>
      <c r="E364" s="312"/>
      <c r="F364" s="313"/>
      <c r="G364" s="310"/>
      <c r="H364" s="87" t="s">
        <v>67</v>
      </c>
      <c r="I364" s="223">
        <v>13861388</v>
      </c>
      <c r="J364" s="223">
        <f>I364/D363</f>
        <v>3468.3</v>
      </c>
      <c r="K364" s="223">
        <v>3797</v>
      </c>
    </row>
    <row r="365" spans="1:11" x14ac:dyDescent="0.25">
      <c r="A365" s="310"/>
      <c r="B365" s="310"/>
      <c r="C365" s="333"/>
      <c r="D365" s="310"/>
      <c r="E365" s="312"/>
      <c r="F365" s="313"/>
      <c r="G365" s="310"/>
      <c r="H365" s="87" t="s">
        <v>69</v>
      </c>
      <c r="I365" s="223">
        <v>296633.7</v>
      </c>
      <c r="J365" s="223">
        <f>I365/D363</f>
        <v>74.22</v>
      </c>
      <c r="K365" s="223">
        <v>81</v>
      </c>
    </row>
    <row r="366" spans="1:11" x14ac:dyDescent="0.25">
      <c r="A366" s="310">
        <f>A363+1</f>
        <v>8</v>
      </c>
      <c r="B366" s="310">
        <v>8171</v>
      </c>
      <c r="C366" s="333" t="s">
        <v>480</v>
      </c>
      <c r="D366" s="312">
        <v>4315.3999999999996</v>
      </c>
      <c r="E366" s="312" t="s">
        <v>68</v>
      </c>
      <c r="F366" s="313">
        <v>10</v>
      </c>
      <c r="G366" s="145"/>
      <c r="H366" s="87" t="s">
        <v>66</v>
      </c>
      <c r="I366" s="223">
        <f>I367+I368+I369+I370+I371+I372</f>
        <v>3623759.74</v>
      </c>
      <c r="J366" s="223">
        <f t="shared" ref="J366:K366" si="13">J367+J368+J369+J370+J371+J372</f>
        <v>839.73</v>
      </c>
      <c r="K366" s="223">
        <f t="shared" si="13"/>
        <v>1178.8599999999999</v>
      </c>
    </row>
    <row r="367" spans="1:11" ht="63" x14ac:dyDescent="0.25">
      <c r="A367" s="310"/>
      <c r="B367" s="310"/>
      <c r="C367" s="333"/>
      <c r="D367" s="312"/>
      <c r="E367" s="312"/>
      <c r="F367" s="313"/>
      <c r="G367" s="307" t="s">
        <v>170</v>
      </c>
      <c r="H367" s="87" t="s">
        <v>168</v>
      </c>
      <c r="I367" s="223">
        <v>22681</v>
      </c>
      <c r="J367" s="223">
        <f>I367/D366</f>
        <v>5.26</v>
      </c>
      <c r="K367" s="223">
        <f>32281/D366</f>
        <v>7.48</v>
      </c>
    </row>
    <row r="368" spans="1:11" ht="15.75" customHeight="1" x14ac:dyDescent="0.25">
      <c r="A368" s="310">
        <v>756</v>
      </c>
      <c r="B368" s="310"/>
      <c r="C368" s="333"/>
      <c r="D368" s="312"/>
      <c r="E368" s="312"/>
      <c r="F368" s="313"/>
      <c r="G368" s="308"/>
      <c r="H368" s="87" t="s">
        <v>171</v>
      </c>
      <c r="I368" s="223">
        <v>1753945.49</v>
      </c>
      <c r="J368" s="223">
        <f>I368/D366-0.01</f>
        <v>406.43</v>
      </c>
      <c r="K368" s="223">
        <f>2458756/D366</f>
        <v>569.76</v>
      </c>
    </row>
    <row r="369" spans="1:11" x14ac:dyDescent="0.25">
      <c r="A369" s="310">
        <v>757</v>
      </c>
      <c r="B369" s="310"/>
      <c r="C369" s="333"/>
      <c r="D369" s="312"/>
      <c r="E369" s="312"/>
      <c r="F369" s="313"/>
      <c r="G369" s="309"/>
      <c r="H369" s="87" t="s">
        <v>69</v>
      </c>
      <c r="I369" s="223">
        <v>35253.379999999997</v>
      </c>
      <c r="J369" s="223">
        <f>I369/D366</f>
        <v>8.17</v>
      </c>
      <c r="K369" s="223">
        <f>52617/D366</f>
        <v>12.19</v>
      </c>
    </row>
    <row r="370" spans="1:11" ht="63" x14ac:dyDescent="0.25">
      <c r="A370" s="310"/>
      <c r="B370" s="310"/>
      <c r="C370" s="333"/>
      <c r="D370" s="312"/>
      <c r="E370" s="312"/>
      <c r="F370" s="313"/>
      <c r="G370" s="307" t="s">
        <v>173</v>
      </c>
      <c r="H370" s="87" t="s">
        <v>168</v>
      </c>
      <c r="I370" s="223">
        <v>22681</v>
      </c>
      <c r="J370" s="223">
        <f>I370/D366</f>
        <v>5.26</v>
      </c>
      <c r="K370" s="223">
        <f>32281/D366</f>
        <v>7.48</v>
      </c>
    </row>
    <row r="371" spans="1:11" ht="15.75" customHeight="1" x14ac:dyDescent="0.25">
      <c r="A371" s="310"/>
      <c r="B371" s="310"/>
      <c r="C371" s="333"/>
      <c r="D371" s="312"/>
      <c r="E371" s="312"/>
      <c r="F371" s="313"/>
      <c r="G371" s="308"/>
      <c r="H371" s="87" t="s">
        <v>171</v>
      </c>
      <c r="I371" s="223">
        <v>1753945.49</v>
      </c>
      <c r="J371" s="223">
        <f>I371/D366</f>
        <v>406.44</v>
      </c>
      <c r="K371" s="223">
        <f>2458756/D366</f>
        <v>569.76</v>
      </c>
    </row>
    <row r="372" spans="1:11" x14ac:dyDescent="0.25">
      <c r="A372" s="310"/>
      <c r="B372" s="310"/>
      <c r="C372" s="333"/>
      <c r="D372" s="312"/>
      <c r="E372" s="312"/>
      <c r="F372" s="313"/>
      <c r="G372" s="309"/>
      <c r="H372" s="87" t="s">
        <v>69</v>
      </c>
      <c r="I372" s="223">
        <v>35253.379999999997</v>
      </c>
      <c r="J372" s="223">
        <f>I372/D366</f>
        <v>8.17</v>
      </c>
      <c r="K372" s="223">
        <f>52617/D366</f>
        <v>12.19</v>
      </c>
    </row>
    <row r="373" spans="1:11" x14ac:dyDescent="0.25">
      <c r="A373" s="310">
        <f>A366+1</f>
        <v>9</v>
      </c>
      <c r="B373" s="310">
        <v>606</v>
      </c>
      <c r="C373" s="333" t="s">
        <v>121</v>
      </c>
      <c r="D373" s="312">
        <v>5825.7</v>
      </c>
      <c r="E373" s="312" t="s">
        <v>68</v>
      </c>
      <c r="F373" s="313">
        <v>5</v>
      </c>
      <c r="G373" s="310" t="s">
        <v>65</v>
      </c>
      <c r="H373" s="87" t="s">
        <v>66</v>
      </c>
      <c r="I373" s="223">
        <f>I374+I375</f>
        <v>14707949.59</v>
      </c>
      <c r="J373" s="223">
        <f>J374+J375</f>
        <v>2524.67</v>
      </c>
      <c r="K373" s="223">
        <f>K374+K375</f>
        <v>3878</v>
      </c>
    </row>
    <row r="374" spans="1:11" x14ac:dyDescent="0.25">
      <c r="A374" s="310">
        <v>75</v>
      </c>
      <c r="B374" s="310"/>
      <c r="C374" s="333"/>
      <c r="D374" s="310"/>
      <c r="E374" s="312"/>
      <c r="F374" s="313"/>
      <c r="G374" s="310"/>
      <c r="H374" s="87" t="s">
        <v>67</v>
      </c>
      <c r="I374" s="223">
        <v>14399794</v>
      </c>
      <c r="J374" s="223">
        <f>I374/D373</f>
        <v>2471.77</v>
      </c>
      <c r="K374" s="223">
        <v>3797</v>
      </c>
    </row>
    <row r="375" spans="1:11" x14ac:dyDescent="0.25">
      <c r="A375" s="310"/>
      <c r="B375" s="310"/>
      <c r="C375" s="333"/>
      <c r="D375" s="310"/>
      <c r="E375" s="312"/>
      <c r="F375" s="313"/>
      <c r="G375" s="310"/>
      <c r="H375" s="87" t="s">
        <v>69</v>
      </c>
      <c r="I375" s="223">
        <f>I374*0.0214</f>
        <v>308155.59000000003</v>
      </c>
      <c r="J375" s="223">
        <f>I375/D373</f>
        <v>52.9</v>
      </c>
      <c r="K375" s="223">
        <v>81</v>
      </c>
    </row>
    <row r="376" spans="1:11" x14ac:dyDescent="0.25">
      <c r="A376" s="310">
        <f>A373+1</f>
        <v>10</v>
      </c>
      <c r="B376" s="310">
        <v>717</v>
      </c>
      <c r="C376" s="333" t="s">
        <v>122</v>
      </c>
      <c r="D376" s="312">
        <v>2621.92</v>
      </c>
      <c r="E376" s="312" t="s">
        <v>64</v>
      </c>
      <c r="F376" s="313">
        <v>5</v>
      </c>
      <c r="G376" s="310" t="s">
        <v>65</v>
      </c>
      <c r="H376" s="87" t="s">
        <v>66</v>
      </c>
      <c r="I376" s="223">
        <f>I377+I378</f>
        <v>7929872.7199999997</v>
      </c>
      <c r="J376" s="223">
        <f>J377+J378</f>
        <v>3024.45</v>
      </c>
      <c r="K376" s="223">
        <f>K377+K378</f>
        <v>3878</v>
      </c>
    </row>
    <row r="377" spans="1:11" x14ac:dyDescent="0.25">
      <c r="A377" s="310">
        <v>75</v>
      </c>
      <c r="B377" s="310"/>
      <c r="C377" s="333"/>
      <c r="D377" s="310"/>
      <c r="E377" s="312"/>
      <c r="F377" s="313"/>
      <c r="G377" s="310"/>
      <c r="H377" s="87" t="s">
        <v>67</v>
      </c>
      <c r="I377" s="223">
        <v>7763728.9199999999</v>
      </c>
      <c r="J377" s="223">
        <f>I377/D376-0.01</f>
        <v>2961.08</v>
      </c>
      <c r="K377" s="223">
        <v>3797</v>
      </c>
    </row>
    <row r="378" spans="1:11" x14ac:dyDescent="0.25">
      <c r="A378" s="310"/>
      <c r="B378" s="310"/>
      <c r="C378" s="333"/>
      <c r="D378" s="310"/>
      <c r="E378" s="312"/>
      <c r="F378" s="313"/>
      <c r="G378" s="310"/>
      <c r="H378" s="87" t="s">
        <v>69</v>
      </c>
      <c r="I378" s="223">
        <v>166143.79999999999</v>
      </c>
      <c r="J378" s="223">
        <f>I378/D376</f>
        <v>63.37</v>
      </c>
      <c r="K378" s="223">
        <v>81</v>
      </c>
    </row>
    <row r="379" spans="1:11" x14ac:dyDescent="0.25">
      <c r="A379" s="310">
        <f>A376+1</f>
        <v>11</v>
      </c>
      <c r="B379" s="310">
        <v>537</v>
      </c>
      <c r="C379" s="333" t="s">
        <v>533</v>
      </c>
      <c r="D379" s="312">
        <v>3760.57</v>
      </c>
      <c r="E379" s="312" t="s">
        <v>68</v>
      </c>
      <c r="F379" s="313">
        <v>5</v>
      </c>
      <c r="G379" s="310" t="s">
        <v>74</v>
      </c>
      <c r="H379" s="87" t="s">
        <v>66</v>
      </c>
      <c r="I379" s="223">
        <f>I380+I381+I382</f>
        <v>817302.3</v>
      </c>
      <c r="J379" s="223">
        <f>J380+J381+J382</f>
        <v>217.33</v>
      </c>
      <c r="K379" s="223">
        <f>K380+K381+K382</f>
        <v>431</v>
      </c>
    </row>
    <row r="380" spans="1:11" ht="63" x14ac:dyDescent="0.25">
      <c r="A380" s="310"/>
      <c r="B380" s="310"/>
      <c r="C380" s="333"/>
      <c r="D380" s="312"/>
      <c r="E380" s="312"/>
      <c r="F380" s="313"/>
      <c r="G380" s="310"/>
      <c r="H380" s="87" t="s">
        <v>168</v>
      </c>
      <c r="I380" s="223">
        <f>D379*K380</f>
        <v>90253.68</v>
      </c>
      <c r="J380" s="223">
        <f>I380/D379</f>
        <v>24</v>
      </c>
      <c r="K380" s="223">
        <f>22+2</f>
        <v>24</v>
      </c>
    </row>
    <row r="381" spans="1:11" x14ac:dyDescent="0.25">
      <c r="A381" s="310"/>
      <c r="B381" s="310"/>
      <c r="C381" s="333"/>
      <c r="D381" s="312"/>
      <c r="E381" s="312"/>
      <c r="F381" s="313"/>
      <c r="G381" s="310"/>
      <c r="H381" s="87" t="s">
        <v>67</v>
      </c>
      <c r="I381" s="223">
        <v>711815.76</v>
      </c>
      <c r="J381" s="223">
        <f>I381/D379</f>
        <v>189.28</v>
      </c>
      <c r="K381" s="223">
        <v>398</v>
      </c>
    </row>
    <row r="382" spans="1:11" x14ac:dyDescent="0.25">
      <c r="A382" s="310"/>
      <c r="B382" s="310"/>
      <c r="C382" s="333"/>
      <c r="D382" s="312"/>
      <c r="E382" s="312"/>
      <c r="F382" s="313"/>
      <c r="G382" s="310"/>
      <c r="H382" s="87" t="s">
        <v>69</v>
      </c>
      <c r="I382" s="223">
        <v>15232.86</v>
      </c>
      <c r="J382" s="223">
        <f>I382/D379</f>
        <v>4.05</v>
      </c>
      <c r="K382" s="223">
        <v>9</v>
      </c>
    </row>
    <row r="383" spans="1:11" x14ac:dyDescent="0.25">
      <c r="A383" s="310">
        <f>A379+1</f>
        <v>12</v>
      </c>
      <c r="B383" s="310">
        <v>720</v>
      </c>
      <c r="C383" s="333" t="s">
        <v>123</v>
      </c>
      <c r="D383" s="312">
        <v>5022</v>
      </c>
      <c r="E383" s="312" t="s">
        <v>68</v>
      </c>
      <c r="F383" s="313">
        <v>5</v>
      </c>
      <c r="G383" s="310" t="s">
        <v>65</v>
      </c>
      <c r="H383" s="87" t="s">
        <v>66</v>
      </c>
      <c r="I383" s="223">
        <f>I384+I385</f>
        <v>15787523.720000001</v>
      </c>
      <c r="J383" s="223">
        <f>J384+J385</f>
        <v>3143.67</v>
      </c>
      <c r="K383" s="223">
        <f>K384+K385</f>
        <v>3878</v>
      </c>
    </row>
    <row r="384" spans="1:11" x14ac:dyDescent="0.25">
      <c r="A384" s="310">
        <v>75</v>
      </c>
      <c r="B384" s="310"/>
      <c r="C384" s="333"/>
      <c r="D384" s="312"/>
      <c r="E384" s="312"/>
      <c r="F384" s="313"/>
      <c r="G384" s="310"/>
      <c r="H384" s="87" t="s">
        <v>67</v>
      </c>
      <c r="I384" s="223">
        <v>15456749.289999999</v>
      </c>
      <c r="J384" s="223">
        <f>I384/D383-0.01</f>
        <v>3077.8</v>
      </c>
      <c r="K384" s="223">
        <v>3797</v>
      </c>
    </row>
    <row r="385" spans="1:11" x14ac:dyDescent="0.25">
      <c r="A385" s="310"/>
      <c r="B385" s="310"/>
      <c r="C385" s="333"/>
      <c r="D385" s="312"/>
      <c r="E385" s="312"/>
      <c r="F385" s="313"/>
      <c r="G385" s="310"/>
      <c r="H385" s="87" t="s">
        <v>69</v>
      </c>
      <c r="I385" s="223">
        <v>330774.43</v>
      </c>
      <c r="J385" s="223">
        <f>I385/D383</f>
        <v>65.87</v>
      </c>
      <c r="K385" s="223">
        <v>81</v>
      </c>
    </row>
    <row r="386" spans="1:11" x14ac:dyDescent="0.25">
      <c r="A386" s="310">
        <f>A383+1</f>
        <v>13</v>
      </c>
      <c r="B386" s="310">
        <v>351</v>
      </c>
      <c r="C386" s="333" t="s">
        <v>534</v>
      </c>
      <c r="D386" s="312">
        <v>1260.4000000000001</v>
      </c>
      <c r="E386" s="312" t="s">
        <v>68</v>
      </c>
      <c r="F386" s="313">
        <v>4</v>
      </c>
      <c r="G386" s="310" t="s">
        <v>74</v>
      </c>
      <c r="H386" s="87" t="s">
        <v>66</v>
      </c>
      <c r="I386" s="223">
        <f>I387</f>
        <v>50933.599999999999</v>
      </c>
      <c r="J386" s="223">
        <f t="shared" ref="J386:K386" si="14">J387</f>
        <v>40.409999999999997</v>
      </c>
      <c r="K386" s="223">
        <f t="shared" si="14"/>
        <v>47</v>
      </c>
    </row>
    <row r="387" spans="1:11" ht="63" x14ac:dyDescent="0.25">
      <c r="A387" s="310"/>
      <c r="B387" s="310"/>
      <c r="C387" s="333"/>
      <c r="D387" s="312"/>
      <c r="E387" s="312"/>
      <c r="F387" s="313"/>
      <c r="G387" s="310"/>
      <c r="H387" s="87" t="s">
        <v>168</v>
      </c>
      <c r="I387" s="223">
        <v>50933.599999999999</v>
      </c>
      <c r="J387" s="223">
        <f>I387/D386</f>
        <v>40.409999999999997</v>
      </c>
      <c r="K387" s="223">
        <v>47</v>
      </c>
    </row>
    <row r="388" spans="1:11" x14ac:dyDescent="0.25">
      <c r="A388" s="310">
        <f>A386+1</f>
        <v>14</v>
      </c>
      <c r="B388" s="310">
        <v>575</v>
      </c>
      <c r="C388" s="333" t="s">
        <v>124</v>
      </c>
      <c r="D388" s="312">
        <v>6074.2</v>
      </c>
      <c r="E388" s="312" t="s">
        <v>68</v>
      </c>
      <c r="F388" s="313">
        <v>5</v>
      </c>
      <c r="G388" s="310" t="s">
        <v>74</v>
      </c>
      <c r="H388" s="87" t="s">
        <v>66</v>
      </c>
      <c r="I388" s="223">
        <f>I389+I390</f>
        <v>1599653.2</v>
      </c>
      <c r="J388" s="223">
        <f>J389+J390</f>
        <v>263.35000000000002</v>
      </c>
      <c r="K388" s="223">
        <f>K389+K390</f>
        <v>407</v>
      </c>
    </row>
    <row r="389" spans="1:11" x14ac:dyDescent="0.25">
      <c r="A389" s="310">
        <v>75</v>
      </c>
      <c r="B389" s="310"/>
      <c r="C389" s="333"/>
      <c r="D389" s="312"/>
      <c r="E389" s="312"/>
      <c r="F389" s="313"/>
      <c r="G389" s="310"/>
      <c r="H389" s="87" t="s">
        <v>67</v>
      </c>
      <c r="I389" s="223">
        <v>1575356.4</v>
      </c>
      <c r="J389" s="223">
        <f>I389/D388</f>
        <v>259.35000000000002</v>
      </c>
      <c r="K389" s="223">
        <v>398</v>
      </c>
    </row>
    <row r="390" spans="1:11" x14ac:dyDescent="0.25">
      <c r="A390" s="310"/>
      <c r="B390" s="310"/>
      <c r="C390" s="333"/>
      <c r="D390" s="312"/>
      <c r="E390" s="312"/>
      <c r="F390" s="313"/>
      <c r="G390" s="310"/>
      <c r="H390" s="87" t="s">
        <v>69</v>
      </c>
      <c r="I390" s="223">
        <v>24296.799999999999</v>
      </c>
      <c r="J390" s="223">
        <f>I390/D388</f>
        <v>4</v>
      </c>
      <c r="K390" s="223">
        <v>9</v>
      </c>
    </row>
    <row r="391" spans="1:11" x14ac:dyDescent="0.25">
      <c r="A391" s="310">
        <f>A388+1</f>
        <v>15</v>
      </c>
      <c r="B391" s="310">
        <v>618</v>
      </c>
      <c r="C391" s="333" t="s">
        <v>125</v>
      </c>
      <c r="D391" s="312">
        <v>4862.5</v>
      </c>
      <c r="E391" s="312" t="s">
        <v>68</v>
      </c>
      <c r="F391" s="313">
        <v>5</v>
      </c>
      <c r="G391" s="310" t="s">
        <v>74</v>
      </c>
      <c r="H391" s="87" t="s">
        <v>66</v>
      </c>
      <c r="I391" s="223">
        <f>I392+I393</f>
        <v>1191100.3999999999</v>
      </c>
      <c r="J391" s="223">
        <f>J392+J393</f>
        <v>244.96</v>
      </c>
      <c r="K391" s="223">
        <f>K392+K393</f>
        <v>407</v>
      </c>
    </row>
    <row r="392" spans="1:11" x14ac:dyDescent="0.25">
      <c r="A392" s="310">
        <v>75</v>
      </c>
      <c r="B392" s="310"/>
      <c r="C392" s="333"/>
      <c r="D392" s="312"/>
      <c r="E392" s="312"/>
      <c r="F392" s="313"/>
      <c r="G392" s="310"/>
      <c r="H392" s="87" t="s">
        <v>67</v>
      </c>
      <c r="I392" s="223">
        <v>1171182</v>
      </c>
      <c r="J392" s="223">
        <f>I392/D391</f>
        <v>240.86</v>
      </c>
      <c r="K392" s="223">
        <v>398</v>
      </c>
    </row>
    <row r="393" spans="1:11" x14ac:dyDescent="0.25">
      <c r="A393" s="310"/>
      <c r="B393" s="310"/>
      <c r="C393" s="333"/>
      <c r="D393" s="312"/>
      <c r="E393" s="312"/>
      <c r="F393" s="313"/>
      <c r="G393" s="310"/>
      <c r="H393" s="87" t="s">
        <v>69</v>
      </c>
      <c r="I393" s="223">
        <v>19918.400000000001</v>
      </c>
      <c r="J393" s="223">
        <f>I393/D391</f>
        <v>4.0999999999999996</v>
      </c>
      <c r="K393" s="223">
        <v>9</v>
      </c>
    </row>
    <row r="394" spans="1:11" x14ac:dyDescent="0.25">
      <c r="A394" s="310">
        <f>A391+1</f>
        <v>16</v>
      </c>
      <c r="B394" s="310">
        <v>436</v>
      </c>
      <c r="C394" s="333" t="s">
        <v>426</v>
      </c>
      <c r="D394" s="312">
        <v>3187.95</v>
      </c>
      <c r="E394" s="312" t="s">
        <v>68</v>
      </c>
      <c r="F394" s="313">
        <v>5</v>
      </c>
      <c r="G394" s="310" t="s">
        <v>74</v>
      </c>
      <c r="H394" s="87" t="s">
        <v>66</v>
      </c>
      <c r="I394" s="223">
        <f>I395+I396+I397</f>
        <v>753109.5</v>
      </c>
      <c r="J394" s="223">
        <f>J395+J396+J397</f>
        <v>236.24</v>
      </c>
      <c r="K394" s="223">
        <f>K395+K396+K397</f>
        <v>431</v>
      </c>
    </row>
    <row r="395" spans="1:11" ht="63" x14ac:dyDescent="0.25">
      <c r="A395" s="310"/>
      <c r="B395" s="310"/>
      <c r="C395" s="333"/>
      <c r="D395" s="312"/>
      <c r="E395" s="312"/>
      <c r="F395" s="313"/>
      <c r="G395" s="310"/>
      <c r="H395" s="87" t="s">
        <v>168</v>
      </c>
      <c r="I395" s="223">
        <f>D394*K395</f>
        <v>76510.8</v>
      </c>
      <c r="J395" s="223">
        <f>I395/D394</f>
        <v>24</v>
      </c>
      <c r="K395" s="223">
        <f>22+2</f>
        <v>24</v>
      </c>
    </row>
    <row r="396" spans="1:11" x14ac:dyDescent="0.25">
      <c r="A396" s="310"/>
      <c r="B396" s="310"/>
      <c r="C396" s="333"/>
      <c r="D396" s="312"/>
      <c r="E396" s="312"/>
      <c r="F396" s="313"/>
      <c r="G396" s="310"/>
      <c r="H396" s="87" t="s">
        <v>67</v>
      </c>
      <c r="I396" s="223">
        <v>662422.85</v>
      </c>
      <c r="J396" s="223">
        <f>I396/D394</f>
        <v>207.79</v>
      </c>
      <c r="K396" s="223">
        <v>398</v>
      </c>
    </row>
    <row r="397" spans="1:11" x14ac:dyDescent="0.25">
      <c r="A397" s="310"/>
      <c r="B397" s="310"/>
      <c r="C397" s="333"/>
      <c r="D397" s="312"/>
      <c r="E397" s="312"/>
      <c r="F397" s="313"/>
      <c r="G397" s="310"/>
      <c r="H397" s="87" t="s">
        <v>69</v>
      </c>
      <c r="I397" s="223">
        <v>14175.85</v>
      </c>
      <c r="J397" s="223">
        <f>I397/D394</f>
        <v>4.45</v>
      </c>
      <c r="K397" s="223">
        <v>9</v>
      </c>
    </row>
    <row r="398" spans="1:11" x14ac:dyDescent="0.25">
      <c r="A398" s="310">
        <f>A394+1</f>
        <v>17</v>
      </c>
      <c r="B398" s="310">
        <v>581</v>
      </c>
      <c r="C398" s="333" t="s">
        <v>126</v>
      </c>
      <c r="D398" s="312">
        <v>5442.2</v>
      </c>
      <c r="E398" s="312" t="s">
        <v>68</v>
      </c>
      <c r="F398" s="313">
        <v>5</v>
      </c>
      <c r="G398" s="310" t="s">
        <v>77</v>
      </c>
      <c r="H398" s="87" t="s">
        <v>66</v>
      </c>
      <c r="I398" s="223">
        <f>I399+I400</f>
        <v>2143906.52</v>
      </c>
      <c r="J398" s="223">
        <f>J399+J400</f>
        <v>393.94</v>
      </c>
      <c r="K398" s="223">
        <f>K399+K400</f>
        <v>655</v>
      </c>
    </row>
    <row r="399" spans="1:11" x14ac:dyDescent="0.25">
      <c r="A399" s="310">
        <v>75</v>
      </c>
      <c r="B399" s="310"/>
      <c r="C399" s="333"/>
      <c r="D399" s="312"/>
      <c r="E399" s="312"/>
      <c r="F399" s="313"/>
      <c r="G399" s="310"/>
      <c r="H399" s="87" t="s">
        <v>67</v>
      </c>
      <c r="I399" s="223">
        <v>2098988.17</v>
      </c>
      <c r="J399" s="223">
        <f>I399/D398</f>
        <v>385.69</v>
      </c>
      <c r="K399" s="223">
        <v>641</v>
      </c>
    </row>
    <row r="400" spans="1:11" x14ac:dyDescent="0.25">
      <c r="A400" s="310"/>
      <c r="B400" s="310"/>
      <c r="C400" s="333"/>
      <c r="D400" s="312"/>
      <c r="E400" s="312"/>
      <c r="F400" s="313"/>
      <c r="G400" s="310"/>
      <c r="H400" s="87" t="s">
        <v>69</v>
      </c>
      <c r="I400" s="223">
        <v>44918.35</v>
      </c>
      <c r="J400" s="223">
        <f>I400/D398</f>
        <v>8.25</v>
      </c>
      <c r="K400" s="223">
        <v>14</v>
      </c>
    </row>
    <row r="401" spans="1:11" x14ac:dyDescent="0.25">
      <c r="A401" s="310">
        <f>A398+1</f>
        <v>18</v>
      </c>
      <c r="B401" s="310">
        <v>464</v>
      </c>
      <c r="C401" s="333" t="s">
        <v>427</v>
      </c>
      <c r="D401" s="312">
        <v>3691.3</v>
      </c>
      <c r="E401" s="312" t="s">
        <v>68</v>
      </c>
      <c r="F401" s="313">
        <v>5</v>
      </c>
      <c r="G401" s="310" t="s">
        <v>74</v>
      </c>
      <c r="H401" s="87" t="s">
        <v>66</v>
      </c>
      <c r="I401" s="223">
        <f>I402+I403+I404</f>
        <v>644747.49</v>
      </c>
      <c r="J401" s="223">
        <f>J402+J403+J404</f>
        <v>174.67</v>
      </c>
      <c r="K401" s="223">
        <f>K402+K403+K404</f>
        <v>431</v>
      </c>
    </row>
    <row r="402" spans="1:11" ht="63" x14ac:dyDescent="0.25">
      <c r="A402" s="310"/>
      <c r="B402" s="310"/>
      <c r="C402" s="333"/>
      <c r="D402" s="312"/>
      <c r="E402" s="312"/>
      <c r="F402" s="313"/>
      <c r="G402" s="310"/>
      <c r="H402" s="87" t="s">
        <v>168</v>
      </c>
      <c r="I402" s="223">
        <v>88591.2</v>
      </c>
      <c r="J402" s="223">
        <f>I402/D401</f>
        <v>24</v>
      </c>
      <c r="K402" s="223">
        <f>22+2</f>
        <v>24</v>
      </c>
    </row>
    <row r="403" spans="1:11" x14ac:dyDescent="0.25">
      <c r="A403" s="310"/>
      <c r="B403" s="310"/>
      <c r="C403" s="333"/>
      <c r="D403" s="312"/>
      <c r="E403" s="312"/>
      <c r="F403" s="313"/>
      <c r="G403" s="310"/>
      <c r="H403" s="87" t="s">
        <v>67</v>
      </c>
      <c r="I403" s="223">
        <v>544503.91</v>
      </c>
      <c r="J403" s="223">
        <f>I403/D401</f>
        <v>147.51</v>
      </c>
      <c r="K403" s="223">
        <v>398</v>
      </c>
    </row>
    <row r="404" spans="1:11" x14ac:dyDescent="0.25">
      <c r="A404" s="310"/>
      <c r="B404" s="310"/>
      <c r="C404" s="333"/>
      <c r="D404" s="312"/>
      <c r="E404" s="312"/>
      <c r="F404" s="313"/>
      <c r="G404" s="310"/>
      <c r="H404" s="87" t="s">
        <v>69</v>
      </c>
      <c r="I404" s="223">
        <v>11652.38</v>
      </c>
      <c r="J404" s="223">
        <f>I404/D401</f>
        <v>3.16</v>
      </c>
      <c r="K404" s="223">
        <v>9</v>
      </c>
    </row>
    <row r="405" spans="1:11" x14ac:dyDescent="0.25">
      <c r="A405" s="310">
        <f>A401+1</f>
        <v>19</v>
      </c>
      <c r="B405" s="310">
        <v>589</v>
      </c>
      <c r="C405" s="333" t="s">
        <v>428</v>
      </c>
      <c r="D405" s="312">
        <v>3398</v>
      </c>
      <c r="E405" s="312" t="s">
        <v>68</v>
      </c>
      <c r="F405" s="313">
        <v>5</v>
      </c>
      <c r="G405" s="310" t="s">
        <v>74</v>
      </c>
      <c r="H405" s="87" t="s">
        <v>66</v>
      </c>
      <c r="I405" s="223">
        <f>I406+I407+I408</f>
        <v>726016.72</v>
      </c>
      <c r="J405" s="223">
        <f>J406+J407+J408</f>
        <v>213.66</v>
      </c>
      <c r="K405" s="223">
        <f>K406+K407+K408</f>
        <v>431</v>
      </c>
    </row>
    <row r="406" spans="1:11" ht="63" x14ac:dyDescent="0.25">
      <c r="A406" s="310"/>
      <c r="B406" s="310"/>
      <c r="C406" s="333"/>
      <c r="D406" s="312"/>
      <c r="E406" s="312"/>
      <c r="F406" s="313"/>
      <c r="G406" s="310"/>
      <c r="H406" s="87" t="s">
        <v>168</v>
      </c>
      <c r="I406" s="223">
        <f>D405*K406</f>
        <v>81552</v>
      </c>
      <c r="J406" s="223">
        <f>I406/D405</f>
        <v>24</v>
      </c>
      <c r="K406" s="223">
        <f>22+2</f>
        <v>24</v>
      </c>
    </row>
    <row r="407" spans="1:11" x14ac:dyDescent="0.25">
      <c r="A407" s="310"/>
      <c r="B407" s="310"/>
      <c r="C407" s="333"/>
      <c r="D407" s="312"/>
      <c r="E407" s="312"/>
      <c r="F407" s="313"/>
      <c r="G407" s="310"/>
      <c r="H407" s="87" t="s">
        <v>67</v>
      </c>
      <c r="I407" s="223">
        <v>630962.13</v>
      </c>
      <c r="J407" s="223">
        <f>I407/D405</f>
        <v>185.69</v>
      </c>
      <c r="K407" s="223">
        <v>398</v>
      </c>
    </row>
    <row r="408" spans="1:11" x14ac:dyDescent="0.25">
      <c r="A408" s="310"/>
      <c r="B408" s="310"/>
      <c r="C408" s="333"/>
      <c r="D408" s="312"/>
      <c r="E408" s="312"/>
      <c r="F408" s="313"/>
      <c r="G408" s="310"/>
      <c r="H408" s="87" t="s">
        <v>69</v>
      </c>
      <c r="I408" s="223">
        <v>13502.59</v>
      </c>
      <c r="J408" s="223">
        <f>I408/D405</f>
        <v>3.97</v>
      </c>
      <c r="K408" s="223">
        <v>9</v>
      </c>
    </row>
    <row r="409" spans="1:11" x14ac:dyDescent="0.25">
      <c r="A409" s="310">
        <f>A405+1</f>
        <v>20</v>
      </c>
      <c r="B409" s="310">
        <v>510</v>
      </c>
      <c r="C409" s="333" t="s">
        <v>429</v>
      </c>
      <c r="D409" s="312">
        <v>3566.5</v>
      </c>
      <c r="E409" s="312" t="s">
        <v>64</v>
      </c>
      <c r="F409" s="313">
        <v>5</v>
      </c>
      <c r="G409" s="310" t="s">
        <v>74</v>
      </c>
      <c r="H409" s="87" t="s">
        <v>66</v>
      </c>
      <c r="I409" s="223">
        <f>I410</f>
        <v>85596</v>
      </c>
      <c r="J409" s="223">
        <f t="shared" ref="J409:K409" si="15">J410</f>
        <v>24</v>
      </c>
      <c r="K409" s="223">
        <f t="shared" si="15"/>
        <v>24</v>
      </c>
    </row>
    <row r="410" spans="1:11" ht="63" x14ac:dyDescent="0.25">
      <c r="A410" s="310"/>
      <c r="B410" s="310"/>
      <c r="C410" s="333"/>
      <c r="D410" s="312"/>
      <c r="E410" s="312"/>
      <c r="F410" s="313"/>
      <c r="G410" s="310"/>
      <c r="H410" s="87" t="s">
        <v>168</v>
      </c>
      <c r="I410" s="223">
        <f>D409*K410</f>
        <v>85596</v>
      </c>
      <c r="J410" s="223">
        <f>I410/D409</f>
        <v>24</v>
      </c>
      <c r="K410" s="223">
        <f>22+2</f>
        <v>24</v>
      </c>
    </row>
    <row r="411" spans="1:11" x14ac:dyDescent="0.25">
      <c r="A411" s="307">
        <f>A409+1</f>
        <v>21</v>
      </c>
      <c r="B411" s="307">
        <v>357</v>
      </c>
      <c r="C411" s="315" t="s">
        <v>127</v>
      </c>
      <c r="D411" s="318">
        <v>2588.5700000000002</v>
      </c>
      <c r="E411" s="318" t="s">
        <v>68</v>
      </c>
      <c r="F411" s="330">
        <v>4</v>
      </c>
      <c r="G411" s="121"/>
      <c r="H411" s="87" t="s">
        <v>66</v>
      </c>
      <c r="I411" s="223">
        <f>I412+I413+I414+I415</f>
        <v>13200682.689999999</v>
      </c>
      <c r="J411" s="223">
        <f>J412+J413+J414+J415</f>
        <v>5099.6000000000004</v>
      </c>
      <c r="K411" s="223">
        <f>K412+K413+K414+K415</f>
        <v>11280</v>
      </c>
    </row>
    <row r="412" spans="1:11" x14ac:dyDescent="0.25">
      <c r="A412" s="308"/>
      <c r="B412" s="308"/>
      <c r="C412" s="317"/>
      <c r="D412" s="319"/>
      <c r="E412" s="319"/>
      <c r="F412" s="331"/>
      <c r="G412" s="307" t="s">
        <v>65</v>
      </c>
      <c r="H412" s="87" t="s">
        <v>67</v>
      </c>
      <c r="I412" s="223">
        <v>6858300</v>
      </c>
      <c r="J412" s="223">
        <f>I412/D411-0.01</f>
        <v>2649.45</v>
      </c>
      <c r="K412" s="223">
        <v>5036</v>
      </c>
    </row>
    <row r="413" spans="1:11" x14ac:dyDescent="0.25">
      <c r="A413" s="308"/>
      <c r="B413" s="308"/>
      <c r="C413" s="317"/>
      <c r="D413" s="319"/>
      <c r="E413" s="319"/>
      <c r="F413" s="331"/>
      <c r="G413" s="309"/>
      <c r="H413" s="87" t="s">
        <v>69</v>
      </c>
      <c r="I413" s="223">
        <v>146767.62</v>
      </c>
      <c r="J413" s="223">
        <f>I413/D411</f>
        <v>56.7</v>
      </c>
      <c r="K413" s="223">
        <v>108</v>
      </c>
    </row>
    <row r="414" spans="1:11" x14ac:dyDescent="0.25">
      <c r="A414" s="308"/>
      <c r="B414" s="308"/>
      <c r="C414" s="317"/>
      <c r="D414" s="319"/>
      <c r="E414" s="319"/>
      <c r="F414" s="331"/>
      <c r="G414" s="307" t="s">
        <v>75</v>
      </c>
      <c r="H414" s="87" t="s">
        <v>67</v>
      </c>
      <c r="I414" s="223">
        <v>6065806.7999999998</v>
      </c>
      <c r="J414" s="223">
        <f>I414/D411</f>
        <v>2343.3000000000002</v>
      </c>
      <c r="K414" s="223">
        <v>6007</v>
      </c>
    </row>
    <row r="415" spans="1:11" x14ac:dyDescent="0.25">
      <c r="A415" s="308"/>
      <c r="B415" s="308"/>
      <c r="C415" s="317"/>
      <c r="D415" s="319"/>
      <c r="E415" s="319"/>
      <c r="F415" s="331"/>
      <c r="G415" s="308"/>
      <c r="H415" s="87" t="s">
        <v>69</v>
      </c>
      <c r="I415" s="223">
        <f>I414*0.0214</f>
        <v>129808.27</v>
      </c>
      <c r="J415" s="223">
        <f>I415/D411</f>
        <v>50.15</v>
      </c>
      <c r="K415" s="223">
        <v>129</v>
      </c>
    </row>
    <row r="416" spans="1:11" x14ac:dyDescent="0.25">
      <c r="A416" s="310">
        <f>A411+1</f>
        <v>22</v>
      </c>
      <c r="B416" s="310">
        <v>809</v>
      </c>
      <c r="C416" s="333" t="s">
        <v>456</v>
      </c>
      <c r="D416" s="312">
        <v>19009.8</v>
      </c>
      <c r="E416" s="312" t="s">
        <v>68</v>
      </c>
      <c r="F416" s="313">
        <v>10</v>
      </c>
      <c r="G416" s="145"/>
      <c r="H416" s="87" t="s">
        <v>66</v>
      </c>
      <c r="I416" s="223">
        <f>I417+I418+I419+I420+I421+I422</f>
        <v>3084601.03</v>
      </c>
      <c r="J416" s="223">
        <f t="shared" ref="J416:K416" si="16">J417+J418+J419+J420+J421+J422</f>
        <v>162.26</v>
      </c>
      <c r="K416" s="223">
        <f t="shared" si="16"/>
        <v>267.63</v>
      </c>
    </row>
    <row r="417" spans="1:11" ht="63" x14ac:dyDescent="0.25">
      <c r="A417" s="310"/>
      <c r="B417" s="310"/>
      <c r="C417" s="333"/>
      <c r="D417" s="312"/>
      <c r="E417" s="312"/>
      <c r="F417" s="313"/>
      <c r="G417" s="307" t="s">
        <v>172</v>
      </c>
      <c r="H417" s="87" t="s">
        <v>168</v>
      </c>
      <c r="I417" s="223">
        <v>22681</v>
      </c>
      <c r="J417" s="223">
        <f>I417/D416</f>
        <v>1.19</v>
      </c>
      <c r="K417" s="223">
        <f>32281/D416</f>
        <v>1.7</v>
      </c>
    </row>
    <row r="418" spans="1:11" ht="15.75" customHeight="1" x14ac:dyDescent="0.25">
      <c r="A418" s="310">
        <v>756</v>
      </c>
      <c r="B418" s="310"/>
      <c r="C418" s="333"/>
      <c r="D418" s="312"/>
      <c r="E418" s="312"/>
      <c r="F418" s="313"/>
      <c r="G418" s="308"/>
      <c r="H418" s="87" t="s">
        <v>171</v>
      </c>
      <c r="I418" s="223">
        <v>1487781</v>
      </c>
      <c r="J418" s="223">
        <f>I418/D416+0.01</f>
        <v>78.27</v>
      </c>
      <c r="K418" s="223">
        <f>2458756/D416</f>
        <v>129.34</v>
      </c>
    </row>
    <row r="419" spans="1:11" x14ac:dyDescent="0.25">
      <c r="A419" s="310">
        <v>757</v>
      </c>
      <c r="B419" s="310"/>
      <c r="C419" s="333"/>
      <c r="D419" s="312"/>
      <c r="E419" s="312"/>
      <c r="F419" s="313"/>
      <c r="G419" s="309"/>
      <c r="H419" s="87" t="s">
        <v>69</v>
      </c>
      <c r="I419" s="223">
        <v>31838.51</v>
      </c>
      <c r="J419" s="223">
        <f>I419/D416</f>
        <v>1.67</v>
      </c>
      <c r="K419" s="223">
        <f>52617/D416</f>
        <v>2.77</v>
      </c>
    </row>
    <row r="420" spans="1:11" ht="63" x14ac:dyDescent="0.25">
      <c r="A420" s="310"/>
      <c r="B420" s="310"/>
      <c r="C420" s="333"/>
      <c r="D420" s="312"/>
      <c r="E420" s="312"/>
      <c r="F420" s="313"/>
      <c r="G420" s="307" t="s">
        <v>440</v>
      </c>
      <c r="H420" s="87" t="s">
        <v>168</v>
      </c>
      <c r="I420" s="223">
        <v>22681</v>
      </c>
      <c r="J420" s="223">
        <f>I420/D416</f>
        <v>1.19</v>
      </c>
      <c r="K420" s="223">
        <f>32281/D416</f>
        <v>1.7</v>
      </c>
    </row>
    <row r="421" spans="1:11" ht="15.75" customHeight="1" x14ac:dyDescent="0.25">
      <c r="A421" s="310"/>
      <c r="B421" s="310"/>
      <c r="C421" s="333"/>
      <c r="D421" s="312"/>
      <c r="E421" s="312"/>
      <c r="F421" s="313"/>
      <c r="G421" s="308"/>
      <c r="H421" s="87" t="s">
        <v>171</v>
      </c>
      <c r="I421" s="223">
        <v>1487781</v>
      </c>
      <c r="J421" s="223">
        <f>I421/D416+0.01</f>
        <v>78.27</v>
      </c>
      <c r="K421" s="223">
        <f>2458756/D416+0.01</f>
        <v>129.35</v>
      </c>
    </row>
    <row r="422" spans="1:11" x14ac:dyDescent="0.25">
      <c r="A422" s="310"/>
      <c r="B422" s="310"/>
      <c r="C422" s="333"/>
      <c r="D422" s="312"/>
      <c r="E422" s="312"/>
      <c r="F422" s="313"/>
      <c r="G422" s="309"/>
      <c r="H422" s="87" t="s">
        <v>69</v>
      </c>
      <c r="I422" s="223">
        <v>31838.52</v>
      </c>
      <c r="J422" s="223">
        <f>I422/D416</f>
        <v>1.67</v>
      </c>
      <c r="K422" s="223">
        <f>52617/D416</f>
        <v>2.77</v>
      </c>
    </row>
    <row r="423" spans="1:11" x14ac:dyDescent="0.25">
      <c r="A423" s="307">
        <f>A416+1</f>
        <v>23</v>
      </c>
      <c r="B423" s="307">
        <v>572</v>
      </c>
      <c r="C423" s="315" t="s">
        <v>128</v>
      </c>
      <c r="D423" s="318">
        <v>5283.3</v>
      </c>
      <c r="E423" s="318" t="s">
        <v>68</v>
      </c>
      <c r="F423" s="330">
        <v>5</v>
      </c>
      <c r="G423" s="121"/>
      <c r="H423" s="87" t="s">
        <v>66</v>
      </c>
      <c r="I423" s="223">
        <f>I424+I425+I426+I427+I428+I429+I430+I431</f>
        <v>11201779.6</v>
      </c>
      <c r="J423" s="223">
        <f>J424+J425+J426+J427+J428+J429+J430+J431</f>
        <v>2120.2199999999998</v>
      </c>
      <c r="K423" s="223">
        <f>K424+K425+K426+K427+K428+K429+K430+K431</f>
        <v>4074</v>
      </c>
    </row>
    <row r="424" spans="1:11" x14ac:dyDescent="0.25">
      <c r="A424" s="308"/>
      <c r="B424" s="308"/>
      <c r="C424" s="317"/>
      <c r="D424" s="319"/>
      <c r="E424" s="319"/>
      <c r="F424" s="331"/>
      <c r="G424" s="307" t="s">
        <v>77</v>
      </c>
      <c r="H424" s="87" t="s">
        <v>67</v>
      </c>
      <c r="I424" s="223">
        <v>2069484</v>
      </c>
      <c r="J424" s="223">
        <f>I424/D423</f>
        <v>391.7</v>
      </c>
      <c r="K424" s="223">
        <v>641</v>
      </c>
    </row>
    <row r="425" spans="1:11" x14ac:dyDescent="0.25">
      <c r="A425" s="308"/>
      <c r="B425" s="308"/>
      <c r="C425" s="317"/>
      <c r="D425" s="319"/>
      <c r="E425" s="319"/>
      <c r="F425" s="331"/>
      <c r="G425" s="309"/>
      <c r="H425" s="87" t="s">
        <v>69</v>
      </c>
      <c r="I425" s="223">
        <v>44286.96</v>
      </c>
      <c r="J425" s="223">
        <f>I425/D423</f>
        <v>8.3800000000000008</v>
      </c>
      <c r="K425" s="223">
        <v>14</v>
      </c>
    </row>
    <row r="426" spans="1:11" x14ac:dyDescent="0.25">
      <c r="A426" s="308"/>
      <c r="B426" s="308"/>
      <c r="C426" s="317"/>
      <c r="D426" s="319"/>
      <c r="E426" s="319"/>
      <c r="F426" s="331"/>
      <c r="G426" s="307" t="s">
        <v>70</v>
      </c>
      <c r="H426" s="87" t="s">
        <v>67</v>
      </c>
      <c r="I426" s="223">
        <v>6981054</v>
      </c>
      <c r="J426" s="223">
        <f>I426/D423</f>
        <v>1321.34</v>
      </c>
      <c r="K426" s="223">
        <v>2292</v>
      </c>
    </row>
    <row r="427" spans="1:11" x14ac:dyDescent="0.25">
      <c r="A427" s="308"/>
      <c r="B427" s="308"/>
      <c r="C427" s="317"/>
      <c r="D427" s="319"/>
      <c r="E427" s="319"/>
      <c r="F427" s="331"/>
      <c r="G427" s="309"/>
      <c r="H427" s="87" t="s">
        <v>69</v>
      </c>
      <c r="I427" s="223">
        <v>149394.56</v>
      </c>
      <c r="J427" s="223">
        <f>I427/D423</f>
        <v>28.28</v>
      </c>
      <c r="K427" s="223">
        <v>49</v>
      </c>
    </row>
    <row r="428" spans="1:11" x14ac:dyDescent="0.25">
      <c r="A428" s="308"/>
      <c r="B428" s="308"/>
      <c r="C428" s="317"/>
      <c r="D428" s="319"/>
      <c r="E428" s="319"/>
      <c r="F428" s="331"/>
      <c r="G428" s="307" t="s">
        <v>71</v>
      </c>
      <c r="H428" s="87" t="s">
        <v>67</v>
      </c>
      <c r="I428" s="223">
        <v>611114</v>
      </c>
      <c r="J428" s="223">
        <f>I428/D423-0.01</f>
        <v>115.66</v>
      </c>
      <c r="K428" s="223">
        <v>513</v>
      </c>
    </row>
    <row r="429" spans="1:11" x14ac:dyDescent="0.25">
      <c r="A429" s="308"/>
      <c r="B429" s="308"/>
      <c r="C429" s="317"/>
      <c r="D429" s="319"/>
      <c r="E429" s="319"/>
      <c r="F429" s="331"/>
      <c r="G429" s="309"/>
      <c r="H429" s="87" t="s">
        <v>69</v>
      </c>
      <c r="I429" s="223">
        <v>13077.84</v>
      </c>
      <c r="J429" s="223">
        <f>I429/D423</f>
        <v>2.48</v>
      </c>
      <c r="K429" s="223">
        <v>11</v>
      </c>
    </row>
    <row r="430" spans="1:11" x14ac:dyDescent="0.25">
      <c r="A430" s="308"/>
      <c r="B430" s="308"/>
      <c r="C430" s="317"/>
      <c r="D430" s="319"/>
      <c r="E430" s="319"/>
      <c r="F430" s="331"/>
      <c r="G430" s="307" t="s">
        <v>72</v>
      </c>
      <c r="H430" s="87" t="s">
        <v>67</v>
      </c>
      <c r="I430" s="223">
        <v>1305432</v>
      </c>
      <c r="J430" s="223">
        <f>I430/D423</f>
        <v>247.09</v>
      </c>
      <c r="K430" s="223">
        <v>542</v>
      </c>
    </row>
    <row r="431" spans="1:11" x14ac:dyDescent="0.25">
      <c r="A431" s="309"/>
      <c r="B431" s="309"/>
      <c r="C431" s="316"/>
      <c r="D431" s="329"/>
      <c r="E431" s="329"/>
      <c r="F431" s="332"/>
      <c r="G431" s="309"/>
      <c r="H431" s="87" t="s">
        <v>69</v>
      </c>
      <c r="I431" s="223">
        <v>27936.240000000002</v>
      </c>
      <c r="J431" s="223">
        <f>I431/D423</f>
        <v>5.29</v>
      </c>
      <c r="K431" s="223">
        <v>12</v>
      </c>
    </row>
    <row r="432" spans="1:11" ht="15.75" customHeight="1" x14ac:dyDescent="0.25">
      <c r="A432" s="310">
        <f>A423+1</f>
        <v>24</v>
      </c>
      <c r="B432" s="310">
        <v>853</v>
      </c>
      <c r="C432" s="333" t="s">
        <v>442</v>
      </c>
      <c r="D432" s="312">
        <v>9128.6</v>
      </c>
      <c r="E432" s="312" t="s">
        <v>64</v>
      </c>
      <c r="F432" s="313">
        <v>9</v>
      </c>
      <c r="G432" s="145"/>
      <c r="H432" s="87" t="s">
        <v>66</v>
      </c>
      <c r="I432" s="223">
        <f>I433+I434+I435+I436+I437+I438+I439+I440</f>
        <v>7042411.54</v>
      </c>
      <c r="J432" s="223">
        <f>J433+J434+J435+J436+J437+J438+J439+J440</f>
        <v>771.47</v>
      </c>
      <c r="K432" s="223">
        <f>K433+K434+K435+K436+K437+K438+K439+K440</f>
        <v>1003.27</v>
      </c>
    </row>
    <row r="433" spans="1:11" ht="15.75" customHeight="1" x14ac:dyDescent="0.25">
      <c r="A433" s="310">
        <v>756</v>
      </c>
      <c r="B433" s="310"/>
      <c r="C433" s="333"/>
      <c r="D433" s="312"/>
      <c r="E433" s="312"/>
      <c r="F433" s="313"/>
      <c r="G433" s="307" t="s">
        <v>170</v>
      </c>
      <c r="H433" s="87" t="s">
        <v>171</v>
      </c>
      <c r="I433" s="223">
        <f>1358388.9+44953.67+64889.92+260709.54</f>
        <v>1728942.03</v>
      </c>
      <c r="J433" s="223">
        <f>I433/D432</f>
        <v>189.4</v>
      </c>
      <c r="K433" s="223">
        <f>2241647/D432</f>
        <v>245.56</v>
      </c>
    </row>
    <row r="434" spans="1:11" x14ac:dyDescent="0.25">
      <c r="A434" s="310">
        <v>757</v>
      </c>
      <c r="B434" s="310"/>
      <c r="C434" s="333"/>
      <c r="D434" s="312"/>
      <c r="E434" s="312"/>
      <c r="F434" s="313"/>
      <c r="G434" s="309"/>
      <c r="H434" s="87" t="s">
        <v>69</v>
      </c>
      <c r="I434" s="223">
        <v>31660.86</v>
      </c>
      <c r="J434" s="223">
        <f>I434/D432</f>
        <v>3.47</v>
      </c>
      <c r="K434" s="223">
        <f>47971/D432</f>
        <v>5.26</v>
      </c>
    </row>
    <row r="435" spans="1:11" ht="15.75" customHeight="1" x14ac:dyDescent="0.25">
      <c r="A435" s="310"/>
      <c r="B435" s="310"/>
      <c r="C435" s="333"/>
      <c r="D435" s="312"/>
      <c r="E435" s="312"/>
      <c r="F435" s="313"/>
      <c r="G435" s="307" t="s">
        <v>173</v>
      </c>
      <c r="H435" s="87" t="s">
        <v>171</v>
      </c>
      <c r="I435" s="223">
        <f>1358388.9+44953.67+64889.92+260709.53</f>
        <v>1728942.02</v>
      </c>
      <c r="J435" s="223">
        <f>I435/D432-0.01</f>
        <v>189.39</v>
      </c>
      <c r="K435" s="223">
        <f>2241647/D432-0.01</f>
        <v>245.55</v>
      </c>
    </row>
    <row r="436" spans="1:11" x14ac:dyDescent="0.25">
      <c r="A436" s="310"/>
      <c r="B436" s="310"/>
      <c r="C436" s="333"/>
      <c r="D436" s="312"/>
      <c r="E436" s="312"/>
      <c r="F436" s="313"/>
      <c r="G436" s="309"/>
      <c r="H436" s="87" t="s">
        <v>69</v>
      </c>
      <c r="I436" s="223">
        <v>31660.86</v>
      </c>
      <c r="J436" s="223">
        <f>I436/D432</f>
        <v>3.47</v>
      </c>
      <c r="K436" s="223">
        <f>47971/D432</f>
        <v>5.26</v>
      </c>
    </row>
    <row r="437" spans="1:11" ht="15.75" customHeight="1" x14ac:dyDescent="0.25">
      <c r="A437" s="310"/>
      <c r="B437" s="310"/>
      <c r="C437" s="333"/>
      <c r="D437" s="312"/>
      <c r="E437" s="312"/>
      <c r="F437" s="313"/>
      <c r="G437" s="307" t="s">
        <v>174</v>
      </c>
      <c r="H437" s="87" t="s">
        <v>171</v>
      </c>
      <c r="I437" s="223">
        <f>1358388.9+44953.67+64889.92+260709.54</f>
        <v>1728942.03</v>
      </c>
      <c r="J437" s="223">
        <f>I437/D432</f>
        <v>189.4</v>
      </c>
      <c r="K437" s="223">
        <f>2241647/D432</f>
        <v>245.56</v>
      </c>
    </row>
    <row r="438" spans="1:11" x14ac:dyDescent="0.25">
      <c r="A438" s="310"/>
      <c r="B438" s="310"/>
      <c r="C438" s="333"/>
      <c r="D438" s="312"/>
      <c r="E438" s="312"/>
      <c r="F438" s="313"/>
      <c r="G438" s="309"/>
      <c r="H438" s="87" t="s">
        <v>69</v>
      </c>
      <c r="I438" s="223">
        <v>31660.86</v>
      </c>
      <c r="J438" s="223">
        <f>I438/D432</f>
        <v>3.47</v>
      </c>
      <c r="K438" s="223">
        <f>47971/D432</f>
        <v>5.26</v>
      </c>
    </row>
    <row r="439" spans="1:11" ht="15.75" customHeight="1" x14ac:dyDescent="0.25">
      <c r="A439" s="310"/>
      <c r="B439" s="310"/>
      <c r="C439" s="333"/>
      <c r="D439" s="312"/>
      <c r="E439" s="312"/>
      <c r="F439" s="313"/>
      <c r="G439" s="307" t="s">
        <v>175</v>
      </c>
      <c r="H439" s="87" t="s">
        <v>171</v>
      </c>
      <c r="I439" s="223">
        <f>1358388.9+44953.67+64889.92+260709.53</f>
        <v>1728942.02</v>
      </c>
      <c r="J439" s="223">
        <f>I439/D432</f>
        <v>189.4</v>
      </c>
      <c r="K439" s="223">
        <f>2241647/D432</f>
        <v>245.56</v>
      </c>
    </row>
    <row r="440" spans="1:11" x14ac:dyDescent="0.25">
      <c r="A440" s="310"/>
      <c r="B440" s="310"/>
      <c r="C440" s="333"/>
      <c r="D440" s="312"/>
      <c r="E440" s="312"/>
      <c r="F440" s="313"/>
      <c r="G440" s="309"/>
      <c r="H440" s="87" t="s">
        <v>69</v>
      </c>
      <c r="I440" s="223">
        <v>31660.86</v>
      </c>
      <c r="J440" s="223">
        <f>I440/D432</f>
        <v>3.47</v>
      </c>
      <c r="K440" s="223">
        <f>47971/D432</f>
        <v>5.26</v>
      </c>
    </row>
    <row r="441" spans="1:11" x14ac:dyDescent="0.25">
      <c r="A441" s="307">
        <f>A432+1</f>
        <v>25</v>
      </c>
      <c r="B441" s="307">
        <v>774</v>
      </c>
      <c r="C441" s="315" t="s">
        <v>96</v>
      </c>
      <c r="D441" s="318">
        <v>14583.46</v>
      </c>
      <c r="E441" s="318" t="s">
        <v>68</v>
      </c>
      <c r="F441" s="330">
        <v>9</v>
      </c>
      <c r="G441" s="121"/>
      <c r="H441" s="87" t="s">
        <v>66</v>
      </c>
      <c r="I441" s="223">
        <f>I442+I443+I444+I445</f>
        <v>24536312.620000001</v>
      </c>
      <c r="J441" s="223">
        <f t="shared" ref="J441:K441" si="17">J442+J443+J444+J445</f>
        <v>1682.48</v>
      </c>
      <c r="K441" s="223">
        <f t="shared" si="17"/>
        <v>2683</v>
      </c>
    </row>
    <row r="442" spans="1:11" x14ac:dyDescent="0.25">
      <c r="A442" s="308"/>
      <c r="B442" s="308"/>
      <c r="C442" s="317"/>
      <c r="D442" s="308"/>
      <c r="E442" s="319"/>
      <c r="F442" s="331"/>
      <c r="G442" s="307" t="s">
        <v>70</v>
      </c>
      <c r="H442" s="87" t="s">
        <v>67</v>
      </c>
      <c r="I442" s="223">
        <v>22088419.190000001</v>
      </c>
      <c r="J442" s="223">
        <f>I442/D441+0.01</f>
        <v>1514.63</v>
      </c>
      <c r="K442" s="223">
        <v>1594</v>
      </c>
    </row>
    <row r="443" spans="1:11" x14ac:dyDescent="0.25">
      <c r="A443" s="308"/>
      <c r="B443" s="308"/>
      <c r="C443" s="317"/>
      <c r="D443" s="308"/>
      <c r="E443" s="319"/>
      <c r="F443" s="331"/>
      <c r="G443" s="309"/>
      <c r="H443" s="87" t="s">
        <v>69</v>
      </c>
      <c r="I443" s="223">
        <f>I442*0.0214</f>
        <v>472692.17</v>
      </c>
      <c r="J443" s="223">
        <f>I443/D441</f>
        <v>32.409999999999997</v>
      </c>
      <c r="K443" s="223">
        <v>34</v>
      </c>
    </row>
    <row r="444" spans="1:11" ht="52.5" customHeight="1" x14ac:dyDescent="0.25">
      <c r="A444" s="308"/>
      <c r="B444" s="308"/>
      <c r="C444" s="317"/>
      <c r="D444" s="308"/>
      <c r="E444" s="319"/>
      <c r="F444" s="331"/>
      <c r="G444" s="148" t="s">
        <v>71</v>
      </c>
      <c r="H444" s="87" t="s">
        <v>67</v>
      </c>
      <c r="I444" s="223">
        <f>3429095.81*0.3</f>
        <v>1028728.74</v>
      </c>
      <c r="J444" s="223">
        <f>I444/D441</f>
        <v>70.540000000000006</v>
      </c>
      <c r="K444" s="223">
        <v>513</v>
      </c>
    </row>
    <row r="445" spans="1:11" ht="52.5" customHeight="1" x14ac:dyDescent="0.25">
      <c r="A445" s="308"/>
      <c r="B445" s="308"/>
      <c r="C445" s="317"/>
      <c r="D445" s="308"/>
      <c r="E445" s="319"/>
      <c r="F445" s="331"/>
      <c r="G445" s="148" t="s">
        <v>72</v>
      </c>
      <c r="H445" s="87" t="s">
        <v>67</v>
      </c>
      <c r="I445" s="223">
        <f>3154908.4*0.3</f>
        <v>946472.52</v>
      </c>
      <c r="J445" s="223">
        <f>I445/D441</f>
        <v>64.900000000000006</v>
      </c>
      <c r="K445" s="223">
        <v>542</v>
      </c>
    </row>
    <row r="446" spans="1:11" x14ac:dyDescent="0.25">
      <c r="A446" s="307">
        <f>A441+1</f>
        <v>26</v>
      </c>
      <c r="B446" s="307">
        <v>453</v>
      </c>
      <c r="C446" s="315" t="s">
        <v>98</v>
      </c>
      <c r="D446" s="318">
        <v>2506.3000000000002</v>
      </c>
      <c r="E446" s="318" t="s">
        <v>68</v>
      </c>
      <c r="F446" s="330">
        <v>5</v>
      </c>
      <c r="G446" s="307" t="s">
        <v>65</v>
      </c>
      <c r="H446" s="87" t="s">
        <v>66</v>
      </c>
      <c r="I446" s="223">
        <f>I447+I448</f>
        <v>4950299.2</v>
      </c>
      <c r="J446" s="223">
        <f>J447+J448</f>
        <v>1975.14</v>
      </c>
      <c r="K446" s="223">
        <f>K447+K448</f>
        <v>3878</v>
      </c>
    </row>
    <row r="447" spans="1:11" x14ac:dyDescent="0.25">
      <c r="A447" s="308"/>
      <c r="B447" s="308"/>
      <c r="C447" s="317"/>
      <c r="D447" s="308"/>
      <c r="E447" s="319"/>
      <c r="F447" s="331"/>
      <c r="G447" s="308"/>
      <c r="H447" s="87" t="s">
        <v>67</v>
      </c>
      <c r="I447" s="223">
        <v>4846582.34</v>
      </c>
      <c r="J447" s="223">
        <f>I447/D446</f>
        <v>1933.76</v>
      </c>
      <c r="K447" s="223">
        <v>3797</v>
      </c>
    </row>
    <row r="448" spans="1:11" x14ac:dyDescent="0.25">
      <c r="A448" s="308"/>
      <c r="B448" s="308"/>
      <c r="C448" s="317"/>
      <c r="D448" s="308"/>
      <c r="E448" s="319"/>
      <c r="F448" s="331"/>
      <c r="G448" s="309"/>
      <c r="H448" s="87" t="s">
        <v>69</v>
      </c>
      <c r="I448" s="223">
        <v>103716.86</v>
      </c>
      <c r="J448" s="223">
        <f>I448/D446</f>
        <v>41.38</v>
      </c>
      <c r="K448" s="223">
        <v>81</v>
      </c>
    </row>
    <row r="449" spans="1:11" ht="15.75" customHeight="1" x14ac:dyDescent="0.25">
      <c r="A449" s="310">
        <f>A446+1</f>
        <v>27</v>
      </c>
      <c r="B449" s="310">
        <v>157</v>
      </c>
      <c r="C449" s="333" t="s">
        <v>576</v>
      </c>
      <c r="D449" s="312">
        <v>482.4</v>
      </c>
      <c r="E449" s="312" t="s">
        <v>73</v>
      </c>
      <c r="F449" s="313">
        <v>2</v>
      </c>
      <c r="G449" s="310" t="s">
        <v>74</v>
      </c>
      <c r="H449" s="87" t="s">
        <v>66</v>
      </c>
      <c r="I449" s="223">
        <f>I450</f>
        <v>35215.199999999997</v>
      </c>
      <c r="J449" s="223">
        <f>J450</f>
        <v>73</v>
      </c>
      <c r="K449" s="223">
        <f>K450</f>
        <v>73</v>
      </c>
    </row>
    <row r="450" spans="1:11" ht="47.25" customHeight="1" x14ac:dyDescent="0.25">
      <c r="A450" s="310"/>
      <c r="B450" s="310"/>
      <c r="C450" s="333"/>
      <c r="D450" s="312"/>
      <c r="E450" s="312"/>
      <c r="F450" s="313"/>
      <c r="G450" s="310"/>
      <c r="H450" s="87" t="s">
        <v>168</v>
      </c>
      <c r="I450" s="223">
        <f>D449*K450</f>
        <v>35215.199999999997</v>
      </c>
      <c r="J450" s="223">
        <f>I450/D449</f>
        <v>73</v>
      </c>
      <c r="K450" s="223">
        <f>60+13</f>
        <v>73</v>
      </c>
    </row>
    <row r="451" spans="1:11" x14ac:dyDescent="0.25">
      <c r="A451" s="307">
        <f>A449+1</f>
        <v>28</v>
      </c>
      <c r="B451" s="307">
        <v>850</v>
      </c>
      <c r="C451" s="315" t="s">
        <v>99</v>
      </c>
      <c r="D451" s="318">
        <v>1771.5</v>
      </c>
      <c r="E451" s="318" t="s">
        <v>68</v>
      </c>
      <c r="F451" s="330">
        <v>6</v>
      </c>
      <c r="G451" s="121"/>
      <c r="H451" s="87" t="s">
        <v>66</v>
      </c>
      <c r="I451" s="223">
        <f>I452+I453+I454+I455+I456+I457+I458+I459</f>
        <v>4608728.6500000004</v>
      </c>
      <c r="J451" s="223">
        <f>J452+J453+J454+J455+J456+J457+J458+J459</f>
        <v>2601.6</v>
      </c>
      <c r="K451" s="223">
        <f>K452+K453+K454+K455+K456+K457+K458+K459</f>
        <v>5349</v>
      </c>
    </row>
    <row r="452" spans="1:11" x14ac:dyDescent="0.25">
      <c r="A452" s="308"/>
      <c r="B452" s="308"/>
      <c r="C452" s="317"/>
      <c r="D452" s="308"/>
      <c r="E452" s="319"/>
      <c r="F452" s="331"/>
      <c r="G452" s="307" t="s">
        <v>70</v>
      </c>
      <c r="H452" s="87" t="s">
        <v>67</v>
      </c>
      <c r="I452" s="223">
        <v>3107237.04</v>
      </c>
      <c r="J452" s="223">
        <f>I452/D451-0.01</f>
        <v>1754</v>
      </c>
      <c r="K452" s="223">
        <v>2911</v>
      </c>
    </row>
    <row r="453" spans="1:11" x14ac:dyDescent="0.25">
      <c r="A453" s="308"/>
      <c r="B453" s="308"/>
      <c r="C453" s="317"/>
      <c r="D453" s="308"/>
      <c r="E453" s="319"/>
      <c r="F453" s="331"/>
      <c r="G453" s="309"/>
      <c r="H453" s="87" t="s">
        <v>69</v>
      </c>
      <c r="I453" s="223">
        <v>66494.87</v>
      </c>
      <c r="J453" s="223">
        <f>I453/D451</f>
        <v>37.54</v>
      </c>
      <c r="K453" s="223">
        <v>62</v>
      </c>
    </row>
    <row r="454" spans="1:11" x14ac:dyDescent="0.25">
      <c r="A454" s="308"/>
      <c r="B454" s="308"/>
      <c r="C454" s="317"/>
      <c r="D454" s="308"/>
      <c r="E454" s="319"/>
      <c r="F454" s="331"/>
      <c r="G454" s="307" t="s">
        <v>71</v>
      </c>
      <c r="H454" s="87" t="s">
        <v>67</v>
      </c>
      <c r="I454" s="223">
        <v>623807.43000000005</v>
      </c>
      <c r="J454" s="223">
        <f>I454/D451</f>
        <v>352.14</v>
      </c>
      <c r="K454" s="223">
        <v>513</v>
      </c>
    </row>
    <row r="455" spans="1:11" x14ac:dyDescent="0.25">
      <c r="A455" s="308"/>
      <c r="B455" s="308"/>
      <c r="C455" s="317"/>
      <c r="D455" s="308"/>
      <c r="E455" s="319"/>
      <c r="F455" s="331"/>
      <c r="G455" s="309"/>
      <c r="H455" s="87" t="s">
        <v>69</v>
      </c>
      <c r="I455" s="223">
        <v>13349.48</v>
      </c>
      <c r="J455" s="223">
        <f>I455/D451</f>
        <v>7.54</v>
      </c>
      <c r="K455" s="223">
        <v>11</v>
      </c>
    </row>
    <row r="456" spans="1:11" x14ac:dyDescent="0.25">
      <c r="A456" s="308"/>
      <c r="B456" s="308"/>
      <c r="C456" s="317"/>
      <c r="D456" s="308"/>
      <c r="E456" s="319"/>
      <c r="F456" s="331"/>
      <c r="G456" s="307" t="s">
        <v>72</v>
      </c>
      <c r="H456" s="87" t="s">
        <v>67</v>
      </c>
      <c r="I456" s="223">
        <v>575897.47</v>
      </c>
      <c r="J456" s="223">
        <f>I456/D451</f>
        <v>325.08999999999997</v>
      </c>
      <c r="K456" s="223">
        <v>542</v>
      </c>
    </row>
    <row r="457" spans="1:11" x14ac:dyDescent="0.25">
      <c r="A457" s="308"/>
      <c r="B457" s="308"/>
      <c r="C457" s="317"/>
      <c r="D457" s="308"/>
      <c r="E457" s="319"/>
      <c r="F457" s="331"/>
      <c r="G457" s="309"/>
      <c r="H457" s="87" t="s">
        <v>69</v>
      </c>
      <c r="I457" s="223">
        <v>12324.21</v>
      </c>
      <c r="J457" s="223">
        <f>I457/D451</f>
        <v>6.96</v>
      </c>
      <c r="K457" s="223">
        <v>12</v>
      </c>
    </row>
    <row r="458" spans="1:11" x14ac:dyDescent="0.25">
      <c r="A458" s="308"/>
      <c r="B458" s="308"/>
      <c r="C458" s="317"/>
      <c r="D458" s="308"/>
      <c r="E458" s="319"/>
      <c r="F458" s="331"/>
      <c r="G458" s="307" t="s">
        <v>176</v>
      </c>
      <c r="H458" s="87" t="s">
        <v>177</v>
      </c>
      <c r="I458" s="223">
        <v>205226.31</v>
      </c>
      <c r="J458" s="223">
        <f>I458/D451</f>
        <v>115.85</v>
      </c>
      <c r="K458" s="223">
        <v>1271</v>
      </c>
    </row>
    <row r="459" spans="1:11" x14ac:dyDescent="0.25">
      <c r="A459" s="309"/>
      <c r="B459" s="309"/>
      <c r="C459" s="316"/>
      <c r="D459" s="309"/>
      <c r="E459" s="329"/>
      <c r="F459" s="332"/>
      <c r="G459" s="309"/>
      <c r="H459" s="87" t="s">
        <v>69</v>
      </c>
      <c r="I459" s="223">
        <v>4391.84</v>
      </c>
      <c r="J459" s="223">
        <f>I459/D451</f>
        <v>2.48</v>
      </c>
      <c r="K459" s="223">
        <v>27</v>
      </c>
    </row>
    <row r="460" spans="1:11" x14ac:dyDescent="0.25">
      <c r="A460" s="307">
        <f>A451+1</f>
        <v>29</v>
      </c>
      <c r="B460" s="307">
        <v>987</v>
      </c>
      <c r="C460" s="315" t="s">
        <v>357</v>
      </c>
      <c r="D460" s="318">
        <v>2713.5</v>
      </c>
      <c r="E460" s="318" t="s">
        <v>68</v>
      </c>
      <c r="F460" s="330">
        <v>9</v>
      </c>
      <c r="G460" s="121"/>
      <c r="H460" s="87" t="s">
        <v>66</v>
      </c>
      <c r="I460" s="223">
        <f>I461+I462+I463+I464</f>
        <v>2086316.4</v>
      </c>
      <c r="J460" s="223">
        <f>J461+J462+J463+J464</f>
        <v>768.87</v>
      </c>
      <c r="K460" s="223">
        <f>K461+K462+K463+K464</f>
        <v>1019.69</v>
      </c>
    </row>
    <row r="461" spans="1:11" ht="63" x14ac:dyDescent="0.25">
      <c r="A461" s="308"/>
      <c r="B461" s="308"/>
      <c r="C461" s="317"/>
      <c r="D461" s="308"/>
      <c r="E461" s="319"/>
      <c r="F461" s="331"/>
      <c r="G461" s="148" t="s">
        <v>65</v>
      </c>
      <c r="H461" s="87" t="s">
        <v>168</v>
      </c>
      <c r="I461" s="223">
        <v>300335.17</v>
      </c>
      <c r="J461" s="223">
        <f>I461/D460</f>
        <v>110.68</v>
      </c>
      <c r="K461" s="223">
        <f>151+13</f>
        <v>164</v>
      </c>
    </row>
    <row r="462" spans="1:11" ht="63" x14ac:dyDescent="0.25">
      <c r="A462" s="308"/>
      <c r="B462" s="308"/>
      <c r="C462" s="317"/>
      <c r="D462" s="308"/>
      <c r="E462" s="319"/>
      <c r="F462" s="331"/>
      <c r="G462" s="307" t="s">
        <v>170</v>
      </c>
      <c r="H462" s="87" t="s">
        <v>168</v>
      </c>
      <c r="I462" s="223">
        <v>22681</v>
      </c>
      <c r="J462" s="223">
        <f>I462/D460</f>
        <v>8.36</v>
      </c>
      <c r="K462" s="223">
        <f>32281/D460</f>
        <v>11.9</v>
      </c>
    </row>
    <row r="463" spans="1:11" x14ac:dyDescent="0.25">
      <c r="A463" s="308"/>
      <c r="B463" s="308"/>
      <c r="C463" s="317"/>
      <c r="D463" s="308"/>
      <c r="E463" s="319"/>
      <c r="F463" s="331"/>
      <c r="G463" s="308"/>
      <c r="H463" s="87" t="s">
        <v>171</v>
      </c>
      <c r="I463" s="223">
        <v>1726731.23</v>
      </c>
      <c r="J463" s="223">
        <f>I463/D460</f>
        <v>636.35</v>
      </c>
      <c r="K463" s="223">
        <f>2241647/D460</f>
        <v>826.11</v>
      </c>
    </row>
    <row r="464" spans="1:11" x14ac:dyDescent="0.25">
      <c r="A464" s="309"/>
      <c r="B464" s="309"/>
      <c r="C464" s="316"/>
      <c r="D464" s="309"/>
      <c r="E464" s="329"/>
      <c r="F464" s="332"/>
      <c r="G464" s="309"/>
      <c r="H464" s="87" t="s">
        <v>69</v>
      </c>
      <c r="I464" s="223">
        <v>36569</v>
      </c>
      <c r="J464" s="223">
        <f>I464/D460</f>
        <v>13.48</v>
      </c>
      <c r="K464" s="223">
        <f>47971/D460</f>
        <v>17.68</v>
      </c>
    </row>
    <row r="465" spans="1:11" x14ac:dyDescent="0.25">
      <c r="A465" s="310">
        <f>A460+1</f>
        <v>30</v>
      </c>
      <c r="B465" s="310">
        <v>555</v>
      </c>
      <c r="C465" s="333" t="s">
        <v>100</v>
      </c>
      <c r="D465" s="312">
        <v>2510.5</v>
      </c>
      <c r="E465" s="312" t="s">
        <v>68</v>
      </c>
      <c r="F465" s="313">
        <v>5</v>
      </c>
      <c r="G465" s="310" t="s">
        <v>74</v>
      </c>
      <c r="H465" s="87" t="s">
        <v>66</v>
      </c>
      <c r="I465" s="223">
        <f>I466+I467</f>
        <v>723771</v>
      </c>
      <c r="J465" s="223">
        <f>J466+J467</f>
        <v>288.3</v>
      </c>
      <c r="K465" s="223">
        <f>K466+K467</f>
        <v>362</v>
      </c>
    </row>
    <row r="466" spans="1:11" x14ac:dyDescent="0.25">
      <c r="A466" s="310">
        <v>75</v>
      </c>
      <c r="B466" s="310"/>
      <c r="C466" s="333"/>
      <c r="D466" s="312"/>
      <c r="E466" s="312"/>
      <c r="F466" s="313"/>
      <c r="G466" s="310"/>
      <c r="H466" s="87" t="s">
        <v>67</v>
      </c>
      <c r="I466" s="223">
        <v>708708</v>
      </c>
      <c r="J466" s="223">
        <f>I466/D465</f>
        <v>282.3</v>
      </c>
      <c r="K466" s="223">
        <v>354</v>
      </c>
    </row>
    <row r="467" spans="1:11" x14ac:dyDescent="0.25">
      <c r="A467" s="310"/>
      <c r="B467" s="310"/>
      <c r="C467" s="333"/>
      <c r="D467" s="312"/>
      <c r="E467" s="312"/>
      <c r="F467" s="313"/>
      <c r="G467" s="310"/>
      <c r="H467" s="87" t="s">
        <v>69</v>
      </c>
      <c r="I467" s="223">
        <v>15063</v>
      </c>
      <c r="J467" s="223">
        <f>I467/D465</f>
        <v>6</v>
      </c>
      <c r="K467" s="223">
        <v>8</v>
      </c>
    </row>
    <row r="468" spans="1:11" x14ac:dyDescent="0.25">
      <c r="A468" s="307">
        <f>A465+1</f>
        <v>31</v>
      </c>
      <c r="B468" s="307">
        <v>601</v>
      </c>
      <c r="C468" s="315" t="s">
        <v>129</v>
      </c>
      <c r="D468" s="318">
        <v>2902</v>
      </c>
      <c r="E468" s="318" t="s">
        <v>68</v>
      </c>
      <c r="F468" s="330">
        <v>5</v>
      </c>
      <c r="G468" s="121"/>
      <c r="H468" s="87" t="s">
        <v>66</v>
      </c>
      <c r="I468" s="223">
        <f>I469+I470+I471+I472+I473+I474+I475+I476</f>
        <v>9311103.7400000002</v>
      </c>
      <c r="J468" s="223">
        <f>J469+J470+J471+J472+J473+J474+J475+J476</f>
        <v>3208.51</v>
      </c>
      <c r="K468" s="223">
        <f>K469+K470+K471+K472+K473+K474+K475+K476</f>
        <v>4706</v>
      </c>
    </row>
    <row r="469" spans="1:11" x14ac:dyDescent="0.25">
      <c r="A469" s="308"/>
      <c r="B469" s="308"/>
      <c r="C469" s="317"/>
      <c r="D469" s="319"/>
      <c r="E469" s="319"/>
      <c r="F469" s="331"/>
      <c r="G469" s="307" t="s">
        <v>77</v>
      </c>
      <c r="H469" s="87" t="s">
        <v>67</v>
      </c>
      <c r="I469" s="223">
        <v>1320033.8899999999</v>
      </c>
      <c r="J469" s="223">
        <f>I469/D468</f>
        <v>454.87</v>
      </c>
      <c r="K469" s="223">
        <v>641</v>
      </c>
    </row>
    <row r="470" spans="1:11" x14ac:dyDescent="0.25">
      <c r="A470" s="308"/>
      <c r="B470" s="308"/>
      <c r="C470" s="317"/>
      <c r="D470" s="319"/>
      <c r="E470" s="319"/>
      <c r="F470" s="331"/>
      <c r="G470" s="309"/>
      <c r="H470" s="87" t="s">
        <v>69</v>
      </c>
      <c r="I470" s="223">
        <v>28248.73</v>
      </c>
      <c r="J470" s="223">
        <f>I470/D468</f>
        <v>9.73</v>
      </c>
      <c r="K470" s="223">
        <v>14</v>
      </c>
    </row>
    <row r="471" spans="1:11" x14ac:dyDescent="0.25">
      <c r="A471" s="308"/>
      <c r="B471" s="308"/>
      <c r="C471" s="317"/>
      <c r="D471" s="319"/>
      <c r="E471" s="319"/>
      <c r="F471" s="331"/>
      <c r="G471" s="307" t="s">
        <v>70</v>
      </c>
      <c r="H471" s="87" t="s">
        <v>67</v>
      </c>
      <c r="I471" s="223">
        <v>6353829</v>
      </c>
      <c r="J471" s="223">
        <f>I471/D468-0.01</f>
        <v>2189.46</v>
      </c>
      <c r="K471" s="223">
        <v>2911</v>
      </c>
    </row>
    <row r="472" spans="1:11" x14ac:dyDescent="0.25">
      <c r="A472" s="308"/>
      <c r="B472" s="308"/>
      <c r="C472" s="317"/>
      <c r="D472" s="319"/>
      <c r="E472" s="319"/>
      <c r="F472" s="331"/>
      <c r="G472" s="309"/>
      <c r="H472" s="87" t="s">
        <v>69</v>
      </c>
      <c r="I472" s="223">
        <v>135971.94</v>
      </c>
      <c r="J472" s="223">
        <f>I472/D468</f>
        <v>46.85</v>
      </c>
      <c r="K472" s="223">
        <v>62</v>
      </c>
    </row>
    <row r="473" spans="1:11" x14ac:dyDescent="0.25">
      <c r="A473" s="308"/>
      <c r="B473" s="308"/>
      <c r="C473" s="317"/>
      <c r="D473" s="319"/>
      <c r="E473" s="319"/>
      <c r="F473" s="331"/>
      <c r="G473" s="307" t="s">
        <v>71</v>
      </c>
      <c r="H473" s="87" t="s">
        <v>67</v>
      </c>
      <c r="I473" s="223">
        <v>473193</v>
      </c>
      <c r="J473" s="223">
        <f>I473/D468</f>
        <v>163.06</v>
      </c>
      <c r="K473" s="223">
        <v>513</v>
      </c>
    </row>
    <row r="474" spans="1:11" x14ac:dyDescent="0.25">
      <c r="A474" s="308"/>
      <c r="B474" s="308"/>
      <c r="C474" s="317"/>
      <c r="D474" s="319"/>
      <c r="E474" s="319"/>
      <c r="F474" s="331"/>
      <c r="G474" s="309"/>
      <c r="H474" s="87" t="s">
        <v>69</v>
      </c>
      <c r="I474" s="223">
        <v>10126.33</v>
      </c>
      <c r="J474" s="223">
        <f>I474/D468</f>
        <v>3.49</v>
      </c>
      <c r="K474" s="223">
        <v>11</v>
      </c>
    </row>
    <row r="475" spans="1:11" x14ac:dyDescent="0.25">
      <c r="A475" s="308"/>
      <c r="B475" s="308"/>
      <c r="C475" s="317"/>
      <c r="D475" s="319"/>
      <c r="E475" s="319"/>
      <c r="F475" s="331"/>
      <c r="G475" s="307" t="s">
        <v>72</v>
      </c>
      <c r="H475" s="87" t="s">
        <v>67</v>
      </c>
      <c r="I475" s="223">
        <v>968965</v>
      </c>
      <c r="J475" s="223">
        <f>I475/D468</f>
        <v>333.9</v>
      </c>
      <c r="K475" s="223">
        <v>542</v>
      </c>
    </row>
    <row r="476" spans="1:11" x14ac:dyDescent="0.25">
      <c r="A476" s="309"/>
      <c r="B476" s="309"/>
      <c r="C476" s="316"/>
      <c r="D476" s="329"/>
      <c r="E476" s="329"/>
      <c r="F476" s="332"/>
      <c r="G476" s="309"/>
      <c r="H476" s="87" t="s">
        <v>69</v>
      </c>
      <c r="I476" s="223">
        <v>20735.849999999999</v>
      </c>
      <c r="J476" s="223">
        <f>I476/D468</f>
        <v>7.15</v>
      </c>
      <c r="K476" s="223">
        <v>12</v>
      </c>
    </row>
    <row r="477" spans="1:11" ht="15.75" customHeight="1" x14ac:dyDescent="0.25">
      <c r="A477" s="310">
        <f>A468+1</f>
        <v>32</v>
      </c>
      <c r="B477" s="310">
        <v>119</v>
      </c>
      <c r="C477" s="333" t="s">
        <v>577</v>
      </c>
      <c r="D477" s="312">
        <v>811.7</v>
      </c>
      <c r="E477" s="312" t="s">
        <v>73</v>
      </c>
      <c r="F477" s="313">
        <v>3</v>
      </c>
      <c r="G477" s="310" t="s">
        <v>74</v>
      </c>
      <c r="H477" s="87" t="s">
        <v>66</v>
      </c>
      <c r="I477" s="223">
        <f>I478</f>
        <v>57182</v>
      </c>
      <c r="J477" s="223">
        <f>J478</f>
        <v>70.45</v>
      </c>
      <c r="K477" s="223">
        <f>K478</f>
        <v>73</v>
      </c>
    </row>
    <row r="478" spans="1:11" ht="47.25" customHeight="1" x14ac:dyDescent="0.25">
      <c r="A478" s="310"/>
      <c r="B478" s="310"/>
      <c r="C478" s="333"/>
      <c r="D478" s="312"/>
      <c r="E478" s="312"/>
      <c r="F478" s="313"/>
      <c r="G478" s="310"/>
      <c r="H478" s="87" t="s">
        <v>168</v>
      </c>
      <c r="I478" s="223">
        <v>57182</v>
      </c>
      <c r="J478" s="223">
        <f>I478/D477</f>
        <v>70.45</v>
      </c>
      <c r="K478" s="223">
        <f>60+13</f>
        <v>73</v>
      </c>
    </row>
    <row r="479" spans="1:11" ht="15.75" customHeight="1" x14ac:dyDescent="0.25">
      <c r="A479" s="307">
        <f>A477+1</f>
        <v>33</v>
      </c>
      <c r="B479" s="307">
        <v>888</v>
      </c>
      <c r="C479" s="315" t="s">
        <v>578</v>
      </c>
      <c r="D479" s="318">
        <v>3557.4</v>
      </c>
      <c r="E479" s="307" t="s">
        <v>68</v>
      </c>
      <c r="F479" s="307">
        <v>9</v>
      </c>
      <c r="G479" s="145"/>
      <c r="H479" s="87" t="s">
        <v>66</v>
      </c>
      <c r="I479" s="223">
        <f>I480+I481</f>
        <v>0</v>
      </c>
      <c r="J479" s="223">
        <f>J480+J481</f>
        <v>0</v>
      </c>
      <c r="K479" s="223">
        <f>K480+K481</f>
        <v>18.149999999999999</v>
      </c>
    </row>
    <row r="480" spans="1:11" ht="47.25" customHeight="1" x14ac:dyDescent="0.25">
      <c r="A480" s="308"/>
      <c r="B480" s="308"/>
      <c r="C480" s="317"/>
      <c r="D480" s="319"/>
      <c r="E480" s="308"/>
      <c r="F480" s="308"/>
      <c r="G480" s="148" t="s">
        <v>170</v>
      </c>
      <c r="H480" s="87" t="s">
        <v>168</v>
      </c>
      <c r="I480" s="223">
        <v>0</v>
      </c>
      <c r="J480" s="223">
        <f>I480/D479</f>
        <v>0</v>
      </c>
      <c r="K480" s="223">
        <f>32281/D479+0.01</f>
        <v>9.08</v>
      </c>
    </row>
    <row r="481" spans="1:11" ht="47.25" customHeight="1" x14ac:dyDescent="0.25">
      <c r="A481" s="308"/>
      <c r="B481" s="308"/>
      <c r="C481" s="317"/>
      <c r="D481" s="319"/>
      <c r="E481" s="308"/>
      <c r="F481" s="308"/>
      <c r="G481" s="148" t="s">
        <v>173</v>
      </c>
      <c r="H481" s="87" t="s">
        <v>168</v>
      </c>
      <c r="I481" s="223">
        <v>0</v>
      </c>
      <c r="J481" s="223">
        <f>I481/D479</f>
        <v>0</v>
      </c>
      <c r="K481" s="223">
        <f>32281/D479</f>
        <v>9.07</v>
      </c>
    </row>
    <row r="482" spans="1:11" x14ac:dyDescent="0.25">
      <c r="A482" s="310">
        <f>A479+1</f>
        <v>34</v>
      </c>
      <c r="B482" s="310">
        <v>1804</v>
      </c>
      <c r="C482" s="333" t="s">
        <v>481</v>
      </c>
      <c r="D482" s="312">
        <v>6579.5</v>
      </c>
      <c r="E482" s="312" t="s">
        <v>68</v>
      </c>
      <c r="F482" s="313">
        <v>10</v>
      </c>
      <c r="G482" s="145"/>
      <c r="H482" s="87" t="s">
        <v>66</v>
      </c>
      <c r="I482" s="223">
        <f>I483+I484+I485+I486+I487+I488+I489+I490+I491</f>
        <v>5170441.33</v>
      </c>
      <c r="J482" s="223">
        <f t="shared" ref="J482:K482" si="18">J483+J484+J485+J486+J487+J488+J489+J490+J491</f>
        <v>785.84</v>
      </c>
      <c r="K482" s="223">
        <f t="shared" si="18"/>
        <v>1159.83</v>
      </c>
    </row>
    <row r="483" spans="1:11" ht="63" x14ac:dyDescent="0.25">
      <c r="A483" s="310"/>
      <c r="B483" s="310"/>
      <c r="C483" s="333"/>
      <c r="D483" s="312"/>
      <c r="E483" s="312"/>
      <c r="F483" s="313"/>
      <c r="G483" s="307" t="s">
        <v>170</v>
      </c>
      <c r="H483" s="87" t="s">
        <v>168</v>
      </c>
      <c r="I483" s="223">
        <v>22681</v>
      </c>
      <c r="J483" s="223">
        <f>I483/D482</f>
        <v>3.45</v>
      </c>
      <c r="K483" s="223">
        <f>32281/D482</f>
        <v>4.91</v>
      </c>
    </row>
    <row r="484" spans="1:11" x14ac:dyDescent="0.25">
      <c r="A484" s="310">
        <v>756</v>
      </c>
      <c r="B484" s="310"/>
      <c r="C484" s="333"/>
      <c r="D484" s="312"/>
      <c r="E484" s="312"/>
      <c r="F484" s="313"/>
      <c r="G484" s="308"/>
      <c r="H484" s="87" t="s">
        <v>171</v>
      </c>
      <c r="I484" s="223">
        <v>1665546.06</v>
      </c>
      <c r="J484" s="223">
        <f>I484/D482-0.01</f>
        <v>253.13</v>
      </c>
      <c r="K484" s="223">
        <f>2458756/D482</f>
        <v>373.7</v>
      </c>
    </row>
    <row r="485" spans="1:11" x14ac:dyDescent="0.25">
      <c r="A485" s="310">
        <v>757</v>
      </c>
      <c r="B485" s="310"/>
      <c r="C485" s="333"/>
      <c r="D485" s="312"/>
      <c r="E485" s="312"/>
      <c r="F485" s="313"/>
      <c r="G485" s="309"/>
      <c r="H485" s="87" t="s">
        <v>69</v>
      </c>
      <c r="I485" s="223">
        <v>35253.379999999997</v>
      </c>
      <c r="J485" s="223">
        <f>I485/D482</f>
        <v>5.36</v>
      </c>
      <c r="K485" s="223">
        <f>52617/D482</f>
        <v>8</v>
      </c>
    </row>
    <row r="486" spans="1:11" ht="63" x14ac:dyDescent="0.25">
      <c r="A486" s="310"/>
      <c r="B486" s="310"/>
      <c r="C486" s="333"/>
      <c r="D486" s="312"/>
      <c r="E486" s="312"/>
      <c r="F486" s="313"/>
      <c r="G486" s="307" t="s">
        <v>173</v>
      </c>
      <c r="H486" s="87" t="s">
        <v>168</v>
      </c>
      <c r="I486" s="223">
        <v>22681</v>
      </c>
      <c r="J486" s="223">
        <f>I486/D482</f>
        <v>3.45</v>
      </c>
      <c r="K486" s="223">
        <f>32281/D482</f>
        <v>4.91</v>
      </c>
    </row>
    <row r="487" spans="1:11" x14ac:dyDescent="0.25">
      <c r="A487" s="310"/>
      <c r="B487" s="310"/>
      <c r="C487" s="333"/>
      <c r="D487" s="312"/>
      <c r="E487" s="312"/>
      <c r="F487" s="313"/>
      <c r="G487" s="308"/>
      <c r="H487" s="87" t="s">
        <v>171</v>
      </c>
      <c r="I487" s="223">
        <v>1665546.06</v>
      </c>
      <c r="J487" s="223">
        <f>I487/D482</f>
        <v>253.14</v>
      </c>
      <c r="K487" s="223">
        <f>2458756/D482</f>
        <v>373.7</v>
      </c>
    </row>
    <row r="488" spans="1:11" x14ac:dyDescent="0.25">
      <c r="A488" s="310"/>
      <c r="B488" s="310"/>
      <c r="C488" s="333"/>
      <c r="D488" s="312"/>
      <c r="E488" s="312"/>
      <c r="F488" s="313"/>
      <c r="G488" s="309"/>
      <c r="H488" s="87" t="s">
        <v>69</v>
      </c>
      <c r="I488" s="223">
        <v>35253.379999999997</v>
      </c>
      <c r="J488" s="223">
        <f>I488/D482</f>
        <v>5.36</v>
      </c>
      <c r="K488" s="223">
        <f>52617/D482</f>
        <v>8</v>
      </c>
    </row>
    <row r="489" spans="1:11" ht="63" x14ac:dyDescent="0.25">
      <c r="A489" s="310"/>
      <c r="B489" s="310"/>
      <c r="C489" s="333"/>
      <c r="D489" s="312"/>
      <c r="E489" s="312"/>
      <c r="F489" s="313"/>
      <c r="G489" s="307" t="s">
        <v>174</v>
      </c>
      <c r="H489" s="87" t="s">
        <v>168</v>
      </c>
      <c r="I489" s="223">
        <v>22681</v>
      </c>
      <c r="J489" s="223">
        <f>I489/D482</f>
        <v>3.45</v>
      </c>
      <c r="K489" s="223">
        <f>32281/D482</f>
        <v>4.91</v>
      </c>
    </row>
    <row r="490" spans="1:11" x14ac:dyDescent="0.25">
      <c r="A490" s="310"/>
      <c r="B490" s="310"/>
      <c r="C490" s="333"/>
      <c r="D490" s="312"/>
      <c r="E490" s="312"/>
      <c r="F490" s="313"/>
      <c r="G490" s="308"/>
      <c r="H490" s="87" t="s">
        <v>171</v>
      </c>
      <c r="I490" s="223">
        <v>1665546.07</v>
      </c>
      <c r="J490" s="223">
        <f>I490/D482</f>
        <v>253.14</v>
      </c>
      <c r="K490" s="223">
        <f>2458756/D482</f>
        <v>373.7</v>
      </c>
    </row>
    <row r="491" spans="1:11" x14ac:dyDescent="0.25">
      <c r="A491" s="310"/>
      <c r="B491" s="310"/>
      <c r="C491" s="333"/>
      <c r="D491" s="312"/>
      <c r="E491" s="312"/>
      <c r="F491" s="313"/>
      <c r="G491" s="309"/>
      <c r="H491" s="87" t="s">
        <v>69</v>
      </c>
      <c r="I491" s="223">
        <v>35253.379999999997</v>
      </c>
      <c r="J491" s="223">
        <f>I491/D482</f>
        <v>5.36</v>
      </c>
      <c r="K491" s="223">
        <f>52617/D482</f>
        <v>8</v>
      </c>
    </row>
    <row r="492" spans="1:11" x14ac:dyDescent="0.25">
      <c r="A492" s="310">
        <f>A482+1</f>
        <v>35</v>
      </c>
      <c r="B492" s="310">
        <v>1687</v>
      </c>
      <c r="C492" s="333" t="s">
        <v>444</v>
      </c>
      <c r="D492" s="312">
        <v>9731</v>
      </c>
      <c r="E492" s="312" t="s">
        <v>64</v>
      </c>
      <c r="F492" s="313">
        <v>10</v>
      </c>
      <c r="G492" s="145"/>
      <c r="H492" s="87" t="s">
        <v>66</v>
      </c>
      <c r="I492" s="223">
        <f>I493+I494+I495+I496+I497+I498+I499+I500</f>
        <v>8380545.1900000004</v>
      </c>
      <c r="J492" s="223">
        <f>J493+J494+J495+J496+J497+J498+J499+J500</f>
        <v>861.22</v>
      </c>
      <c r="K492" s="223">
        <f>K493+K494+K495+K496+K497+K498+K499+K500</f>
        <v>941.16</v>
      </c>
    </row>
    <row r="493" spans="1:11" x14ac:dyDescent="0.25">
      <c r="A493" s="310">
        <v>756</v>
      </c>
      <c r="B493" s="310"/>
      <c r="C493" s="333"/>
      <c r="D493" s="312"/>
      <c r="E493" s="312"/>
      <c r="F493" s="313"/>
      <c r="G493" s="307" t="s">
        <v>170</v>
      </c>
      <c r="H493" s="87" t="s">
        <v>171</v>
      </c>
      <c r="I493" s="223">
        <v>2063235.58</v>
      </c>
      <c r="J493" s="223">
        <f>I493/D492</f>
        <v>212.03</v>
      </c>
      <c r="K493" s="223">
        <f>2241647/D492</f>
        <v>230.36</v>
      </c>
    </row>
    <row r="494" spans="1:11" x14ac:dyDescent="0.25">
      <c r="A494" s="310">
        <v>757</v>
      </c>
      <c r="B494" s="310"/>
      <c r="C494" s="333"/>
      <c r="D494" s="312"/>
      <c r="E494" s="312"/>
      <c r="F494" s="313"/>
      <c r="G494" s="309"/>
      <c r="H494" s="87" t="s">
        <v>69</v>
      </c>
      <c r="I494" s="223">
        <v>31900.720000000001</v>
      </c>
      <c r="J494" s="223">
        <f>I494/D492</f>
        <v>3.28</v>
      </c>
      <c r="K494" s="223">
        <f>47971/D492</f>
        <v>4.93</v>
      </c>
    </row>
    <row r="495" spans="1:11" x14ac:dyDescent="0.25">
      <c r="A495" s="310"/>
      <c r="B495" s="310"/>
      <c r="C495" s="333"/>
      <c r="D495" s="312"/>
      <c r="E495" s="312"/>
      <c r="F495" s="313"/>
      <c r="G495" s="307" t="s">
        <v>173</v>
      </c>
      <c r="H495" s="87" t="s">
        <v>171</v>
      </c>
      <c r="I495" s="223">
        <v>2063235.58</v>
      </c>
      <c r="J495" s="223">
        <f>I495/D492-0.01</f>
        <v>212.02</v>
      </c>
      <c r="K495" s="223">
        <f>2241647/D492</f>
        <v>230.36</v>
      </c>
    </row>
    <row r="496" spans="1:11" x14ac:dyDescent="0.25">
      <c r="A496" s="310"/>
      <c r="B496" s="310"/>
      <c r="C496" s="333"/>
      <c r="D496" s="312"/>
      <c r="E496" s="312"/>
      <c r="F496" s="313"/>
      <c r="G496" s="309"/>
      <c r="H496" s="87" t="s">
        <v>69</v>
      </c>
      <c r="I496" s="223">
        <v>31900.71</v>
      </c>
      <c r="J496" s="223">
        <f>I496/D492</f>
        <v>3.28</v>
      </c>
      <c r="K496" s="223">
        <f>47971/D492</f>
        <v>4.93</v>
      </c>
    </row>
    <row r="497" spans="1:11" x14ac:dyDescent="0.25">
      <c r="A497" s="310"/>
      <c r="B497" s="310"/>
      <c r="C497" s="333"/>
      <c r="D497" s="312"/>
      <c r="E497" s="312"/>
      <c r="F497" s="313"/>
      <c r="G497" s="307" t="s">
        <v>174</v>
      </c>
      <c r="H497" s="87" t="s">
        <v>171</v>
      </c>
      <c r="I497" s="223">
        <v>2063235.58</v>
      </c>
      <c r="J497" s="223">
        <f>I497/D492-0.01</f>
        <v>212.02</v>
      </c>
      <c r="K497" s="223">
        <f>2241647/D492</f>
        <v>230.36</v>
      </c>
    </row>
    <row r="498" spans="1:11" x14ac:dyDescent="0.25">
      <c r="A498" s="310"/>
      <c r="B498" s="310"/>
      <c r="C498" s="333"/>
      <c r="D498" s="312"/>
      <c r="E498" s="312"/>
      <c r="F498" s="313"/>
      <c r="G498" s="309"/>
      <c r="H498" s="87" t="s">
        <v>69</v>
      </c>
      <c r="I498" s="223">
        <v>31900.720000000001</v>
      </c>
      <c r="J498" s="223">
        <f>I498/D492</f>
        <v>3.28</v>
      </c>
      <c r="K498" s="223">
        <f>47971/D492</f>
        <v>4.93</v>
      </c>
    </row>
    <row r="499" spans="1:11" x14ac:dyDescent="0.25">
      <c r="A499" s="310"/>
      <c r="B499" s="310"/>
      <c r="C499" s="333"/>
      <c r="D499" s="312"/>
      <c r="E499" s="312"/>
      <c r="F499" s="313"/>
      <c r="G499" s="307" t="s">
        <v>175</v>
      </c>
      <c r="H499" s="87" t="s">
        <v>171</v>
      </c>
      <c r="I499" s="223">
        <v>2063235.59</v>
      </c>
      <c r="J499" s="223">
        <f>I499/D492</f>
        <v>212.03</v>
      </c>
      <c r="K499" s="223">
        <f>2241647/D492</f>
        <v>230.36</v>
      </c>
    </row>
    <row r="500" spans="1:11" x14ac:dyDescent="0.25">
      <c r="A500" s="310"/>
      <c r="B500" s="310"/>
      <c r="C500" s="333"/>
      <c r="D500" s="312"/>
      <c r="E500" s="312"/>
      <c r="F500" s="313"/>
      <c r="G500" s="309"/>
      <c r="H500" s="87" t="s">
        <v>69</v>
      </c>
      <c r="I500" s="223">
        <v>31900.71</v>
      </c>
      <c r="J500" s="223">
        <f>I500/D492</f>
        <v>3.28</v>
      </c>
      <c r="K500" s="223">
        <f>47971/D492</f>
        <v>4.93</v>
      </c>
    </row>
    <row r="501" spans="1:11" ht="15.75" customHeight="1" x14ac:dyDescent="0.25">
      <c r="A501" s="310">
        <f>A492+1</f>
        <v>36</v>
      </c>
      <c r="B501" s="310">
        <v>1408</v>
      </c>
      <c r="C501" s="333" t="s">
        <v>130</v>
      </c>
      <c r="D501" s="312">
        <v>3561.2</v>
      </c>
      <c r="E501" s="312" t="s">
        <v>68</v>
      </c>
      <c r="F501" s="313">
        <v>5</v>
      </c>
      <c r="G501" s="310" t="s">
        <v>65</v>
      </c>
      <c r="H501" s="87" t="s">
        <v>66</v>
      </c>
      <c r="I501" s="223">
        <f>I502+I503</f>
        <v>5195930.8499999996</v>
      </c>
      <c r="J501" s="223">
        <f>J502+J503</f>
        <v>1459.04</v>
      </c>
      <c r="K501" s="223">
        <f>K502+K503</f>
        <v>3878</v>
      </c>
    </row>
    <row r="502" spans="1:11" x14ac:dyDescent="0.25">
      <c r="A502" s="310">
        <v>75</v>
      </c>
      <c r="B502" s="310"/>
      <c r="C502" s="333"/>
      <c r="D502" s="312"/>
      <c r="E502" s="312"/>
      <c r="F502" s="313"/>
      <c r="G502" s="310"/>
      <c r="H502" s="87" t="s">
        <v>67</v>
      </c>
      <c r="I502" s="223">
        <v>5087067.5999999996</v>
      </c>
      <c r="J502" s="223">
        <f>I502/D501</f>
        <v>1428.47</v>
      </c>
      <c r="K502" s="223">
        <v>3797</v>
      </c>
    </row>
    <row r="503" spans="1:11" x14ac:dyDescent="0.25">
      <c r="A503" s="310"/>
      <c r="B503" s="310"/>
      <c r="C503" s="333"/>
      <c r="D503" s="312"/>
      <c r="E503" s="312"/>
      <c r="F503" s="313"/>
      <c r="G503" s="310"/>
      <c r="H503" s="87" t="s">
        <v>69</v>
      </c>
      <c r="I503" s="223">
        <v>108863.25</v>
      </c>
      <c r="J503" s="223">
        <f>I503/D501</f>
        <v>30.57</v>
      </c>
      <c r="K503" s="223">
        <v>81</v>
      </c>
    </row>
    <row r="504" spans="1:11" x14ac:dyDescent="0.25">
      <c r="A504" s="307">
        <f>A501+1</f>
        <v>37</v>
      </c>
      <c r="B504" s="307">
        <v>1410</v>
      </c>
      <c r="C504" s="315" t="s">
        <v>131</v>
      </c>
      <c r="D504" s="318">
        <v>1477.5</v>
      </c>
      <c r="E504" s="318" t="s">
        <v>68</v>
      </c>
      <c r="F504" s="330">
        <v>5</v>
      </c>
      <c r="G504" s="121"/>
      <c r="H504" s="87" t="s">
        <v>66</v>
      </c>
      <c r="I504" s="223">
        <f>I505+I506+I507+I508+I509+I510</f>
        <v>12679903.939999999</v>
      </c>
      <c r="J504" s="223">
        <f>J505+J506+J507+J508+J509+J510</f>
        <v>8582</v>
      </c>
      <c r="K504" s="223">
        <f>K505+K506+K507+K508+K509+K510</f>
        <v>12079</v>
      </c>
    </row>
    <row r="505" spans="1:11" x14ac:dyDescent="0.25">
      <c r="A505" s="308"/>
      <c r="B505" s="308"/>
      <c r="C505" s="317"/>
      <c r="D505" s="319"/>
      <c r="E505" s="319"/>
      <c r="F505" s="331"/>
      <c r="G505" s="307" t="s">
        <v>65</v>
      </c>
      <c r="H505" s="87" t="s">
        <v>67</v>
      </c>
      <c r="I505" s="223">
        <v>4821482.4000000004</v>
      </c>
      <c r="J505" s="223">
        <f>I505/D504</f>
        <v>3263.27</v>
      </c>
      <c r="K505" s="223">
        <v>4355</v>
      </c>
    </row>
    <row r="506" spans="1:11" x14ac:dyDescent="0.25">
      <c r="A506" s="308"/>
      <c r="B506" s="308"/>
      <c r="C506" s="317"/>
      <c r="D506" s="319"/>
      <c r="E506" s="319"/>
      <c r="F506" s="331"/>
      <c r="G506" s="309"/>
      <c r="H506" s="87" t="s">
        <v>69</v>
      </c>
      <c r="I506" s="223">
        <v>103179.72</v>
      </c>
      <c r="J506" s="223">
        <f>I506/D504</f>
        <v>69.83</v>
      </c>
      <c r="K506" s="223">
        <v>93</v>
      </c>
    </row>
    <row r="507" spans="1:11" x14ac:dyDescent="0.25">
      <c r="A507" s="308"/>
      <c r="B507" s="308"/>
      <c r="C507" s="317"/>
      <c r="D507" s="319"/>
      <c r="E507" s="319"/>
      <c r="F507" s="331"/>
      <c r="G507" s="307" t="s">
        <v>75</v>
      </c>
      <c r="H507" s="87" t="s">
        <v>67</v>
      </c>
      <c r="I507" s="223">
        <v>1924883.05</v>
      </c>
      <c r="J507" s="223">
        <f>I507/D504</f>
        <v>1302.8</v>
      </c>
      <c r="K507" s="223">
        <v>1733</v>
      </c>
    </row>
    <row r="508" spans="1:11" x14ac:dyDescent="0.25">
      <c r="A508" s="308"/>
      <c r="B508" s="308"/>
      <c r="C508" s="317"/>
      <c r="D508" s="319"/>
      <c r="E508" s="319"/>
      <c r="F508" s="331"/>
      <c r="G508" s="308"/>
      <c r="H508" s="87" t="s">
        <v>69</v>
      </c>
      <c r="I508" s="223">
        <v>41192.5</v>
      </c>
      <c r="J508" s="223">
        <f>I508/D504</f>
        <v>27.88</v>
      </c>
      <c r="K508" s="223">
        <v>37</v>
      </c>
    </row>
    <row r="509" spans="1:11" x14ac:dyDescent="0.25">
      <c r="A509" s="308"/>
      <c r="B509" s="308"/>
      <c r="C509" s="317"/>
      <c r="D509" s="319"/>
      <c r="E509" s="319"/>
      <c r="F509" s="331"/>
      <c r="G509" s="308"/>
      <c r="H509" s="87" t="s">
        <v>179</v>
      </c>
      <c r="I509" s="223">
        <v>5667873.7699999996</v>
      </c>
      <c r="J509" s="223">
        <f>I509/D504+0.01</f>
        <v>3836.13</v>
      </c>
      <c r="K509" s="223">
        <v>5738</v>
      </c>
    </row>
    <row r="510" spans="1:11" x14ac:dyDescent="0.25">
      <c r="A510" s="309"/>
      <c r="B510" s="309"/>
      <c r="C510" s="316"/>
      <c r="D510" s="329"/>
      <c r="E510" s="329"/>
      <c r="F510" s="332"/>
      <c r="G510" s="309"/>
      <c r="H510" s="87" t="s">
        <v>69</v>
      </c>
      <c r="I510" s="223">
        <v>121292.5</v>
      </c>
      <c r="J510" s="223">
        <f>I510/D504</f>
        <v>82.09</v>
      </c>
      <c r="K510" s="223">
        <v>123</v>
      </c>
    </row>
    <row r="511" spans="1:11" ht="15.75" customHeight="1" x14ac:dyDescent="0.25">
      <c r="A511" s="307">
        <f>A504+1</f>
        <v>38</v>
      </c>
      <c r="B511" s="307">
        <v>1938</v>
      </c>
      <c r="C511" s="315" t="s">
        <v>579</v>
      </c>
      <c r="D511" s="318">
        <v>1618</v>
      </c>
      <c r="E511" s="318" t="s">
        <v>68</v>
      </c>
      <c r="F511" s="330">
        <v>4</v>
      </c>
      <c r="G511" s="121"/>
      <c r="H511" s="87" t="s">
        <v>66</v>
      </c>
      <c r="I511" s="223">
        <f>I512+I513+I514+I515</f>
        <v>322804</v>
      </c>
      <c r="J511" s="223">
        <f>J512+J513+J514+J515</f>
        <v>199.51</v>
      </c>
      <c r="K511" s="223">
        <f>K512+K513+K514+K515</f>
        <v>223</v>
      </c>
    </row>
    <row r="512" spans="1:11" ht="47.25" customHeight="1" x14ac:dyDescent="0.25">
      <c r="A512" s="308"/>
      <c r="B512" s="308"/>
      <c r="C512" s="317"/>
      <c r="D512" s="308"/>
      <c r="E512" s="319"/>
      <c r="F512" s="331"/>
      <c r="G512" s="148" t="s">
        <v>70</v>
      </c>
      <c r="H512" s="87" t="s">
        <v>168</v>
      </c>
      <c r="I512" s="223">
        <v>210366.65</v>
      </c>
      <c r="J512" s="223">
        <f>I512/D511-0.01</f>
        <v>130.01</v>
      </c>
      <c r="K512" s="223">
        <f>116+21</f>
        <v>137</v>
      </c>
    </row>
    <row r="513" spans="1:11" ht="47.25" customHeight="1" x14ac:dyDescent="0.25">
      <c r="A513" s="308"/>
      <c r="B513" s="308"/>
      <c r="C513" s="317"/>
      <c r="D513" s="308"/>
      <c r="E513" s="319"/>
      <c r="F513" s="331"/>
      <c r="G513" s="148" t="s">
        <v>71</v>
      </c>
      <c r="H513" s="87" t="s">
        <v>168</v>
      </c>
      <c r="I513" s="223">
        <v>38083.620000000003</v>
      </c>
      <c r="J513" s="223">
        <f>I513/D511</f>
        <v>23.54</v>
      </c>
      <c r="K513" s="223">
        <f>21+8</f>
        <v>29</v>
      </c>
    </row>
    <row r="514" spans="1:11" ht="47.25" customHeight="1" x14ac:dyDescent="0.25">
      <c r="A514" s="308"/>
      <c r="B514" s="308"/>
      <c r="C514" s="317"/>
      <c r="D514" s="308"/>
      <c r="E514" s="319"/>
      <c r="F514" s="331"/>
      <c r="G514" s="148" t="s">
        <v>72</v>
      </c>
      <c r="H514" s="87" t="s">
        <v>168</v>
      </c>
      <c r="I514" s="223">
        <v>39897.120000000003</v>
      </c>
      <c r="J514" s="223">
        <f>I514/D511</f>
        <v>24.66</v>
      </c>
      <c r="K514" s="223">
        <f>22+7</f>
        <v>29</v>
      </c>
    </row>
    <row r="515" spans="1:11" ht="47.25" customHeight="1" x14ac:dyDescent="0.25">
      <c r="A515" s="308"/>
      <c r="B515" s="308"/>
      <c r="C515" s="317"/>
      <c r="D515" s="308"/>
      <c r="E515" s="319"/>
      <c r="F515" s="331"/>
      <c r="G515" s="148" t="s">
        <v>78</v>
      </c>
      <c r="H515" s="87" t="s">
        <v>168</v>
      </c>
      <c r="I515" s="223">
        <v>34456.61</v>
      </c>
      <c r="J515" s="223">
        <f>I515/D511</f>
        <v>21.3</v>
      </c>
      <c r="K515" s="223">
        <f>19+9</f>
        <v>28</v>
      </c>
    </row>
    <row r="516" spans="1:11" ht="15.75" customHeight="1" x14ac:dyDescent="0.25">
      <c r="A516" s="307">
        <f>A511+1</f>
        <v>39</v>
      </c>
      <c r="B516" s="307">
        <v>1021</v>
      </c>
      <c r="C516" s="315" t="s">
        <v>580</v>
      </c>
      <c r="D516" s="318">
        <v>8061.42</v>
      </c>
      <c r="E516" s="307" t="s">
        <v>68</v>
      </c>
      <c r="F516" s="307">
        <v>10</v>
      </c>
      <c r="G516" s="145"/>
      <c r="H516" s="87" t="s">
        <v>66</v>
      </c>
      <c r="I516" s="223">
        <f>I517+I518+I519+I520</f>
        <v>0</v>
      </c>
      <c r="J516" s="223">
        <f t="shared" ref="J516:K516" si="19">J517+J518+J519+J520</f>
        <v>0</v>
      </c>
      <c r="K516" s="223">
        <f t="shared" si="19"/>
        <v>16.02</v>
      </c>
    </row>
    <row r="517" spans="1:11" ht="47.25" customHeight="1" x14ac:dyDescent="0.25">
      <c r="A517" s="308"/>
      <c r="B517" s="308"/>
      <c r="C517" s="317"/>
      <c r="D517" s="319"/>
      <c r="E517" s="308"/>
      <c r="F517" s="308"/>
      <c r="G517" s="148" t="s">
        <v>170</v>
      </c>
      <c r="H517" s="87" t="s">
        <v>168</v>
      </c>
      <c r="I517" s="223">
        <v>0</v>
      </c>
      <c r="J517" s="223">
        <f>I517/D516</f>
        <v>0</v>
      </c>
      <c r="K517" s="223">
        <f>32281/D516+0.01</f>
        <v>4.01</v>
      </c>
    </row>
    <row r="518" spans="1:11" ht="47.25" customHeight="1" x14ac:dyDescent="0.25">
      <c r="A518" s="308"/>
      <c r="B518" s="308"/>
      <c r="C518" s="317"/>
      <c r="D518" s="319"/>
      <c r="E518" s="308"/>
      <c r="F518" s="308"/>
      <c r="G518" s="148" t="s">
        <v>173</v>
      </c>
      <c r="H518" s="87" t="s">
        <v>168</v>
      </c>
      <c r="I518" s="223">
        <v>0</v>
      </c>
      <c r="J518" s="223">
        <f>I518/D516</f>
        <v>0</v>
      </c>
      <c r="K518" s="223">
        <f>32281/D516</f>
        <v>4</v>
      </c>
    </row>
    <row r="519" spans="1:11" ht="47.25" customHeight="1" x14ac:dyDescent="0.25">
      <c r="A519" s="308"/>
      <c r="B519" s="308"/>
      <c r="C519" s="317"/>
      <c r="D519" s="319"/>
      <c r="E519" s="308"/>
      <c r="F519" s="308"/>
      <c r="G519" s="148" t="s">
        <v>174</v>
      </c>
      <c r="H519" s="87" t="s">
        <v>168</v>
      </c>
      <c r="I519" s="223">
        <v>0</v>
      </c>
      <c r="J519" s="223">
        <f>I519/D516</f>
        <v>0</v>
      </c>
      <c r="K519" s="223">
        <f>32281/D516+0.01</f>
        <v>4.01</v>
      </c>
    </row>
    <row r="520" spans="1:11" ht="47.25" customHeight="1" x14ac:dyDescent="0.25">
      <c r="A520" s="308"/>
      <c r="B520" s="308"/>
      <c r="C520" s="317"/>
      <c r="D520" s="319"/>
      <c r="E520" s="308"/>
      <c r="F520" s="308"/>
      <c r="G520" s="148" t="s">
        <v>175</v>
      </c>
      <c r="H520" s="87" t="s">
        <v>168</v>
      </c>
      <c r="I520" s="223">
        <v>0</v>
      </c>
      <c r="J520" s="223">
        <f>I520/D516</f>
        <v>0</v>
      </c>
      <c r="K520" s="223">
        <f>32281/D516</f>
        <v>4</v>
      </c>
    </row>
    <row r="521" spans="1:11" ht="15.75" customHeight="1" x14ac:dyDescent="0.25">
      <c r="A521" s="307">
        <f>A516+1</f>
        <v>40</v>
      </c>
      <c r="B521" s="307">
        <v>1284</v>
      </c>
      <c r="C521" s="315" t="s">
        <v>581</v>
      </c>
      <c r="D521" s="318">
        <v>3691.9</v>
      </c>
      <c r="E521" s="307" t="s">
        <v>64</v>
      </c>
      <c r="F521" s="307">
        <v>10</v>
      </c>
      <c r="G521" s="145"/>
      <c r="H521" s="87" t="s">
        <v>66</v>
      </c>
      <c r="I521" s="223">
        <f>I522+I523</f>
        <v>0</v>
      </c>
      <c r="J521" s="223">
        <f t="shared" ref="J521:K521" si="20">J522+J523</f>
        <v>0</v>
      </c>
      <c r="K521" s="223">
        <f t="shared" si="20"/>
        <v>17.489999999999998</v>
      </c>
    </row>
    <row r="522" spans="1:11" ht="47.25" customHeight="1" x14ac:dyDescent="0.25">
      <c r="A522" s="308"/>
      <c r="B522" s="308"/>
      <c r="C522" s="317"/>
      <c r="D522" s="319"/>
      <c r="E522" s="308"/>
      <c r="F522" s="308"/>
      <c r="G522" s="148" t="s">
        <v>170</v>
      </c>
      <c r="H522" s="87" t="s">
        <v>168</v>
      </c>
      <c r="I522" s="223">
        <v>0</v>
      </c>
      <c r="J522" s="223">
        <f>I522/D521</f>
        <v>0</v>
      </c>
      <c r="K522" s="223">
        <f>32281/D521+0.01</f>
        <v>8.75</v>
      </c>
    </row>
    <row r="523" spans="1:11" ht="47.25" customHeight="1" x14ac:dyDescent="0.25">
      <c r="A523" s="308"/>
      <c r="B523" s="308"/>
      <c r="C523" s="317"/>
      <c r="D523" s="319"/>
      <c r="E523" s="308"/>
      <c r="F523" s="308"/>
      <c r="G523" s="148" t="s">
        <v>173</v>
      </c>
      <c r="H523" s="87" t="s">
        <v>168</v>
      </c>
      <c r="I523" s="223">
        <v>0</v>
      </c>
      <c r="J523" s="223">
        <f>I523/D521</f>
        <v>0</v>
      </c>
      <c r="K523" s="223">
        <f>32281/D521</f>
        <v>8.74</v>
      </c>
    </row>
    <row r="524" spans="1:11" ht="15.75" customHeight="1" x14ac:dyDescent="0.25">
      <c r="A524" s="307">
        <f>A521+1</f>
        <v>41</v>
      </c>
      <c r="B524" s="307">
        <v>1292</v>
      </c>
      <c r="C524" s="315" t="s">
        <v>582</v>
      </c>
      <c r="D524" s="318">
        <v>9049.9</v>
      </c>
      <c r="E524" s="307" t="s">
        <v>64</v>
      </c>
      <c r="F524" s="307">
        <v>10</v>
      </c>
      <c r="G524" s="145"/>
      <c r="H524" s="87" t="s">
        <v>66</v>
      </c>
      <c r="I524" s="223">
        <f>I525</f>
        <v>0</v>
      </c>
      <c r="J524" s="223">
        <f>J525</f>
        <v>0</v>
      </c>
      <c r="K524" s="223">
        <f>K525</f>
        <v>3.57</v>
      </c>
    </row>
    <row r="525" spans="1:11" ht="47.25" customHeight="1" x14ac:dyDescent="0.25">
      <c r="A525" s="308"/>
      <c r="B525" s="308"/>
      <c r="C525" s="317"/>
      <c r="D525" s="319"/>
      <c r="E525" s="308"/>
      <c r="F525" s="308"/>
      <c r="G525" s="148" t="s">
        <v>170</v>
      </c>
      <c r="H525" s="87" t="s">
        <v>168</v>
      </c>
      <c r="I525" s="223">
        <v>0</v>
      </c>
      <c r="J525" s="223">
        <f>I525/D524</f>
        <v>0</v>
      </c>
      <c r="K525" s="223">
        <f>32281/D524</f>
        <v>3.57</v>
      </c>
    </row>
    <row r="526" spans="1:11" x14ac:dyDescent="0.25">
      <c r="A526" s="310">
        <f>A524+1</f>
        <v>42</v>
      </c>
      <c r="B526" s="310">
        <v>1057</v>
      </c>
      <c r="C526" s="333" t="s">
        <v>535</v>
      </c>
      <c r="D526" s="312">
        <v>15850.4</v>
      </c>
      <c r="E526" s="312" t="s">
        <v>64</v>
      </c>
      <c r="F526" s="313">
        <v>10</v>
      </c>
      <c r="G526" s="145"/>
      <c r="H526" s="87" t="s">
        <v>66</v>
      </c>
      <c r="I526" s="223">
        <f>I527+I528+I529+I530+I531+I532+I533+I534+I535</f>
        <v>5170957.38</v>
      </c>
      <c r="J526" s="223">
        <f>J527+J528+J529+J530+J531+J532+J533+J534+J535</f>
        <v>326.24</v>
      </c>
      <c r="K526" s="223">
        <f>K527+K528+K529+K530+K531+K532+K533+K534+K535</f>
        <v>439.47</v>
      </c>
    </row>
    <row r="527" spans="1:11" ht="63" x14ac:dyDescent="0.25">
      <c r="A527" s="310"/>
      <c r="B527" s="310"/>
      <c r="C527" s="333"/>
      <c r="D527" s="312"/>
      <c r="E527" s="312"/>
      <c r="F527" s="313"/>
      <c r="G527" s="307" t="s">
        <v>170</v>
      </c>
      <c r="H527" s="87" t="s">
        <v>168</v>
      </c>
      <c r="I527" s="223">
        <v>22681</v>
      </c>
      <c r="J527" s="223">
        <f>I527/D526</f>
        <v>1.43</v>
      </c>
      <c r="K527" s="223">
        <f>32281/D526</f>
        <v>2.04</v>
      </c>
    </row>
    <row r="528" spans="1:11" x14ac:dyDescent="0.25">
      <c r="A528" s="310">
        <v>756</v>
      </c>
      <c r="B528" s="310"/>
      <c r="C528" s="333"/>
      <c r="D528" s="312"/>
      <c r="E528" s="312"/>
      <c r="F528" s="313"/>
      <c r="G528" s="308"/>
      <c r="H528" s="87" t="s">
        <v>171</v>
      </c>
      <c r="I528" s="223">
        <v>1665333.32</v>
      </c>
      <c r="J528" s="223">
        <f>I528/D526</f>
        <v>105.07</v>
      </c>
      <c r="K528" s="223">
        <f>2241647/D526-0.01</f>
        <v>141.41999999999999</v>
      </c>
    </row>
    <row r="529" spans="1:11" x14ac:dyDescent="0.25">
      <c r="A529" s="310">
        <v>757</v>
      </c>
      <c r="B529" s="310"/>
      <c r="C529" s="333"/>
      <c r="D529" s="312"/>
      <c r="E529" s="312"/>
      <c r="F529" s="313"/>
      <c r="G529" s="309"/>
      <c r="H529" s="87" t="s">
        <v>69</v>
      </c>
      <c r="I529" s="223">
        <v>35638.129999999997</v>
      </c>
      <c r="J529" s="223">
        <f>I529/D526</f>
        <v>2.25</v>
      </c>
      <c r="K529" s="223">
        <f>47971/D526</f>
        <v>3.03</v>
      </c>
    </row>
    <row r="530" spans="1:11" ht="63" x14ac:dyDescent="0.25">
      <c r="A530" s="310"/>
      <c r="B530" s="310"/>
      <c r="C530" s="333"/>
      <c r="D530" s="312"/>
      <c r="E530" s="312"/>
      <c r="F530" s="313"/>
      <c r="G530" s="307" t="s">
        <v>173</v>
      </c>
      <c r="H530" s="87" t="s">
        <v>168</v>
      </c>
      <c r="I530" s="223">
        <v>22681</v>
      </c>
      <c r="J530" s="223">
        <f>I530/D526</f>
        <v>1.43</v>
      </c>
      <c r="K530" s="223">
        <f>32281/D526</f>
        <v>2.04</v>
      </c>
    </row>
    <row r="531" spans="1:11" x14ac:dyDescent="0.25">
      <c r="A531" s="310"/>
      <c r="B531" s="310"/>
      <c r="C531" s="333"/>
      <c r="D531" s="312"/>
      <c r="E531" s="312"/>
      <c r="F531" s="313"/>
      <c r="G531" s="308"/>
      <c r="H531" s="87" t="s">
        <v>171</v>
      </c>
      <c r="I531" s="223">
        <v>1665333.33</v>
      </c>
      <c r="J531" s="223">
        <f>I531/D526</f>
        <v>105.07</v>
      </c>
      <c r="K531" s="223">
        <f>2241647/D526-0.01</f>
        <v>141.41999999999999</v>
      </c>
    </row>
    <row r="532" spans="1:11" x14ac:dyDescent="0.25">
      <c r="A532" s="310"/>
      <c r="B532" s="310"/>
      <c r="C532" s="333"/>
      <c r="D532" s="312"/>
      <c r="E532" s="312"/>
      <c r="F532" s="313"/>
      <c r="G532" s="309"/>
      <c r="H532" s="87" t="s">
        <v>69</v>
      </c>
      <c r="I532" s="223">
        <v>35638.129999999997</v>
      </c>
      <c r="J532" s="223">
        <f>I532/D526</f>
        <v>2.25</v>
      </c>
      <c r="K532" s="223">
        <f>47971/D526</f>
        <v>3.03</v>
      </c>
    </row>
    <row r="533" spans="1:11" ht="63" x14ac:dyDescent="0.25">
      <c r="A533" s="310"/>
      <c r="B533" s="310"/>
      <c r="C533" s="333"/>
      <c r="D533" s="312"/>
      <c r="E533" s="312"/>
      <c r="F533" s="313"/>
      <c r="G533" s="307" t="s">
        <v>174</v>
      </c>
      <c r="H533" s="87" t="s">
        <v>168</v>
      </c>
      <c r="I533" s="223">
        <v>22681</v>
      </c>
      <c r="J533" s="223">
        <f>I533/D526</f>
        <v>1.43</v>
      </c>
      <c r="K533" s="223">
        <f>32281/D526</f>
        <v>2.04</v>
      </c>
    </row>
    <row r="534" spans="1:11" x14ac:dyDescent="0.25">
      <c r="A534" s="310"/>
      <c r="B534" s="310"/>
      <c r="C534" s="333"/>
      <c r="D534" s="312"/>
      <c r="E534" s="312"/>
      <c r="F534" s="313"/>
      <c r="G534" s="308"/>
      <c r="H534" s="87" t="s">
        <v>171</v>
      </c>
      <c r="I534" s="223">
        <v>1665333.33</v>
      </c>
      <c r="J534" s="223">
        <f>I534/D526-0.01</f>
        <v>105.06</v>
      </c>
      <c r="K534" s="223">
        <f>2241647/D526-0.01</f>
        <v>141.41999999999999</v>
      </c>
    </row>
    <row r="535" spans="1:11" x14ac:dyDescent="0.25">
      <c r="A535" s="310"/>
      <c r="B535" s="310"/>
      <c r="C535" s="333"/>
      <c r="D535" s="312"/>
      <c r="E535" s="312"/>
      <c r="F535" s="313"/>
      <c r="G535" s="309"/>
      <c r="H535" s="87" t="s">
        <v>69</v>
      </c>
      <c r="I535" s="223">
        <v>35638.14</v>
      </c>
      <c r="J535" s="223">
        <f>I535/D526</f>
        <v>2.25</v>
      </c>
      <c r="K535" s="223">
        <f>47971/D526</f>
        <v>3.03</v>
      </c>
    </row>
    <row r="536" spans="1:11" x14ac:dyDescent="0.25">
      <c r="A536" s="310">
        <f>A526+1</f>
        <v>43</v>
      </c>
      <c r="B536" s="310">
        <v>1605</v>
      </c>
      <c r="C536" s="333" t="s">
        <v>443</v>
      </c>
      <c r="D536" s="312">
        <v>4850.8999999999996</v>
      </c>
      <c r="E536" s="312" t="s">
        <v>64</v>
      </c>
      <c r="F536" s="313">
        <v>10</v>
      </c>
      <c r="G536" s="145"/>
      <c r="H536" s="87" t="s">
        <v>66</v>
      </c>
      <c r="I536" s="223">
        <f>I537+I538+I539+I540</f>
        <v>4189663.37</v>
      </c>
      <c r="J536" s="223">
        <f>J537+J538+J539+J540</f>
        <v>863.69</v>
      </c>
      <c r="K536" s="223">
        <f>K537+K538+K539+K540</f>
        <v>944</v>
      </c>
    </row>
    <row r="537" spans="1:11" x14ac:dyDescent="0.25">
      <c r="A537" s="310">
        <v>756</v>
      </c>
      <c r="B537" s="310"/>
      <c r="C537" s="333"/>
      <c r="D537" s="312"/>
      <c r="E537" s="312"/>
      <c r="F537" s="313"/>
      <c r="G537" s="307" t="s">
        <v>170</v>
      </c>
      <c r="H537" s="87" t="s">
        <v>171</v>
      </c>
      <c r="I537" s="223">
        <v>2062691.12</v>
      </c>
      <c r="J537" s="223">
        <f>I537/D536</f>
        <v>425.22</v>
      </c>
      <c r="K537" s="223">
        <f>2241647/D536</f>
        <v>462.11</v>
      </c>
    </row>
    <row r="538" spans="1:11" x14ac:dyDescent="0.25">
      <c r="A538" s="310">
        <v>757</v>
      </c>
      <c r="B538" s="310"/>
      <c r="C538" s="333"/>
      <c r="D538" s="312"/>
      <c r="E538" s="312"/>
      <c r="F538" s="313"/>
      <c r="G538" s="309"/>
      <c r="H538" s="87" t="s">
        <v>69</v>
      </c>
      <c r="I538" s="223">
        <v>32140.57</v>
      </c>
      <c r="J538" s="223">
        <f>I538/D536</f>
        <v>6.63</v>
      </c>
      <c r="K538" s="223">
        <f>47971/D536</f>
        <v>9.89</v>
      </c>
    </row>
    <row r="539" spans="1:11" x14ac:dyDescent="0.25">
      <c r="A539" s="310"/>
      <c r="B539" s="310"/>
      <c r="C539" s="333"/>
      <c r="D539" s="312"/>
      <c r="E539" s="312"/>
      <c r="F539" s="313"/>
      <c r="G539" s="307" t="s">
        <v>173</v>
      </c>
      <c r="H539" s="87" t="s">
        <v>171</v>
      </c>
      <c r="I539" s="223">
        <v>2062691.12</v>
      </c>
      <c r="J539" s="223">
        <f>I539/D536-0.01</f>
        <v>425.21</v>
      </c>
      <c r="K539" s="223">
        <f>2241647/D536</f>
        <v>462.11</v>
      </c>
    </row>
    <row r="540" spans="1:11" x14ac:dyDescent="0.25">
      <c r="A540" s="310"/>
      <c r="B540" s="310"/>
      <c r="C540" s="333"/>
      <c r="D540" s="312"/>
      <c r="E540" s="312"/>
      <c r="F540" s="313"/>
      <c r="G540" s="309"/>
      <c r="H540" s="87" t="s">
        <v>69</v>
      </c>
      <c r="I540" s="223">
        <v>32140.560000000001</v>
      </c>
      <c r="J540" s="223">
        <f>I540/D536</f>
        <v>6.63</v>
      </c>
      <c r="K540" s="223">
        <f>47971/D536</f>
        <v>9.89</v>
      </c>
    </row>
    <row r="541" spans="1:11" ht="15.75" customHeight="1" x14ac:dyDescent="0.25">
      <c r="A541" s="310">
        <f>A536+1</f>
        <v>44</v>
      </c>
      <c r="B541" s="310">
        <v>1445</v>
      </c>
      <c r="C541" s="333" t="s">
        <v>482</v>
      </c>
      <c r="D541" s="312">
        <v>1372.4</v>
      </c>
      <c r="E541" s="446" t="s">
        <v>68</v>
      </c>
      <c r="F541" s="446">
        <v>6</v>
      </c>
      <c r="G541" s="310" t="s">
        <v>65</v>
      </c>
      <c r="H541" s="87" t="s">
        <v>66</v>
      </c>
      <c r="I541" s="223">
        <f>I542+I543</f>
        <v>2437382.6800000002</v>
      </c>
      <c r="J541" s="223">
        <f>J542+J543</f>
        <v>1776</v>
      </c>
      <c r="K541" s="223">
        <f>K542+K543</f>
        <v>3878</v>
      </c>
    </row>
    <row r="542" spans="1:11" x14ac:dyDescent="0.25">
      <c r="A542" s="310">
        <v>77</v>
      </c>
      <c r="B542" s="310"/>
      <c r="C542" s="333"/>
      <c r="D542" s="312"/>
      <c r="E542" s="446"/>
      <c r="F542" s="446"/>
      <c r="G542" s="310"/>
      <c r="H542" s="87" t="s">
        <v>67</v>
      </c>
      <c r="I542" s="223">
        <f>2786822.33*1.15-2786822.33*0.3</f>
        <v>2368798.98</v>
      </c>
      <c r="J542" s="223">
        <f>I542/D541</f>
        <v>1726.03</v>
      </c>
      <c r="K542" s="223">
        <v>3797</v>
      </c>
    </row>
    <row r="543" spans="1:11" x14ac:dyDescent="0.25">
      <c r="A543" s="310">
        <v>78</v>
      </c>
      <c r="B543" s="310"/>
      <c r="C543" s="333"/>
      <c r="D543" s="312"/>
      <c r="E543" s="446"/>
      <c r="F543" s="446"/>
      <c r="G543" s="310"/>
      <c r="H543" s="87" t="s">
        <v>69</v>
      </c>
      <c r="I543" s="223">
        <f>2786822.33*1.15*0.0214</f>
        <v>68583.7</v>
      </c>
      <c r="J543" s="223">
        <f>I543/D541</f>
        <v>49.97</v>
      </c>
      <c r="K543" s="223">
        <v>81</v>
      </c>
    </row>
    <row r="544" spans="1:11" x14ac:dyDescent="0.25">
      <c r="A544" s="310">
        <f>A541+1</f>
        <v>45</v>
      </c>
      <c r="B544" s="310">
        <v>1789</v>
      </c>
      <c r="C544" s="333" t="s">
        <v>132</v>
      </c>
      <c r="D544" s="312">
        <v>2815.6</v>
      </c>
      <c r="E544" s="312" t="s">
        <v>68</v>
      </c>
      <c r="F544" s="313">
        <v>5</v>
      </c>
      <c r="G544" s="310" t="s">
        <v>65</v>
      </c>
      <c r="H544" s="87" t="s">
        <v>66</v>
      </c>
      <c r="I544" s="223">
        <f>I545+I546</f>
        <v>7342655.5099999998</v>
      </c>
      <c r="J544" s="223">
        <f>J545+J546</f>
        <v>2607.85</v>
      </c>
      <c r="K544" s="223">
        <f>K545+K546</f>
        <v>3878</v>
      </c>
    </row>
    <row r="545" spans="1:11" x14ac:dyDescent="0.25">
      <c r="A545" s="310">
        <v>75</v>
      </c>
      <c r="B545" s="310"/>
      <c r="C545" s="333"/>
      <c r="D545" s="312"/>
      <c r="E545" s="312"/>
      <c r="F545" s="313"/>
      <c r="G545" s="310"/>
      <c r="H545" s="87" t="s">
        <v>67</v>
      </c>
      <c r="I545" s="223">
        <v>7188814.8700000001</v>
      </c>
      <c r="J545" s="223">
        <f>I545/D544</f>
        <v>2553.21</v>
      </c>
      <c r="K545" s="223">
        <v>3797</v>
      </c>
    </row>
    <row r="546" spans="1:11" x14ac:dyDescent="0.25">
      <c r="A546" s="310"/>
      <c r="B546" s="310"/>
      <c r="C546" s="333"/>
      <c r="D546" s="312"/>
      <c r="E546" s="312"/>
      <c r="F546" s="313"/>
      <c r="G546" s="310"/>
      <c r="H546" s="87" t="s">
        <v>69</v>
      </c>
      <c r="I546" s="223">
        <v>153840.64000000001</v>
      </c>
      <c r="J546" s="223">
        <f>I546/D544</f>
        <v>54.64</v>
      </c>
      <c r="K546" s="223">
        <v>81</v>
      </c>
    </row>
    <row r="547" spans="1:11" x14ac:dyDescent="0.25">
      <c r="A547" s="310">
        <f>A544+1</f>
        <v>46</v>
      </c>
      <c r="B547" s="310">
        <v>1042</v>
      </c>
      <c r="C547" s="333" t="s">
        <v>133</v>
      </c>
      <c r="D547" s="312">
        <v>3945.3</v>
      </c>
      <c r="E547" s="312" t="s">
        <v>64</v>
      </c>
      <c r="F547" s="313">
        <v>5</v>
      </c>
      <c r="G547" s="310" t="s">
        <v>65</v>
      </c>
      <c r="H547" s="87" t="s">
        <v>66</v>
      </c>
      <c r="I547" s="223">
        <f>I548+I549</f>
        <v>5368959.2300000004</v>
      </c>
      <c r="J547" s="223">
        <f>J548+J549</f>
        <v>1360.85</v>
      </c>
      <c r="K547" s="223">
        <f>K548+K549</f>
        <v>3878</v>
      </c>
    </row>
    <row r="548" spans="1:11" x14ac:dyDescent="0.25">
      <c r="A548" s="310">
        <v>75</v>
      </c>
      <c r="B548" s="310"/>
      <c r="C548" s="333"/>
      <c r="D548" s="312"/>
      <c r="E548" s="312"/>
      <c r="F548" s="313"/>
      <c r="G548" s="310"/>
      <c r="H548" s="87" t="s">
        <v>67</v>
      </c>
      <c r="I548" s="223">
        <v>5256470.76</v>
      </c>
      <c r="J548" s="223">
        <f>I548/D547</f>
        <v>1332.34</v>
      </c>
      <c r="K548" s="223">
        <v>3797</v>
      </c>
    </row>
    <row r="549" spans="1:11" x14ac:dyDescent="0.25">
      <c r="A549" s="310"/>
      <c r="B549" s="310"/>
      <c r="C549" s="333"/>
      <c r="D549" s="312"/>
      <c r="E549" s="312"/>
      <c r="F549" s="313"/>
      <c r="G549" s="310"/>
      <c r="H549" s="87" t="s">
        <v>69</v>
      </c>
      <c r="I549" s="223">
        <v>112488.47</v>
      </c>
      <c r="J549" s="223">
        <f>I549/D547</f>
        <v>28.51</v>
      </c>
      <c r="K549" s="223">
        <v>81</v>
      </c>
    </row>
    <row r="550" spans="1:11" ht="15.75" customHeight="1" x14ac:dyDescent="0.25">
      <c r="A550" s="307">
        <f>A547+1</f>
        <v>47</v>
      </c>
      <c r="B550" s="307">
        <v>1818</v>
      </c>
      <c r="C550" s="315" t="s">
        <v>583</v>
      </c>
      <c r="D550" s="318">
        <v>1284.2</v>
      </c>
      <c r="E550" s="318" t="s">
        <v>68</v>
      </c>
      <c r="F550" s="330">
        <v>4</v>
      </c>
      <c r="G550" s="121"/>
      <c r="H550" s="87" t="s">
        <v>66</v>
      </c>
      <c r="I550" s="223">
        <f>I551+I552+I553+I554</f>
        <v>262107.6</v>
      </c>
      <c r="J550" s="223">
        <f>J551+J552+J553+J554</f>
        <v>204.1</v>
      </c>
      <c r="K550" s="223">
        <f>K551+K552+K553+K554</f>
        <v>223</v>
      </c>
    </row>
    <row r="551" spans="1:11" ht="47.25" customHeight="1" x14ac:dyDescent="0.25">
      <c r="A551" s="308"/>
      <c r="B551" s="308"/>
      <c r="C551" s="317"/>
      <c r="D551" s="308"/>
      <c r="E551" s="319"/>
      <c r="F551" s="331"/>
      <c r="G551" s="148" t="s">
        <v>70</v>
      </c>
      <c r="H551" s="87" t="s">
        <v>168</v>
      </c>
      <c r="I551" s="223">
        <v>170811.69</v>
      </c>
      <c r="J551" s="223">
        <f>I551/D550-0.01</f>
        <v>133</v>
      </c>
      <c r="K551" s="223">
        <f>116+21</f>
        <v>137</v>
      </c>
    </row>
    <row r="552" spans="1:11" ht="47.25" customHeight="1" x14ac:dyDescent="0.25">
      <c r="A552" s="308"/>
      <c r="B552" s="308"/>
      <c r="C552" s="317"/>
      <c r="D552" s="308"/>
      <c r="E552" s="319"/>
      <c r="F552" s="331"/>
      <c r="G552" s="148" t="s">
        <v>71</v>
      </c>
      <c r="H552" s="87" t="s">
        <v>168</v>
      </c>
      <c r="I552" s="223">
        <v>30922.81</v>
      </c>
      <c r="J552" s="223">
        <f>I552/D550</f>
        <v>24.08</v>
      </c>
      <c r="K552" s="223">
        <f>21+8</f>
        <v>29</v>
      </c>
    </row>
    <row r="553" spans="1:11" ht="47.25" customHeight="1" x14ac:dyDescent="0.25">
      <c r="A553" s="308"/>
      <c r="B553" s="308"/>
      <c r="C553" s="317"/>
      <c r="D553" s="308"/>
      <c r="E553" s="319"/>
      <c r="F553" s="331"/>
      <c r="G553" s="148" t="s">
        <v>72</v>
      </c>
      <c r="H553" s="87" t="s">
        <v>168</v>
      </c>
      <c r="I553" s="223">
        <v>32395.32</v>
      </c>
      <c r="J553" s="223">
        <f>I553/D550</f>
        <v>25.23</v>
      </c>
      <c r="K553" s="223">
        <f>22+7</f>
        <v>29</v>
      </c>
    </row>
    <row r="554" spans="1:11" ht="47.25" customHeight="1" x14ac:dyDescent="0.25">
      <c r="A554" s="308"/>
      <c r="B554" s="308"/>
      <c r="C554" s="317"/>
      <c r="D554" s="308"/>
      <c r="E554" s="319"/>
      <c r="F554" s="331"/>
      <c r="G554" s="148" t="s">
        <v>78</v>
      </c>
      <c r="H554" s="87" t="s">
        <v>168</v>
      </c>
      <c r="I554" s="223">
        <v>27977.78</v>
      </c>
      <c r="J554" s="223">
        <f>I554/D550</f>
        <v>21.79</v>
      </c>
      <c r="K554" s="223">
        <f>19+9</f>
        <v>28</v>
      </c>
    </row>
    <row r="555" spans="1:11" x14ac:dyDescent="0.25">
      <c r="A555" s="310">
        <f>A550+1</f>
        <v>48</v>
      </c>
      <c r="B555" s="310">
        <v>1271</v>
      </c>
      <c r="C555" s="333" t="s">
        <v>103</v>
      </c>
      <c r="D555" s="312">
        <v>6067.1</v>
      </c>
      <c r="E555" s="312" t="s">
        <v>68</v>
      </c>
      <c r="F555" s="313">
        <v>5</v>
      </c>
      <c r="G555" s="310" t="s">
        <v>65</v>
      </c>
      <c r="H555" s="87" t="s">
        <v>66</v>
      </c>
      <c r="I555" s="223">
        <f>I556+I557</f>
        <v>12980844.720000001</v>
      </c>
      <c r="J555" s="223">
        <f>J556+J557</f>
        <v>2139.5500000000002</v>
      </c>
      <c r="K555" s="223">
        <f>K556+K557</f>
        <v>3878</v>
      </c>
    </row>
    <row r="556" spans="1:11" x14ac:dyDescent="0.25">
      <c r="A556" s="310">
        <v>77</v>
      </c>
      <c r="B556" s="310"/>
      <c r="C556" s="333"/>
      <c r="D556" s="310"/>
      <c r="E556" s="312"/>
      <c r="F556" s="313"/>
      <c r="G556" s="310"/>
      <c r="H556" s="87" t="s">
        <v>67</v>
      </c>
      <c r="I556" s="223">
        <v>12708874.800000001</v>
      </c>
      <c r="J556" s="223">
        <f>I556/D555</f>
        <v>2094.7199999999998</v>
      </c>
      <c r="K556" s="223">
        <v>3797</v>
      </c>
    </row>
    <row r="557" spans="1:11" x14ac:dyDescent="0.25">
      <c r="A557" s="310"/>
      <c r="B557" s="310"/>
      <c r="C557" s="333"/>
      <c r="D557" s="310"/>
      <c r="E557" s="312"/>
      <c r="F557" s="313"/>
      <c r="G557" s="310"/>
      <c r="H557" s="87" t="s">
        <v>69</v>
      </c>
      <c r="I557" s="223">
        <v>271969.91999999998</v>
      </c>
      <c r="J557" s="223">
        <f>I557/D555</f>
        <v>44.83</v>
      </c>
      <c r="K557" s="223">
        <v>81</v>
      </c>
    </row>
    <row r="558" spans="1:11" x14ac:dyDescent="0.25">
      <c r="A558" s="310">
        <f>A555+1</f>
        <v>49</v>
      </c>
      <c r="B558" s="310">
        <v>1322</v>
      </c>
      <c r="C558" s="333" t="s">
        <v>135</v>
      </c>
      <c r="D558" s="312">
        <v>3047.8</v>
      </c>
      <c r="E558" s="312" t="s">
        <v>68</v>
      </c>
      <c r="F558" s="313">
        <v>5</v>
      </c>
      <c r="G558" s="310" t="s">
        <v>65</v>
      </c>
      <c r="H558" s="87" t="s">
        <v>66</v>
      </c>
      <c r="I558" s="223">
        <f>I559+I560</f>
        <v>6964368.9199999999</v>
      </c>
      <c r="J558" s="223">
        <f>J559+J560</f>
        <v>2285.0500000000002</v>
      </c>
      <c r="K558" s="223">
        <f>K559+K560</f>
        <v>3878</v>
      </c>
    </row>
    <row r="559" spans="1:11" x14ac:dyDescent="0.25">
      <c r="A559" s="310">
        <v>75</v>
      </c>
      <c r="B559" s="310"/>
      <c r="C559" s="333"/>
      <c r="D559" s="310"/>
      <c r="E559" s="312"/>
      <c r="F559" s="313"/>
      <c r="G559" s="310"/>
      <c r="H559" s="87" t="s">
        <v>67</v>
      </c>
      <c r="I559" s="223">
        <v>6818454</v>
      </c>
      <c r="J559" s="223">
        <f>I559/D558</f>
        <v>2237.17</v>
      </c>
      <c r="K559" s="223">
        <v>3797</v>
      </c>
    </row>
    <row r="560" spans="1:11" x14ac:dyDescent="0.25">
      <c r="A560" s="310"/>
      <c r="B560" s="310"/>
      <c r="C560" s="333"/>
      <c r="D560" s="310"/>
      <c r="E560" s="312"/>
      <c r="F560" s="313"/>
      <c r="G560" s="310"/>
      <c r="H560" s="87" t="s">
        <v>69</v>
      </c>
      <c r="I560" s="223">
        <v>145914.92000000001</v>
      </c>
      <c r="J560" s="223">
        <f>I560/D558</f>
        <v>47.88</v>
      </c>
      <c r="K560" s="223">
        <v>81</v>
      </c>
    </row>
    <row r="561" spans="1:11" x14ac:dyDescent="0.25">
      <c r="A561" s="310">
        <f>A558+1</f>
        <v>50</v>
      </c>
      <c r="B561" s="310">
        <v>1323</v>
      </c>
      <c r="C561" s="333" t="s">
        <v>136</v>
      </c>
      <c r="D561" s="312">
        <v>3118</v>
      </c>
      <c r="E561" s="312" t="s">
        <v>68</v>
      </c>
      <c r="F561" s="313">
        <v>5</v>
      </c>
      <c r="G561" s="310" t="s">
        <v>65</v>
      </c>
      <c r="H561" s="87" t="s">
        <v>66</v>
      </c>
      <c r="I561" s="223">
        <f>I562+I563</f>
        <v>7557784.9699999997</v>
      </c>
      <c r="J561" s="223">
        <f>J562+J563</f>
        <v>2423.92</v>
      </c>
      <c r="K561" s="223">
        <f>K562+K563</f>
        <v>3878</v>
      </c>
    </row>
    <row r="562" spans="1:11" x14ac:dyDescent="0.25">
      <c r="A562" s="310">
        <v>75</v>
      </c>
      <c r="B562" s="310"/>
      <c r="C562" s="333"/>
      <c r="D562" s="310"/>
      <c r="E562" s="312"/>
      <c r="F562" s="313"/>
      <c r="G562" s="310"/>
      <c r="H562" s="87" t="s">
        <v>67</v>
      </c>
      <c r="I562" s="223">
        <v>7399437.0199999996</v>
      </c>
      <c r="J562" s="223">
        <f>I562/D561-0.01</f>
        <v>2373.13</v>
      </c>
      <c r="K562" s="223">
        <v>3797</v>
      </c>
    </row>
    <row r="563" spans="1:11" x14ac:dyDescent="0.25">
      <c r="A563" s="310"/>
      <c r="B563" s="310"/>
      <c r="C563" s="333"/>
      <c r="D563" s="310"/>
      <c r="E563" s="312"/>
      <c r="F563" s="313"/>
      <c r="G563" s="310"/>
      <c r="H563" s="87" t="s">
        <v>69</v>
      </c>
      <c r="I563" s="223">
        <v>158347.95000000001</v>
      </c>
      <c r="J563" s="223">
        <f>I563/D561</f>
        <v>50.79</v>
      </c>
      <c r="K563" s="223">
        <v>81</v>
      </c>
    </row>
    <row r="564" spans="1:11" x14ac:dyDescent="0.25">
      <c r="A564" s="310">
        <f>A561+1</f>
        <v>51</v>
      </c>
      <c r="B564" s="310">
        <v>1484</v>
      </c>
      <c r="C564" s="333" t="s">
        <v>358</v>
      </c>
      <c r="D564" s="312">
        <v>4340.5</v>
      </c>
      <c r="E564" s="312" t="s">
        <v>64</v>
      </c>
      <c r="F564" s="313">
        <v>5</v>
      </c>
      <c r="G564" s="310" t="s">
        <v>65</v>
      </c>
      <c r="H564" s="87" t="s">
        <v>66</v>
      </c>
      <c r="I564" s="223">
        <f>I565+I566</f>
        <v>8935683.2400000002</v>
      </c>
      <c r="J564" s="223">
        <f>J565+J566</f>
        <v>2058.6799999999998</v>
      </c>
      <c r="K564" s="223">
        <f>K565+K566</f>
        <v>3878</v>
      </c>
    </row>
    <row r="565" spans="1:11" x14ac:dyDescent="0.25">
      <c r="A565" s="310">
        <v>76</v>
      </c>
      <c r="B565" s="310"/>
      <c r="C565" s="333"/>
      <c r="D565" s="312"/>
      <c r="E565" s="312"/>
      <c r="F565" s="313"/>
      <c r="G565" s="310"/>
      <c r="H565" s="87" t="s">
        <v>67</v>
      </c>
      <c r="I565" s="223">
        <v>8757665.8399999999</v>
      </c>
      <c r="J565" s="223">
        <f>I565/D564+0.01</f>
        <v>2017.67</v>
      </c>
      <c r="K565" s="223">
        <v>3797</v>
      </c>
    </row>
    <row r="566" spans="1:11" x14ac:dyDescent="0.25">
      <c r="A566" s="310"/>
      <c r="B566" s="310"/>
      <c r="C566" s="333"/>
      <c r="D566" s="312"/>
      <c r="E566" s="312"/>
      <c r="F566" s="313"/>
      <c r="G566" s="310"/>
      <c r="H566" s="87" t="s">
        <v>69</v>
      </c>
      <c r="I566" s="223">
        <v>178017.4</v>
      </c>
      <c r="J566" s="223">
        <f>I566/D564</f>
        <v>41.01</v>
      </c>
      <c r="K566" s="223">
        <v>81</v>
      </c>
    </row>
    <row r="567" spans="1:11" ht="15.75" customHeight="1" x14ac:dyDescent="0.25">
      <c r="A567" s="307">
        <f>A564+1</f>
        <v>52</v>
      </c>
      <c r="B567" s="307">
        <v>3345</v>
      </c>
      <c r="C567" s="315" t="s">
        <v>584</v>
      </c>
      <c r="D567" s="318">
        <v>4732.1899999999996</v>
      </c>
      <c r="E567" s="307" t="s">
        <v>68</v>
      </c>
      <c r="F567" s="307">
        <v>9</v>
      </c>
      <c r="G567" s="145"/>
      <c r="H567" s="87" t="s">
        <v>66</v>
      </c>
      <c r="I567" s="223">
        <f>I568</f>
        <v>0</v>
      </c>
      <c r="J567" s="223">
        <f>J568</f>
        <v>0</v>
      </c>
      <c r="K567" s="223">
        <f>K568</f>
        <v>6.82</v>
      </c>
    </row>
    <row r="568" spans="1:11" ht="47.25" customHeight="1" x14ac:dyDescent="0.25">
      <c r="A568" s="308"/>
      <c r="B568" s="308"/>
      <c r="C568" s="317"/>
      <c r="D568" s="319"/>
      <c r="E568" s="308"/>
      <c r="F568" s="308"/>
      <c r="G568" s="148" t="s">
        <v>170</v>
      </c>
      <c r="H568" s="87" t="s">
        <v>168</v>
      </c>
      <c r="I568" s="223">
        <v>0</v>
      </c>
      <c r="J568" s="223">
        <f>I568/D567</f>
        <v>0</v>
      </c>
      <c r="K568" s="223">
        <f>32281/D567</f>
        <v>6.82</v>
      </c>
    </row>
    <row r="569" spans="1:11" x14ac:dyDescent="0.25">
      <c r="A569" s="310">
        <f>A567+1</f>
        <v>53</v>
      </c>
      <c r="B569" s="310">
        <v>4242</v>
      </c>
      <c r="C569" s="333" t="s">
        <v>203</v>
      </c>
      <c r="D569" s="312">
        <v>8994.61</v>
      </c>
      <c r="E569" s="312" t="s">
        <v>64</v>
      </c>
      <c r="F569" s="313">
        <v>10</v>
      </c>
      <c r="G569" s="145"/>
      <c r="H569" s="87" t="s">
        <v>66</v>
      </c>
      <c r="I569" s="223">
        <f>SUM(I570:I573)</f>
        <v>4195085.97</v>
      </c>
      <c r="J569" s="223">
        <f>SUM(J570:J573)</f>
        <v>466.4</v>
      </c>
      <c r="K569" s="223">
        <f>SUM(K570:K573)</f>
        <v>509.1</v>
      </c>
    </row>
    <row r="570" spans="1:11" x14ac:dyDescent="0.25">
      <c r="A570" s="310">
        <v>756</v>
      </c>
      <c r="B570" s="310"/>
      <c r="C570" s="333"/>
      <c r="D570" s="312"/>
      <c r="E570" s="312"/>
      <c r="F570" s="313"/>
      <c r="G570" s="310" t="s">
        <v>170</v>
      </c>
      <c r="H570" s="87" t="s">
        <v>171</v>
      </c>
      <c r="I570" s="223">
        <v>2069033.64</v>
      </c>
      <c r="J570" s="223">
        <f>I570/D569-0.01</f>
        <v>230.02</v>
      </c>
      <c r="K570" s="223">
        <f>2241647/D569</f>
        <v>249.22</v>
      </c>
    </row>
    <row r="571" spans="1:11" x14ac:dyDescent="0.25">
      <c r="A571" s="310">
        <v>757</v>
      </c>
      <c r="B571" s="310"/>
      <c r="C571" s="333"/>
      <c r="D571" s="312"/>
      <c r="E571" s="312"/>
      <c r="F571" s="313"/>
      <c r="G571" s="310"/>
      <c r="H571" s="87" t="s">
        <v>69</v>
      </c>
      <c r="I571" s="223">
        <v>36386.160000000003</v>
      </c>
      <c r="J571" s="223">
        <f>I571/D569</f>
        <v>4.05</v>
      </c>
      <c r="K571" s="223">
        <f>47971/D569</f>
        <v>5.33</v>
      </c>
    </row>
    <row r="572" spans="1:11" x14ac:dyDescent="0.25">
      <c r="A572" s="310"/>
      <c r="B572" s="310"/>
      <c r="C572" s="333"/>
      <c r="D572" s="312"/>
      <c r="E572" s="312"/>
      <c r="F572" s="313"/>
      <c r="G572" s="310" t="s">
        <v>173</v>
      </c>
      <c r="H572" s="87" t="s">
        <v>171</v>
      </c>
      <c r="I572" s="223">
        <v>2053280.02</v>
      </c>
      <c r="J572" s="223">
        <f>I572/D569</f>
        <v>228.28</v>
      </c>
      <c r="K572" s="223">
        <f>2241647/D569</f>
        <v>249.22</v>
      </c>
    </row>
    <row r="573" spans="1:11" x14ac:dyDescent="0.25">
      <c r="A573" s="310"/>
      <c r="B573" s="310"/>
      <c r="C573" s="333"/>
      <c r="D573" s="312"/>
      <c r="E573" s="312"/>
      <c r="F573" s="313"/>
      <c r="G573" s="310"/>
      <c r="H573" s="87" t="s">
        <v>69</v>
      </c>
      <c r="I573" s="223">
        <v>36386.15</v>
      </c>
      <c r="J573" s="223">
        <f>I573/D569</f>
        <v>4.05</v>
      </c>
      <c r="K573" s="223">
        <f>47971/D569</f>
        <v>5.33</v>
      </c>
    </row>
    <row r="574" spans="1:11" x14ac:dyDescent="0.25">
      <c r="A574" s="310">
        <f>A569+1</f>
        <v>54</v>
      </c>
      <c r="B574" s="310">
        <v>3198</v>
      </c>
      <c r="C574" s="333" t="s">
        <v>138</v>
      </c>
      <c r="D574" s="312">
        <v>2619.1</v>
      </c>
      <c r="E574" s="312" t="s">
        <v>64</v>
      </c>
      <c r="F574" s="313">
        <v>5</v>
      </c>
      <c r="G574" s="310" t="s">
        <v>65</v>
      </c>
      <c r="H574" s="87" t="s">
        <v>66</v>
      </c>
      <c r="I574" s="223">
        <f>I575+I576</f>
        <v>7373396.2999999998</v>
      </c>
      <c r="J574" s="223">
        <f>J575+J576</f>
        <v>2815.24</v>
      </c>
      <c r="K574" s="223">
        <f>K575+K576</f>
        <v>3878</v>
      </c>
    </row>
    <row r="575" spans="1:11" x14ac:dyDescent="0.25">
      <c r="A575" s="310">
        <v>75</v>
      </c>
      <c r="B575" s="310"/>
      <c r="C575" s="333"/>
      <c r="D575" s="312"/>
      <c r="E575" s="312"/>
      <c r="F575" s="313"/>
      <c r="G575" s="310"/>
      <c r="H575" s="87" t="s">
        <v>67</v>
      </c>
      <c r="I575" s="223">
        <v>7218911.5899999999</v>
      </c>
      <c r="J575" s="223">
        <f>I575/D574</f>
        <v>2756.26</v>
      </c>
      <c r="K575" s="223">
        <v>3797</v>
      </c>
    </row>
    <row r="576" spans="1:11" x14ac:dyDescent="0.25">
      <c r="A576" s="310"/>
      <c r="B576" s="310"/>
      <c r="C576" s="333"/>
      <c r="D576" s="312"/>
      <c r="E576" s="312"/>
      <c r="F576" s="313"/>
      <c r="G576" s="310"/>
      <c r="H576" s="87" t="s">
        <v>69</v>
      </c>
      <c r="I576" s="223">
        <v>154484.71</v>
      </c>
      <c r="J576" s="223">
        <f>I576/D574</f>
        <v>58.98</v>
      </c>
      <c r="K576" s="223">
        <v>81</v>
      </c>
    </row>
    <row r="577" spans="1:11" x14ac:dyDescent="0.25">
      <c r="A577" s="310">
        <f>A574+1</f>
        <v>55</v>
      </c>
      <c r="B577" s="310">
        <v>3204</v>
      </c>
      <c r="C577" s="333" t="s">
        <v>359</v>
      </c>
      <c r="D577" s="312">
        <v>2626.3</v>
      </c>
      <c r="E577" s="312" t="s">
        <v>64</v>
      </c>
      <c r="F577" s="313">
        <v>5</v>
      </c>
      <c r="G577" s="310" t="s">
        <v>65</v>
      </c>
      <c r="H577" s="87" t="s">
        <v>66</v>
      </c>
      <c r="I577" s="223">
        <f>I578+I579</f>
        <v>6844077</v>
      </c>
      <c r="J577" s="223">
        <f>J578+J579</f>
        <v>2605.98</v>
      </c>
      <c r="K577" s="223">
        <f>K578+K579</f>
        <v>3878</v>
      </c>
    </row>
    <row r="578" spans="1:11" x14ac:dyDescent="0.25">
      <c r="A578" s="310">
        <v>75</v>
      </c>
      <c r="B578" s="310"/>
      <c r="C578" s="333"/>
      <c r="D578" s="312"/>
      <c r="E578" s="312"/>
      <c r="F578" s="313"/>
      <c r="G578" s="310"/>
      <c r="H578" s="87" t="s">
        <v>67</v>
      </c>
      <c r="I578" s="223">
        <v>6700682.4000000004</v>
      </c>
      <c r="J578" s="223">
        <f>I578/D577</f>
        <v>2551.38</v>
      </c>
      <c r="K578" s="223">
        <v>3797</v>
      </c>
    </row>
    <row r="579" spans="1:11" x14ac:dyDescent="0.25">
      <c r="A579" s="310"/>
      <c r="B579" s="310"/>
      <c r="C579" s="333"/>
      <c r="D579" s="312"/>
      <c r="E579" s="312"/>
      <c r="F579" s="313"/>
      <c r="G579" s="310"/>
      <c r="H579" s="87" t="s">
        <v>69</v>
      </c>
      <c r="I579" s="223">
        <v>143394.6</v>
      </c>
      <c r="J579" s="223">
        <f>I579/D577</f>
        <v>54.6</v>
      </c>
      <c r="K579" s="223">
        <v>81</v>
      </c>
    </row>
    <row r="580" spans="1:11" ht="15.75" customHeight="1" x14ac:dyDescent="0.25">
      <c r="A580" s="310">
        <f>A577+1</f>
        <v>56</v>
      </c>
      <c r="B580" s="310">
        <v>4069</v>
      </c>
      <c r="C580" s="333" t="s">
        <v>278</v>
      </c>
      <c r="D580" s="312">
        <v>11279.7</v>
      </c>
      <c r="E580" s="312" t="s">
        <v>64</v>
      </c>
      <c r="F580" s="313">
        <v>10</v>
      </c>
      <c r="G580" s="310" t="s">
        <v>65</v>
      </c>
      <c r="H580" s="87" t="s">
        <v>66</v>
      </c>
      <c r="I580" s="223">
        <f>I581+I582</f>
        <v>15381608.279999999</v>
      </c>
      <c r="J580" s="223">
        <f>J581+J582</f>
        <v>1363.65</v>
      </c>
      <c r="K580" s="223">
        <f>K581+K582</f>
        <v>2492</v>
      </c>
    </row>
    <row r="581" spans="1:11" x14ac:dyDescent="0.25">
      <c r="A581" s="310">
        <v>77</v>
      </c>
      <c r="B581" s="310"/>
      <c r="C581" s="333"/>
      <c r="D581" s="310"/>
      <c r="E581" s="312"/>
      <c r="F581" s="313"/>
      <c r="G581" s="310"/>
      <c r="H581" s="87" t="s">
        <v>67</v>
      </c>
      <c r="I581" s="223">
        <v>15059338.439999999</v>
      </c>
      <c r="J581" s="223">
        <f>I581/D580</f>
        <v>1335.08</v>
      </c>
      <c r="K581" s="223">
        <v>2440</v>
      </c>
    </row>
    <row r="582" spans="1:11" x14ac:dyDescent="0.25">
      <c r="A582" s="310"/>
      <c r="B582" s="310"/>
      <c r="C582" s="333"/>
      <c r="D582" s="310"/>
      <c r="E582" s="312"/>
      <c r="F582" s="313"/>
      <c r="G582" s="310"/>
      <c r="H582" s="87" t="s">
        <v>69</v>
      </c>
      <c r="I582" s="223">
        <v>322269.84000000003</v>
      </c>
      <c r="J582" s="223">
        <f>I582/D580</f>
        <v>28.57</v>
      </c>
      <c r="K582" s="223">
        <v>52</v>
      </c>
    </row>
    <row r="583" spans="1:11" x14ac:dyDescent="0.25">
      <c r="A583" s="310">
        <f>A580+1</f>
        <v>57</v>
      </c>
      <c r="B583" s="310">
        <v>3120</v>
      </c>
      <c r="C583" s="333" t="s">
        <v>247</v>
      </c>
      <c r="D583" s="312">
        <v>2596.1</v>
      </c>
      <c r="E583" s="312" t="s">
        <v>68</v>
      </c>
      <c r="F583" s="313">
        <v>5</v>
      </c>
      <c r="G583" s="310" t="s">
        <v>65</v>
      </c>
      <c r="H583" s="87" t="s">
        <v>66</v>
      </c>
      <c r="I583" s="223">
        <f>I584+I585</f>
        <v>6216049.4000000004</v>
      </c>
      <c r="J583" s="223">
        <f>J584+J585</f>
        <v>2394.38</v>
      </c>
      <c r="K583" s="223">
        <f>K584+K585</f>
        <v>3878</v>
      </c>
    </row>
    <row r="584" spans="1:11" x14ac:dyDescent="0.25">
      <c r="A584" s="310">
        <v>75</v>
      </c>
      <c r="B584" s="310"/>
      <c r="C584" s="333"/>
      <c r="D584" s="312"/>
      <c r="E584" s="312"/>
      <c r="F584" s="313"/>
      <c r="G584" s="310"/>
      <c r="H584" s="87" t="s">
        <v>67</v>
      </c>
      <c r="I584" s="223">
        <v>6085813</v>
      </c>
      <c r="J584" s="223">
        <f>I584/D583</f>
        <v>2344.21</v>
      </c>
      <c r="K584" s="223">
        <v>3797</v>
      </c>
    </row>
    <row r="585" spans="1:11" x14ac:dyDescent="0.25">
      <c r="A585" s="310"/>
      <c r="B585" s="310"/>
      <c r="C585" s="333"/>
      <c r="D585" s="312"/>
      <c r="E585" s="312"/>
      <c r="F585" s="313"/>
      <c r="G585" s="310"/>
      <c r="H585" s="87" t="s">
        <v>69</v>
      </c>
      <c r="I585" s="223">
        <v>130236.4</v>
      </c>
      <c r="J585" s="223">
        <f>I585/D583</f>
        <v>50.17</v>
      </c>
      <c r="K585" s="223">
        <v>81</v>
      </c>
    </row>
    <row r="586" spans="1:11" x14ac:dyDescent="0.25">
      <c r="A586" s="310">
        <f>A583+1</f>
        <v>58</v>
      </c>
      <c r="B586" s="310">
        <v>3445</v>
      </c>
      <c r="C586" s="333" t="s">
        <v>248</v>
      </c>
      <c r="D586" s="312">
        <v>5942.4</v>
      </c>
      <c r="E586" s="312" t="s">
        <v>68</v>
      </c>
      <c r="F586" s="313">
        <v>5</v>
      </c>
      <c r="G586" s="310" t="s">
        <v>65</v>
      </c>
      <c r="H586" s="87" t="s">
        <v>66</v>
      </c>
      <c r="I586" s="223">
        <f>I587+I588</f>
        <v>14622260.460000001</v>
      </c>
      <c r="J586" s="223">
        <f>J587+J588</f>
        <v>2460.67</v>
      </c>
      <c r="K586" s="223">
        <f>K587+K588</f>
        <v>3878</v>
      </c>
    </row>
    <row r="587" spans="1:11" x14ac:dyDescent="0.25">
      <c r="A587" s="310">
        <v>75</v>
      </c>
      <c r="B587" s="310"/>
      <c r="C587" s="333"/>
      <c r="D587" s="312"/>
      <c r="E587" s="312"/>
      <c r="F587" s="313"/>
      <c r="G587" s="310"/>
      <c r="H587" s="87" t="s">
        <v>67</v>
      </c>
      <c r="I587" s="223">
        <v>14315900.199999999</v>
      </c>
      <c r="J587" s="223">
        <f>I587/D586+0.01</f>
        <v>2409.12</v>
      </c>
      <c r="K587" s="223">
        <v>3797</v>
      </c>
    </row>
    <row r="588" spans="1:11" x14ac:dyDescent="0.25">
      <c r="A588" s="310"/>
      <c r="B588" s="310"/>
      <c r="C588" s="333"/>
      <c r="D588" s="312"/>
      <c r="E588" s="312"/>
      <c r="F588" s="313"/>
      <c r="G588" s="310"/>
      <c r="H588" s="87" t="s">
        <v>69</v>
      </c>
      <c r="I588" s="223">
        <v>306360.26</v>
      </c>
      <c r="J588" s="223">
        <f>I588/D586</f>
        <v>51.55</v>
      </c>
      <c r="K588" s="223">
        <v>81</v>
      </c>
    </row>
    <row r="589" spans="1:11" ht="15.75" customHeight="1" x14ac:dyDescent="0.25">
      <c r="A589" s="307">
        <f>A586+1</f>
        <v>59</v>
      </c>
      <c r="B589" s="307">
        <v>3304</v>
      </c>
      <c r="C589" s="315" t="s">
        <v>249</v>
      </c>
      <c r="D589" s="318">
        <v>4426.3999999999996</v>
      </c>
      <c r="E589" s="307" t="s">
        <v>68</v>
      </c>
      <c r="F589" s="307">
        <v>10</v>
      </c>
      <c r="G589" s="145"/>
      <c r="H589" s="87" t="s">
        <v>66</v>
      </c>
      <c r="I589" s="223">
        <f>I590+I591</f>
        <v>0</v>
      </c>
      <c r="J589" s="223">
        <f t="shared" ref="J589:K589" si="21">J590+J591</f>
        <v>0</v>
      </c>
      <c r="K589" s="223">
        <f t="shared" si="21"/>
        <v>14.59</v>
      </c>
    </row>
    <row r="590" spans="1:11" ht="47.25" customHeight="1" x14ac:dyDescent="0.25">
      <c r="A590" s="308"/>
      <c r="B590" s="308"/>
      <c r="C590" s="317"/>
      <c r="D590" s="319"/>
      <c r="E590" s="308"/>
      <c r="F590" s="308"/>
      <c r="G590" s="148" t="s">
        <v>170</v>
      </c>
      <c r="H590" s="87" t="s">
        <v>168</v>
      </c>
      <c r="I590" s="223">
        <v>0</v>
      </c>
      <c r="J590" s="223">
        <f>I590/D589</f>
        <v>0</v>
      </c>
      <c r="K590" s="223">
        <f>32281/D589+0.01</f>
        <v>7.3</v>
      </c>
    </row>
    <row r="591" spans="1:11" ht="47.25" customHeight="1" x14ac:dyDescent="0.25">
      <c r="A591" s="308"/>
      <c r="B591" s="308"/>
      <c r="C591" s="317"/>
      <c r="D591" s="319"/>
      <c r="E591" s="308"/>
      <c r="F591" s="308"/>
      <c r="G591" s="148" t="s">
        <v>173</v>
      </c>
      <c r="H591" s="87" t="s">
        <v>168</v>
      </c>
      <c r="I591" s="223">
        <v>0</v>
      </c>
      <c r="J591" s="223">
        <f>I591/D589</f>
        <v>0</v>
      </c>
      <c r="K591" s="223">
        <f>32281/D589</f>
        <v>7.29</v>
      </c>
    </row>
    <row r="592" spans="1:11" x14ac:dyDescent="0.25">
      <c r="A592" s="310">
        <f>A589+1</f>
        <v>60</v>
      </c>
      <c r="B592" s="310">
        <v>4054</v>
      </c>
      <c r="C592" s="333" t="s">
        <v>250</v>
      </c>
      <c r="D592" s="312">
        <v>2911</v>
      </c>
      <c r="E592" s="312" t="s">
        <v>64</v>
      </c>
      <c r="F592" s="313">
        <v>5</v>
      </c>
      <c r="G592" s="310" t="s">
        <v>65</v>
      </c>
      <c r="H592" s="87" t="s">
        <v>66</v>
      </c>
      <c r="I592" s="223">
        <f>I593+I594</f>
        <v>7885398.7400000002</v>
      </c>
      <c r="J592" s="223">
        <f>J593+J594</f>
        <v>2708.83</v>
      </c>
      <c r="K592" s="223">
        <f>K593+K594</f>
        <v>3878</v>
      </c>
    </row>
    <row r="593" spans="1:11" x14ac:dyDescent="0.25">
      <c r="A593" s="310"/>
      <c r="B593" s="310"/>
      <c r="C593" s="333"/>
      <c r="D593" s="312"/>
      <c r="E593" s="312"/>
      <c r="F593" s="313"/>
      <c r="G593" s="310"/>
      <c r="H593" s="87" t="s">
        <v>67</v>
      </c>
      <c r="I593" s="223">
        <v>7720186.7400000002</v>
      </c>
      <c r="J593" s="223">
        <f>I593/D592+0.01</f>
        <v>2652.08</v>
      </c>
      <c r="K593" s="223">
        <v>3797</v>
      </c>
    </row>
    <row r="594" spans="1:11" ht="16.5" customHeight="1" x14ac:dyDescent="0.25">
      <c r="A594" s="310">
        <v>75</v>
      </c>
      <c r="B594" s="310"/>
      <c r="C594" s="333"/>
      <c r="D594" s="312"/>
      <c r="E594" s="312"/>
      <c r="F594" s="313"/>
      <c r="G594" s="310"/>
      <c r="H594" s="87" t="s">
        <v>69</v>
      </c>
      <c r="I594" s="223">
        <v>165212</v>
      </c>
      <c r="J594" s="223">
        <f>I594/D592</f>
        <v>56.75</v>
      </c>
      <c r="K594" s="223">
        <v>81</v>
      </c>
    </row>
    <row r="595" spans="1:11" ht="15.75" customHeight="1" x14ac:dyDescent="0.25">
      <c r="A595" s="310">
        <f>A592+1</f>
        <v>61</v>
      </c>
      <c r="B595" s="310">
        <v>3305</v>
      </c>
      <c r="C595" s="311" t="s">
        <v>251</v>
      </c>
      <c r="D595" s="312">
        <v>2891.1</v>
      </c>
      <c r="E595" s="312" t="s">
        <v>64</v>
      </c>
      <c r="F595" s="313">
        <v>5</v>
      </c>
      <c r="G595" s="310" t="s">
        <v>65</v>
      </c>
      <c r="H595" s="87" t="s">
        <v>66</v>
      </c>
      <c r="I595" s="223">
        <f>I596</f>
        <v>2369613.9</v>
      </c>
      <c r="J595" s="223">
        <f t="shared" ref="J595:K595" si="22">J596</f>
        <v>819.62</v>
      </c>
      <c r="K595" s="223">
        <f t="shared" si="22"/>
        <v>3797</v>
      </c>
    </row>
    <row r="596" spans="1:11" ht="15.75" customHeight="1" x14ac:dyDescent="0.25">
      <c r="A596" s="310">
        <v>77</v>
      </c>
      <c r="B596" s="310"/>
      <c r="C596" s="311"/>
      <c r="D596" s="310"/>
      <c r="E596" s="312"/>
      <c r="F596" s="313"/>
      <c r="G596" s="310"/>
      <c r="H596" s="87" t="s">
        <v>67</v>
      </c>
      <c r="I596" s="223">
        <f>7898713.01*0.3</f>
        <v>2369613.9</v>
      </c>
      <c r="J596" s="223">
        <f>I596/D595</f>
        <v>819.62</v>
      </c>
      <c r="K596" s="223">
        <v>3797</v>
      </c>
    </row>
    <row r="597" spans="1:11" ht="15.75" customHeight="1" x14ac:dyDescent="0.25">
      <c r="A597" s="307">
        <f>A595+1</f>
        <v>62</v>
      </c>
      <c r="B597" s="307">
        <v>3877</v>
      </c>
      <c r="C597" s="315" t="s">
        <v>585</v>
      </c>
      <c r="D597" s="318">
        <v>14684.6</v>
      </c>
      <c r="E597" s="307" t="s">
        <v>68</v>
      </c>
      <c r="F597" s="307">
        <v>10</v>
      </c>
      <c r="G597" s="145"/>
      <c r="H597" s="87" t="s">
        <v>66</v>
      </c>
      <c r="I597" s="223">
        <f>I598+I599</f>
        <v>0</v>
      </c>
      <c r="J597" s="223">
        <f t="shared" ref="J597:K597" si="23">J598+J599</f>
        <v>0</v>
      </c>
      <c r="K597" s="223">
        <f t="shared" si="23"/>
        <v>4.4000000000000004</v>
      </c>
    </row>
    <row r="598" spans="1:11" ht="47.25" customHeight="1" x14ac:dyDescent="0.25">
      <c r="A598" s="308"/>
      <c r="B598" s="308"/>
      <c r="C598" s="317"/>
      <c r="D598" s="319"/>
      <c r="E598" s="308"/>
      <c r="F598" s="308"/>
      <c r="G598" s="148" t="s">
        <v>172</v>
      </c>
      <c r="H598" s="87" t="s">
        <v>168</v>
      </c>
      <c r="I598" s="223">
        <v>0</v>
      </c>
      <c r="J598" s="223">
        <f>I598/D597</f>
        <v>0</v>
      </c>
      <c r="K598" s="223">
        <f>32281/D597</f>
        <v>2.2000000000000002</v>
      </c>
    </row>
    <row r="599" spans="1:11" ht="47.25" customHeight="1" x14ac:dyDescent="0.25">
      <c r="A599" s="308"/>
      <c r="B599" s="308"/>
      <c r="C599" s="317"/>
      <c r="D599" s="319"/>
      <c r="E599" s="308"/>
      <c r="F599" s="308"/>
      <c r="G599" s="148" t="s">
        <v>440</v>
      </c>
      <c r="H599" s="87" t="s">
        <v>168</v>
      </c>
      <c r="I599" s="223">
        <v>0</v>
      </c>
      <c r="J599" s="223">
        <f>I599/D597</f>
        <v>0</v>
      </c>
      <c r="K599" s="223">
        <f>32281/D597</f>
        <v>2.2000000000000002</v>
      </c>
    </row>
    <row r="600" spans="1:11" x14ac:dyDescent="0.25">
      <c r="A600" s="310">
        <f>A597+1</f>
        <v>63</v>
      </c>
      <c r="B600" s="310">
        <v>3082</v>
      </c>
      <c r="C600" s="333" t="s">
        <v>360</v>
      </c>
      <c r="D600" s="312">
        <v>8596.6</v>
      </c>
      <c r="E600" s="312" t="s">
        <v>64</v>
      </c>
      <c r="F600" s="313">
        <v>9</v>
      </c>
      <c r="G600" s="145"/>
      <c r="H600" s="87" t="s">
        <v>66</v>
      </c>
      <c r="I600" s="223">
        <f>I601+I602+I603+I604+I605+I606+I607+I608+I609+I610+I611+I612+I613+I614+I615</f>
        <v>11102394.470000001</v>
      </c>
      <c r="J600" s="223">
        <f>J601+J602+J603+J604+J605+J606+J607+J608+J609+J610+J611+J612+J613+J614+J615</f>
        <v>1291.49</v>
      </c>
      <c r="K600" s="223">
        <f>K601+K602+K603+K604+K605+K606+K607+K608+K609+K610+K611+K612+K613+K614+K615</f>
        <v>1350.48</v>
      </c>
    </row>
    <row r="601" spans="1:11" ht="63" x14ac:dyDescent="0.25">
      <c r="A601" s="310"/>
      <c r="B601" s="310"/>
      <c r="C601" s="333"/>
      <c r="D601" s="312"/>
      <c r="E601" s="312"/>
      <c r="F601" s="313"/>
      <c r="G601" s="307" t="s">
        <v>175</v>
      </c>
      <c r="H601" s="87" t="s">
        <v>168</v>
      </c>
      <c r="I601" s="223">
        <v>0</v>
      </c>
      <c r="J601" s="223">
        <f>I601/D600</f>
        <v>0</v>
      </c>
      <c r="K601" s="223">
        <f>32281/D600</f>
        <v>3.76</v>
      </c>
    </row>
    <row r="602" spans="1:11" x14ac:dyDescent="0.25">
      <c r="A602" s="310">
        <v>756</v>
      </c>
      <c r="B602" s="310"/>
      <c r="C602" s="333"/>
      <c r="D602" s="312"/>
      <c r="E602" s="312"/>
      <c r="F602" s="313"/>
      <c r="G602" s="308"/>
      <c r="H602" s="87" t="s">
        <v>171</v>
      </c>
      <c r="I602" s="223">
        <v>2172244.2000000002</v>
      </c>
      <c r="J602" s="223">
        <f>I602/D600+0.01</f>
        <v>252.7</v>
      </c>
      <c r="K602" s="223">
        <f>2241647/D600</f>
        <v>260.76</v>
      </c>
    </row>
    <row r="603" spans="1:11" x14ac:dyDescent="0.25">
      <c r="A603" s="310">
        <v>757</v>
      </c>
      <c r="B603" s="310"/>
      <c r="C603" s="333"/>
      <c r="D603" s="312"/>
      <c r="E603" s="312"/>
      <c r="F603" s="313"/>
      <c r="G603" s="309"/>
      <c r="H603" s="87" t="s">
        <v>69</v>
      </c>
      <c r="I603" s="223">
        <v>36386.160000000003</v>
      </c>
      <c r="J603" s="223">
        <f>I603/D600</f>
        <v>4.2300000000000004</v>
      </c>
      <c r="K603" s="223">
        <f>47971/D600</f>
        <v>5.58</v>
      </c>
    </row>
    <row r="604" spans="1:11" ht="63" x14ac:dyDescent="0.25">
      <c r="A604" s="310"/>
      <c r="B604" s="310"/>
      <c r="C604" s="333"/>
      <c r="D604" s="312"/>
      <c r="E604" s="312"/>
      <c r="F604" s="313"/>
      <c r="G604" s="307" t="s">
        <v>172</v>
      </c>
      <c r="H604" s="87" t="s">
        <v>168</v>
      </c>
      <c r="I604" s="223">
        <v>0</v>
      </c>
      <c r="J604" s="223">
        <f>I604/D600</f>
        <v>0</v>
      </c>
      <c r="K604" s="223">
        <f>32281/D600</f>
        <v>3.76</v>
      </c>
    </row>
    <row r="605" spans="1:11" x14ac:dyDescent="0.25">
      <c r="A605" s="310"/>
      <c r="B605" s="310"/>
      <c r="C605" s="333"/>
      <c r="D605" s="312"/>
      <c r="E605" s="312"/>
      <c r="F605" s="313"/>
      <c r="G605" s="308"/>
      <c r="H605" s="87" t="s">
        <v>171</v>
      </c>
      <c r="I605" s="223">
        <v>2186738.17</v>
      </c>
      <c r="J605" s="223">
        <f>I605/D600</f>
        <v>254.37</v>
      </c>
      <c r="K605" s="223">
        <f>2241647/D600-0.01</f>
        <v>260.75</v>
      </c>
    </row>
    <row r="606" spans="1:11" x14ac:dyDescent="0.25">
      <c r="A606" s="310"/>
      <c r="B606" s="310"/>
      <c r="C606" s="333"/>
      <c r="D606" s="312"/>
      <c r="E606" s="312"/>
      <c r="F606" s="313"/>
      <c r="G606" s="309"/>
      <c r="H606" s="87" t="s">
        <v>69</v>
      </c>
      <c r="I606" s="223">
        <v>36386.15</v>
      </c>
      <c r="J606" s="223">
        <f>I606/D600</f>
        <v>4.2300000000000004</v>
      </c>
      <c r="K606" s="223">
        <f>47971/D600</f>
        <v>5.58</v>
      </c>
    </row>
    <row r="607" spans="1:11" ht="63" x14ac:dyDescent="0.25">
      <c r="A607" s="310"/>
      <c r="B607" s="310"/>
      <c r="C607" s="333"/>
      <c r="D607" s="312"/>
      <c r="E607" s="312"/>
      <c r="F607" s="313"/>
      <c r="G607" s="307" t="s">
        <v>440</v>
      </c>
      <c r="H607" s="87" t="s">
        <v>168</v>
      </c>
      <c r="I607" s="223">
        <v>0</v>
      </c>
      <c r="J607" s="223">
        <f>I607/D600</f>
        <v>0</v>
      </c>
      <c r="K607" s="223">
        <f>32281/D600</f>
        <v>3.76</v>
      </c>
    </row>
    <row r="608" spans="1:11" x14ac:dyDescent="0.25">
      <c r="A608" s="310"/>
      <c r="B608" s="310"/>
      <c r="C608" s="333"/>
      <c r="D608" s="312"/>
      <c r="E608" s="312"/>
      <c r="F608" s="313"/>
      <c r="G608" s="308"/>
      <c r="H608" s="87" t="s">
        <v>171</v>
      </c>
      <c r="I608" s="223">
        <v>2172244.2000000002</v>
      </c>
      <c r="J608" s="223">
        <f>I608/D600</f>
        <v>252.69</v>
      </c>
      <c r="K608" s="223">
        <f>2241647/D600</f>
        <v>260.76</v>
      </c>
    </row>
    <row r="609" spans="1:11" x14ac:dyDescent="0.25">
      <c r="A609" s="310"/>
      <c r="B609" s="310"/>
      <c r="C609" s="333"/>
      <c r="D609" s="312"/>
      <c r="E609" s="312"/>
      <c r="F609" s="313"/>
      <c r="G609" s="309"/>
      <c r="H609" s="87" t="s">
        <v>69</v>
      </c>
      <c r="I609" s="223">
        <v>36386.160000000003</v>
      </c>
      <c r="J609" s="223">
        <f>I609/D600</f>
        <v>4.2300000000000004</v>
      </c>
      <c r="K609" s="223">
        <f>47971/D600</f>
        <v>5.58</v>
      </c>
    </row>
    <row r="610" spans="1:11" ht="63" x14ac:dyDescent="0.25">
      <c r="A610" s="310"/>
      <c r="B610" s="310"/>
      <c r="C610" s="333"/>
      <c r="D610" s="312"/>
      <c r="E610" s="312"/>
      <c r="F610" s="313"/>
      <c r="G610" s="307" t="s">
        <v>449</v>
      </c>
      <c r="H610" s="87" t="s">
        <v>168</v>
      </c>
      <c r="I610" s="223">
        <v>0</v>
      </c>
      <c r="J610" s="223">
        <f>I610/D600</f>
        <v>0</v>
      </c>
      <c r="K610" s="223">
        <f>32281/D600</f>
        <v>3.76</v>
      </c>
    </row>
    <row r="611" spans="1:11" x14ac:dyDescent="0.25">
      <c r="A611" s="310"/>
      <c r="B611" s="310"/>
      <c r="C611" s="333"/>
      <c r="D611" s="312"/>
      <c r="E611" s="312"/>
      <c r="F611" s="313"/>
      <c r="G611" s="308"/>
      <c r="H611" s="87" t="s">
        <v>171</v>
      </c>
      <c r="I611" s="223">
        <v>2186738.17</v>
      </c>
      <c r="J611" s="223">
        <f>I611/D600</f>
        <v>254.37</v>
      </c>
      <c r="K611" s="223">
        <f>2241647/D600-0.01</f>
        <v>260.75</v>
      </c>
    </row>
    <row r="612" spans="1:11" x14ac:dyDescent="0.25">
      <c r="A612" s="310"/>
      <c r="B612" s="310"/>
      <c r="C612" s="333"/>
      <c r="D612" s="312"/>
      <c r="E612" s="312"/>
      <c r="F612" s="313"/>
      <c r="G612" s="309"/>
      <c r="H612" s="87" t="s">
        <v>69</v>
      </c>
      <c r="I612" s="223">
        <v>36386.15</v>
      </c>
      <c r="J612" s="223">
        <f>I612/D600</f>
        <v>4.2300000000000004</v>
      </c>
      <c r="K612" s="223">
        <f>47971/D600</f>
        <v>5.58</v>
      </c>
    </row>
    <row r="613" spans="1:11" ht="63" x14ac:dyDescent="0.25">
      <c r="A613" s="310"/>
      <c r="B613" s="310"/>
      <c r="C613" s="333"/>
      <c r="D613" s="312"/>
      <c r="E613" s="312"/>
      <c r="F613" s="313"/>
      <c r="G613" s="307" t="s">
        <v>457</v>
      </c>
      <c r="H613" s="87" t="s">
        <v>168</v>
      </c>
      <c r="I613" s="223">
        <v>0</v>
      </c>
      <c r="J613" s="223">
        <f>I613/D600</f>
        <v>0</v>
      </c>
      <c r="K613" s="223">
        <f>32281/D600</f>
        <v>3.76</v>
      </c>
    </row>
    <row r="614" spans="1:11" x14ac:dyDescent="0.25">
      <c r="A614" s="310"/>
      <c r="B614" s="310"/>
      <c r="C614" s="333"/>
      <c r="D614" s="312"/>
      <c r="E614" s="312"/>
      <c r="F614" s="313"/>
      <c r="G614" s="308"/>
      <c r="H614" s="87" t="s">
        <v>171</v>
      </c>
      <c r="I614" s="223">
        <v>2202498.96</v>
      </c>
      <c r="J614" s="223">
        <f>I614/D600</f>
        <v>256.20999999999998</v>
      </c>
      <c r="K614" s="223">
        <f>2241647/D600</f>
        <v>260.76</v>
      </c>
    </row>
    <row r="615" spans="1:11" x14ac:dyDescent="0.25">
      <c r="A615" s="310"/>
      <c r="B615" s="310"/>
      <c r="C615" s="333"/>
      <c r="D615" s="312"/>
      <c r="E615" s="312"/>
      <c r="F615" s="313"/>
      <c r="G615" s="309"/>
      <c r="H615" s="87" t="s">
        <v>69</v>
      </c>
      <c r="I615" s="223">
        <v>36386.15</v>
      </c>
      <c r="J615" s="223">
        <f>I615/D600</f>
        <v>4.2300000000000004</v>
      </c>
      <c r="K615" s="223">
        <f>47971/D600</f>
        <v>5.58</v>
      </c>
    </row>
    <row r="616" spans="1:11" ht="15.75" customHeight="1" x14ac:dyDescent="0.25">
      <c r="A616" s="310">
        <f>A600+1</f>
        <v>64</v>
      </c>
      <c r="B616" s="310">
        <v>3359</v>
      </c>
      <c r="C616" s="333" t="s">
        <v>139</v>
      </c>
      <c r="D616" s="312">
        <v>3598</v>
      </c>
      <c r="E616" s="312" t="s">
        <v>68</v>
      </c>
      <c r="F616" s="313">
        <v>5</v>
      </c>
      <c r="G616" s="310" t="s">
        <v>65</v>
      </c>
      <c r="H616" s="87" t="s">
        <v>66</v>
      </c>
      <c r="I616" s="223">
        <f>I617+I618</f>
        <v>5690870.1100000003</v>
      </c>
      <c r="J616" s="223">
        <f>J617+J618</f>
        <v>1581.68</v>
      </c>
      <c r="K616" s="223">
        <f>K617+K618</f>
        <v>3878</v>
      </c>
    </row>
    <row r="617" spans="1:11" x14ac:dyDescent="0.25">
      <c r="A617" s="310">
        <v>75</v>
      </c>
      <c r="B617" s="310"/>
      <c r="C617" s="333"/>
      <c r="D617" s="312"/>
      <c r="E617" s="312"/>
      <c r="F617" s="313"/>
      <c r="G617" s="310"/>
      <c r="H617" s="87" t="s">
        <v>67</v>
      </c>
      <c r="I617" s="223">
        <v>5571637.0800000001</v>
      </c>
      <c r="J617" s="223">
        <f>I617/D616</f>
        <v>1548.54</v>
      </c>
      <c r="K617" s="223">
        <v>3797</v>
      </c>
    </row>
    <row r="618" spans="1:11" x14ac:dyDescent="0.25">
      <c r="A618" s="310"/>
      <c r="B618" s="310"/>
      <c r="C618" s="333"/>
      <c r="D618" s="312"/>
      <c r="E618" s="312"/>
      <c r="F618" s="313"/>
      <c r="G618" s="310"/>
      <c r="H618" s="87" t="s">
        <v>69</v>
      </c>
      <c r="I618" s="223">
        <v>119233.03</v>
      </c>
      <c r="J618" s="223">
        <f>I618/D616</f>
        <v>33.14</v>
      </c>
      <c r="K618" s="223">
        <v>81</v>
      </c>
    </row>
    <row r="619" spans="1:11" x14ac:dyDescent="0.25">
      <c r="A619" s="310">
        <f>A616+1</f>
        <v>65</v>
      </c>
      <c r="B619" s="310">
        <v>3278</v>
      </c>
      <c r="C619" s="333" t="s">
        <v>106</v>
      </c>
      <c r="D619" s="312">
        <v>4404.5</v>
      </c>
      <c r="E619" s="312" t="s">
        <v>64</v>
      </c>
      <c r="F619" s="313">
        <v>5</v>
      </c>
      <c r="G619" s="310" t="s">
        <v>65</v>
      </c>
      <c r="H619" s="87" t="s">
        <v>66</v>
      </c>
      <c r="I619" s="223">
        <f>I620+I621</f>
        <v>12102095.689999999</v>
      </c>
      <c r="J619" s="223">
        <f>J620+J621</f>
        <v>2747.67</v>
      </c>
      <c r="K619" s="223">
        <f>K620+K621</f>
        <v>3878</v>
      </c>
    </row>
    <row r="620" spans="1:11" x14ac:dyDescent="0.25">
      <c r="A620" s="310">
        <v>75</v>
      </c>
      <c r="B620" s="310"/>
      <c r="C620" s="333"/>
      <c r="D620" s="312"/>
      <c r="E620" s="312"/>
      <c r="F620" s="313"/>
      <c r="G620" s="310"/>
      <c r="H620" s="87" t="s">
        <v>67</v>
      </c>
      <c r="I620" s="223">
        <v>11848537</v>
      </c>
      <c r="J620" s="223">
        <f>I620/D619</f>
        <v>2690.1</v>
      </c>
      <c r="K620" s="223">
        <v>3797</v>
      </c>
    </row>
    <row r="621" spans="1:11" x14ac:dyDescent="0.25">
      <c r="A621" s="310"/>
      <c r="B621" s="310"/>
      <c r="C621" s="333"/>
      <c r="D621" s="312"/>
      <c r="E621" s="312"/>
      <c r="F621" s="313"/>
      <c r="G621" s="310"/>
      <c r="H621" s="87" t="s">
        <v>69</v>
      </c>
      <c r="I621" s="223">
        <v>253558.69</v>
      </c>
      <c r="J621" s="223">
        <f>I621/D619</f>
        <v>57.57</v>
      </c>
      <c r="K621" s="223">
        <v>81</v>
      </c>
    </row>
    <row r="622" spans="1:11" x14ac:dyDescent="0.25">
      <c r="A622" s="310">
        <f>A619+1</f>
        <v>66</v>
      </c>
      <c r="B622" s="310">
        <v>3280</v>
      </c>
      <c r="C622" s="333" t="s">
        <v>108</v>
      </c>
      <c r="D622" s="312">
        <v>4328.8</v>
      </c>
      <c r="E622" s="312" t="s">
        <v>64</v>
      </c>
      <c r="F622" s="313">
        <v>5</v>
      </c>
      <c r="G622" s="310" t="s">
        <v>65</v>
      </c>
      <c r="H622" s="87" t="s">
        <v>66</v>
      </c>
      <c r="I622" s="223">
        <f>I623+I624</f>
        <v>12117854.289999999</v>
      </c>
      <c r="J622" s="223">
        <f>J623+J624</f>
        <v>2799.36</v>
      </c>
      <c r="K622" s="223">
        <f>K623+K624</f>
        <v>3878</v>
      </c>
    </row>
    <row r="623" spans="1:11" x14ac:dyDescent="0.25">
      <c r="A623" s="310">
        <v>75</v>
      </c>
      <c r="B623" s="310"/>
      <c r="C623" s="333"/>
      <c r="D623" s="312"/>
      <c r="E623" s="312"/>
      <c r="F623" s="313"/>
      <c r="G623" s="310"/>
      <c r="H623" s="87" t="s">
        <v>67</v>
      </c>
      <c r="I623" s="223">
        <v>11863965.43</v>
      </c>
      <c r="J623" s="223">
        <f>I623/D622</f>
        <v>2740.71</v>
      </c>
      <c r="K623" s="223">
        <v>3797</v>
      </c>
    </row>
    <row r="624" spans="1:11" x14ac:dyDescent="0.25">
      <c r="A624" s="310"/>
      <c r="B624" s="310"/>
      <c r="C624" s="333"/>
      <c r="D624" s="312"/>
      <c r="E624" s="312"/>
      <c r="F624" s="313"/>
      <c r="G624" s="310"/>
      <c r="H624" s="87" t="s">
        <v>69</v>
      </c>
      <c r="I624" s="223">
        <v>253888.86</v>
      </c>
      <c r="J624" s="223">
        <f>I624/D622</f>
        <v>58.65</v>
      </c>
      <c r="K624" s="223">
        <v>81</v>
      </c>
    </row>
    <row r="625" spans="1:11" x14ac:dyDescent="0.25">
      <c r="A625" s="310">
        <f>A622+1</f>
        <v>67</v>
      </c>
      <c r="B625" s="310">
        <v>3284</v>
      </c>
      <c r="C625" s="333" t="s">
        <v>140</v>
      </c>
      <c r="D625" s="312">
        <v>3631.8</v>
      </c>
      <c r="E625" s="312" t="s">
        <v>64</v>
      </c>
      <c r="F625" s="313">
        <v>5</v>
      </c>
      <c r="G625" s="310" t="s">
        <v>65</v>
      </c>
      <c r="H625" s="87" t="s">
        <v>66</v>
      </c>
      <c r="I625" s="223">
        <f>I626+I627</f>
        <v>9534896.9600000009</v>
      </c>
      <c r="J625" s="223">
        <f>J626+J627</f>
        <v>2625.39</v>
      </c>
      <c r="K625" s="223">
        <f>K626+K627</f>
        <v>3878</v>
      </c>
    </row>
    <row r="626" spans="1:11" x14ac:dyDescent="0.25">
      <c r="A626" s="310">
        <v>75</v>
      </c>
      <c r="B626" s="310"/>
      <c r="C626" s="333"/>
      <c r="D626" s="312"/>
      <c r="E626" s="312"/>
      <c r="F626" s="313"/>
      <c r="G626" s="310"/>
      <c r="H626" s="87" t="s">
        <v>67</v>
      </c>
      <c r="I626" s="223">
        <v>9335125.2799999993</v>
      </c>
      <c r="J626" s="223">
        <f>I626/D625-0.01</f>
        <v>2570.38</v>
      </c>
      <c r="K626" s="223">
        <v>3797</v>
      </c>
    </row>
    <row r="627" spans="1:11" x14ac:dyDescent="0.25">
      <c r="A627" s="310"/>
      <c r="B627" s="310"/>
      <c r="C627" s="333"/>
      <c r="D627" s="312"/>
      <c r="E627" s="312"/>
      <c r="F627" s="313"/>
      <c r="G627" s="310"/>
      <c r="H627" s="87" t="s">
        <v>69</v>
      </c>
      <c r="I627" s="223">
        <v>199771.68</v>
      </c>
      <c r="J627" s="223">
        <f>I627/D625</f>
        <v>55.01</v>
      </c>
      <c r="K627" s="223">
        <v>81</v>
      </c>
    </row>
    <row r="628" spans="1:11" ht="15.75" customHeight="1" x14ac:dyDescent="0.25">
      <c r="A628" s="310">
        <f>A625+1</f>
        <v>68</v>
      </c>
      <c r="B628" s="307">
        <v>4052</v>
      </c>
      <c r="C628" s="315" t="s">
        <v>526</v>
      </c>
      <c r="D628" s="318">
        <v>3622.5</v>
      </c>
      <c r="E628" s="397" t="s">
        <v>64</v>
      </c>
      <c r="F628" s="397">
        <v>5</v>
      </c>
      <c r="G628" s="307" t="s">
        <v>65</v>
      </c>
      <c r="H628" s="87" t="s">
        <v>66</v>
      </c>
      <c r="I628" s="223">
        <f>I629+I630</f>
        <v>6291826.5499999998</v>
      </c>
      <c r="J628" s="223">
        <f>J629+J630</f>
        <v>1736.87</v>
      </c>
      <c r="K628" s="223">
        <f>K629+K630</f>
        <v>3878</v>
      </c>
    </row>
    <row r="629" spans="1:11" x14ac:dyDescent="0.25">
      <c r="A629" s="308"/>
      <c r="B629" s="308"/>
      <c r="C629" s="317"/>
      <c r="D629" s="319"/>
      <c r="E629" s="398"/>
      <c r="F629" s="398"/>
      <c r="G629" s="308"/>
      <c r="H629" s="87" t="s">
        <v>67</v>
      </c>
      <c r="I629" s="223">
        <v>6098298.2699999996</v>
      </c>
      <c r="J629" s="223">
        <f>I629/D628</f>
        <v>1683.45</v>
      </c>
      <c r="K629" s="223">
        <v>3797</v>
      </c>
    </row>
    <row r="630" spans="1:11" x14ac:dyDescent="0.25">
      <c r="A630" s="309"/>
      <c r="B630" s="309"/>
      <c r="C630" s="316"/>
      <c r="D630" s="329"/>
      <c r="E630" s="399"/>
      <c r="F630" s="399"/>
      <c r="G630" s="309"/>
      <c r="H630" s="87" t="s">
        <v>69</v>
      </c>
      <c r="I630" s="223">
        <v>193528.28</v>
      </c>
      <c r="J630" s="223">
        <f>I630/D628</f>
        <v>53.42</v>
      </c>
      <c r="K630" s="223">
        <v>81</v>
      </c>
    </row>
    <row r="631" spans="1:11" ht="15.75" customHeight="1" x14ac:dyDescent="0.25">
      <c r="A631" s="310">
        <f>A628+1</f>
        <v>69</v>
      </c>
      <c r="B631" s="310">
        <v>3286</v>
      </c>
      <c r="C631" s="333" t="s">
        <v>141</v>
      </c>
      <c r="D631" s="312">
        <v>3572.1</v>
      </c>
      <c r="E631" s="312" t="s">
        <v>64</v>
      </c>
      <c r="F631" s="313">
        <v>5</v>
      </c>
      <c r="G631" s="310" t="s">
        <v>65</v>
      </c>
      <c r="H631" s="87" t="s">
        <v>66</v>
      </c>
      <c r="I631" s="223">
        <f>I632+I633</f>
        <v>8985458.7400000002</v>
      </c>
      <c r="J631" s="223">
        <f>J632+J633</f>
        <v>2515.46</v>
      </c>
      <c r="K631" s="223">
        <f>K632+K633</f>
        <v>3878</v>
      </c>
    </row>
    <row r="632" spans="1:11" x14ac:dyDescent="0.25">
      <c r="A632" s="310">
        <v>75</v>
      </c>
      <c r="B632" s="310"/>
      <c r="C632" s="333"/>
      <c r="D632" s="312"/>
      <c r="E632" s="312"/>
      <c r="F632" s="313"/>
      <c r="G632" s="310"/>
      <c r="H632" s="87" t="s">
        <v>67</v>
      </c>
      <c r="I632" s="223">
        <v>8797198.6899999995</v>
      </c>
      <c r="J632" s="223">
        <f>I632/D631+0.01</f>
        <v>2462.7600000000002</v>
      </c>
      <c r="K632" s="223">
        <v>3797</v>
      </c>
    </row>
    <row r="633" spans="1:11" x14ac:dyDescent="0.25">
      <c r="A633" s="310"/>
      <c r="B633" s="310"/>
      <c r="C633" s="333"/>
      <c r="D633" s="312"/>
      <c r="E633" s="312"/>
      <c r="F633" s="313"/>
      <c r="G633" s="310"/>
      <c r="H633" s="87" t="s">
        <v>69</v>
      </c>
      <c r="I633" s="223">
        <v>188260.05</v>
      </c>
      <c r="J633" s="223">
        <f>I633/D631</f>
        <v>52.7</v>
      </c>
      <c r="K633" s="223">
        <v>81</v>
      </c>
    </row>
    <row r="634" spans="1:11" ht="15.75" customHeight="1" x14ac:dyDescent="0.25">
      <c r="A634" s="307">
        <f>A631+1</f>
        <v>70</v>
      </c>
      <c r="B634" s="307">
        <v>4060</v>
      </c>
      <c r="C634" s="315" t="s">
        <v>586</v>
      </c>
      <c r="D634" s="318">
        <v>11300</v>
      </c>
      <c r="E634" s="307" t="s">
        <v>64</v>
      </c>
      <c r="F634" s="307">
        <v>10</v>
      </c>
      <c r="G634" s="145"/>
      <c r="H634" s="87" t="s">
        <v>66</v>
      </c>
      <c r="I634" s="223">
        <f>I635+I636+I637+I638+I639+I640+I641+I642+I643</f>
        <v>4371245.93</v>
      </c>
      <c r="J634" s="223">
        <f>J635+J636+J637+J638+J639+J640+J641+J642+J643</f>
        <v>386.84</v>
      </c>
      <c r="K634" s="223">
        <f>K635+K636+K637+K638+K639+K640+K641+K642+K643</f>
        <v>616.47</v>
      </c>
    </row>
    <row r="635" spans="1:11" ht="47.25" customHeight="1" x14ac:dyDescent="0.25">
      <c r="A635" s="308"/>
      <c r="B635" s="308"/>
      <c r="C635" s="317"/>
      <c r="D635" s="319"/>
      <c r="E635" s="308"/>
      <c r="F635" s="308"/>
      <c r="G635" s="307" t="s">
        <v>174</v>
      </c>
      <c r="H635" s="87" t="s">
        <v>168</v>
      </c>
      <c r="I635" s="223">
        <v>0</v>
      </c>
      <c r="J635" s="223">
        <f>I635/D634</f>
        <v>0</v>
      </c>
      <c r="K635" s="223">
        <f>32281/D634</f>
        <v>2.86</v>
      </c>
    </row>
    <row r="636" spans="1:11" ht="15.75" customHeight="1" x14ac:dyDescent="0.25">
      <c r="A636" s="308"/>
      <c r="B636" s="308"/>
      <c r="C636" s="317"/>
      <c r="D636" s="319"/>
      <c r="E636" s="308"/>
      <c r="F636" s="308"/>
      <c r="G636" s="308"/>
      <c r="H636" s="87" t="s">
        <v>171</v>
      </c>
      <c r="I636" s="223">
        <v>1442161.47</v>
      </c>
      <c r="J636" s="223">
        <f>I636/D634+0.01</f>
        <v>127.63</v>
      </c>
      <c r="K636" s="223">
        <f>2241647/D634</f>
        <v>198.38</v>
      </c>
    </row>
    <row r="637" spans="1:11" ht="15.75" customHeight="1" x14ac:dyDescent="0.25">
      <c r="A637" s="308"/>
      <c r="B637" s="308"/>
      <c r="C637" s="317"/>
      <c r="D637" s="319"/>
      <c r="E637" s="308"/>
      <c r="F637" s="308"/>
      <c r="G637" s="309"/>
      <c r="H637" s="87" t="s">
        <v>69</v>
      </c>
      <c r="I637" s="223">
        <v>14920.51</v>
      </c>
      <c r="J637" s="223">
        <f>I637/D634</f>
        <v>1.32</v>
      </c>
      <c r="K637" s="223">
        <f>47971/D634</f>
        <v>4.25</v>
      </c>
    </row>
    <row r="638" spans="1:11" ht="47.25" customHeight="1" x14ac:dyDescent="0.25">
      <c r="A638" s="308"/>
      <c r="B638" s="308"/>
      <c r="C638" s="317"/>
      <c r="D638" s="319"/>
      <c r="E638" s="308"/>
      <c r="F638" s="308"/>
      <c r="G638" s="307" t="s">
        <v>175</v>
      </c>
      <c r="H638" s="87" t="s">
        <v>168</v>
      </c>
      <c r="I638" s="223">
        <v>0</v>
      </c>
      <c r="J638" s="223">
        <f>I638/D634</f>
        <v>0</v>
      </c>
      <c r="K638" s="223">
        <f>32281/D634</f>
        <v>2.86</v>
      </c>
    </row>
    <row r="639" spans="1:11" ht="15.75" customHeight="1" x14ac:dyDescent="0.25">
      <c r="A639" s="308"/>
      <c r="B639" s="308"/>
      <c r="C639" s="317"/>
      <c r="D639" s="319"/>
      <c r="E639" s="308"/>
      <c r="F639" s="308"/>
      <c r="G639" s="308"/>
      <c r="H639" s="87" t="s">
        <v>171</v>
      </c>
      <c r="I639" s="223">
        <v>1442161.46</v>
      </c>
      <c r="J639" s="223">
        <f>I639/D634+0.01</f>
        <v>127.63</v>
      </c>
      <c r="K639" s="223">
        <f>2241647/D634</f>
        <v>198.38</v>
      </c>
    </row>
    <row r="640" spans="1:11" ht="15.75" customHeight="1" x14ac:dyDescent="0.25">
      <c r="A640" s="308"/>
      <c r="B640" s="308"/>
      <c r="C640" s="317"/>
      <c r="D640" s="319"/>
      <c r="E640" s="308"/>
      <c r="F640" s="308"/>
      <c r="G640" s="309"/>
      <c r="H640" s="87" t="s">
        <v>69</v>
      </c>
      <c r="I640" s="223">
        <v>14920.51</v>
      </c>
      <c r="J640" s="223">
        <f>I640/D634</f>
        <v>1.32</v>
      </c>
      <c r="K640" s="223">
        <f>47971/D634</f>
        <v>4.25</v>
      </c>
    </row>
    <row r="641" spans="1:11" ht="47.25" customHeight="1" x14ac:dyDescent="0.25">
      <c r="A641" s="308"/>
      <c r="B641" s="308"/>
      <c r="C641" s="317"/>
      <c r="D641" s="319"/>
      <c r="E641" s="308"/>
      <c r="F641" s="308"/>
      <c r="G641" s="307" t="s">
        <v>172</v>
      </c>
      <c r="H641" s="87" t="s">
        <v>168</v>
      </c>
      <c r="I641" s="223">
        <v>0</v>
      </c>
      <c r="J641" s="223">
        <f>I641/D634</f>
        <v>0</v>
      </c>
      <c r="K641" s="223">
        <f>32281/D634</f>
        <v>2.86</v>
      </c>
    </row>
    <row r="642" spans="1:11" ht="15.75" customHeight="1" x14ac:dyDescent="0.25">
      <c r="A642" s="308"/>
      <c r="B642" s="308"/>
      <c r="C642" s="317"/>
      <c r="D642" s="319"/>
      <c r="E642" s="308"/>
      <c r="F642" s="308"/>
      <c r="G642" s="308"/>
      <c r="H642" s="87" t="s">
        <v>171</v>
      </c>
      <c r="I642" s="223">
        <v>1442161.46</v>
      </c>
      <c r="J642" s="223">
        <f>I642/D634</f>
        <v>127.62</v>
      </c>
      <c r="K642" s="223">
        <f>2241647/D634</f>
        <v>198.38</v>
      </c>
    </row>
    <row r="643" spans="1:11" ht="15.75" customHeight="1" x14ac:dyDescent="0.25">
      <c r="A643" s="308"/>
      <c r="B643" s="308"/>
      <c r="C643" s="317"/>
      <c r="D643" s="319"/>
      <c r="E643" s="308"/>
      <c r="F643" s="308"/>
      <c r="G643" s="309"/>
      <c r="H643" s="87" t="s">
        <v>69</v>
      </c>
      <c r="I643" s="223">
        <v>14920.52</v>
      </c>
      <c r="J643" s="223">
        <f>I643/D634</f>
        <v>1.32</v>
      </c>
      <c r="K643" s="223">
        <f>47971/D634</f>
        <v>4.25</v>
      </c>
    </row>
    <row r="644" spans="1:11" ht="15.75" customHeight="1" x14ac:dyDescent="0.25">
      <c r="A644" s="307">
        <f>A634+1</f>
        <v>71</v>
      </c>
      <c r="B644" s="307">
        <v>4061</v>
      </c>
      <c r="C644" s="315" t="s">
        <v>587</v>
      </c>
      <c r="D644" s="318">
        <v>7554</v>
      </c>
      <c r="E644" s="307" t="s">
        <v>64</v>
      </c>
      <c r="F644" s="307">
        <v>10</v>
      </c>
      <c r="G644" s="145"/>
      <c r="H644" s="87" t="s">
        <v>66</v>
      </c>
      <c r="I644" s="223">
        <f>I645+I646+I647+I648</f>
        <v>0</v>
      </c>
      <c r="J644" s="223">
        <f>J645+J646+J647+J648</f>
        <v>0</v>
      </c>
      <c r="K644" s="223">
        <f>K645+K646+K647+K648</f>
        <v>17.09</v>
      </c>
    </row>
    <row r="645" spans="1:11" ht="47.25" customHeight="1" x14ac:dyDescent="0.25">
      <c r="A645" s="308"/>
      <c r="B645" s="308"/>
      <c r="C645" s="317"/>
      <c r="D645" s="319"/>
      <c r="E645" s="308"/>
      <c r="F645" s="308"/>
      <c r="G645" s="148" t="s">
        <v>170</v>
      </c>
      <c r="H645" s="87" t="s">
        <v>168</v>
      </c>
      <c r="I645" s="223">
        <v>0</v>
      </c>
      <c r="J645" s="223">
        <f>I645/D644</f>
        <v>0</v>
      </c>
      <c r="K645" s="223">
        <f>32281/D644</f>
        <v>4.2699999999999996</v>
      </c>
    </row>
    <row r="646" spans="1:11" ht="47.25" customHeight="1" x14ac:dyDescent="0.25">
      <c r="A646" s="308"/>
      <c r="B646" s="308"/>
      <c r="C646" s="317"/>
      <c r="D646" s="319"/>
      <c r="E646" s="308"/>
      <c r="F646" s="308"/>
      <c r="G646" s="148" t="s">
        <v>173</v>
      </c>
      <c r="H646" s="87" t="s">
        <v>168</v>
      </c>
      <c r="I646" s="223">
        <v>0</v>
      </c>
      <c r="J646" s="223">
        <f>I646/D644</f>
        <v>0</v>
      </c>
      <c r="K646" s="223">
        <f>32281/D644+0.01</f>
        <v>4.28</v>
      </c>
    </row>
    <row r="647" spans="1:11" ht="47.25" customHeight="1" x14ac:dyDescent="0.25">
      <c r="A647" s="308"/>
      <c r="B647" s="308"/>
      <c r="C647" s="317"/>
      <c r="D647" s="319"/>
      <c r="E647" s="308"/>
      <c r="F647" s="308"/>
      <c r="G647" s="148" t="s">
        <v>174</v>
      </c>
      <c r="H647" s="87" t="s">
        <v>168</v>
      </c>
      <c r="I647" s="223">
        <v>0</v>
      </c>
      <c r="J647" s="223">
        <f>I647/D644</f>
        <v>0</v>
      </c>
      <c r="K647" s="223">
        <f>32281/D644</f>
        <v>4.2699999999999996</v>
      </c>
    </row>
    <row r="648" spans="1:11" ht="47.25" customHeight="1" x14ac:dyDescent="0.25">
      <c r="A648" s="308"/>
      <c r="B648" s="308"/>
      <c r="C648" s="317"/>
      <c r="D648" s="319"/>
      <c r="E648" s="308"/>
      <c r="F648" s="308"/>
      <c r="G648" s="148" t="s">
        <v>175</v>
      </c>
      <c r="H648" s="87" t="s">
        <v>168</v>
      </c>
      <c r="I648" s="223">
        <v>0</v>
      </c>
      <c r="J648" s="223">
        <f>I648/D644</f>
        <v>0</v>
      </c>
      <c r="K648" s="223">
        <f>32281/D644</f>
        <v>4.2699999999999996</v>
      </c>
    </row>
    <row r="649" spans="1:11" x14ac:dyDescent="0.25">
      <c r="A649" s="310">
        <f>A644+1</f>
        <v>72</v>
      </c>
      <c r="B649" s="310">
        <v>8191</v>
      </c>
      <c r="C649" s="333" t="s">
        <v>455</v>
      </c>
      <c r="D649" s="312">
        <v>7694.91</v>
      </c>
      <c r="E649" s="312" t="s">
        <v>64</v>
      </c>
      <c r="F649" s="313">
        <v>10</v>
      </c>
      <c r="G649" s="145"/>
      <c r="H649" s="87" t="s">
        <v>66</v>
      </c>
      <c r="I649" s="223">
        <f>I650+I651+I652+I653+I654+I655+I656+I657</f>
        <v>7185883.9299999997</v>
      </c>
      <c r="J649" s="223">
        <f>J650+J651+J652+J653+J654+J655+J656+J657</f>
        <v>933.85</v>
      </c>
      <c r="K649" s="223">
        <f>K650+K651+K652+K653+K654+K655+K656+K657</f>
        <v>1190.2</v>
      </c>
    </row>
    <row r="650" spans="1:11" x14ac:dyDescent="0.25">
      <c r="A650" s="310">
        <v>756</v>
      </c>
      <c r="B650" s="310"/>
      <c r="C650" s="333"/>
      <c r="D650" s="312"/>
      <c r="E650" s="312"/>
      <c r="F650" s="313"/>
      <c r="G650" s="307" t="s">
        <v>170</v>
      </c>
      <c r="H650" s="87" t="s">
        <v>171</v>
      </c>
      <c r="I650" s="223">
        <v>1769656.14</v>
      </c>
      <c r="J650" s="223">
        <f>I650/D649+0.01</f>
        <v>229.99</v>
      </c>
      <c r="K650" s="223">
        <f>2241647/D649</f>
        <v>291.32</v>
      </c>
    </row>
    <row r="651" spans="1:11" x14ac:dyDescent="0.25">
      <c r="A651" s="310">
        <v>757</v>
      </c>
      <c r="B651" s="310"/>
      <c r="C651" s="333"/>
      <c r="D651" s="312"/>
      <c r="E651" s="312"/>
      <c r="F651" s="313"/>
      <c r="G651" s="309"/>
      <c r="H651" s="87" t="s">
        <v>69</v>
      </c>
      <c r="I651" s="223">
        <v>31660.86</v>
      </c>
      <c r="J651" s="223">
        <f>I651/D649</f>
        <v>4.1100000000000003</v>
      </c>
      <c r="K651" s="223">
        <f>47971/D649</f>
        <v>6.23</v>
      </c>
    </row>
    <row r="652" spans="1:11" x14ac:dyDescent="0.25">
      <c r="A652" s="310"/>
      <c r="B652" s="310"/>
      <c r="C652" s="333"/>
      <c r="D652" s="312"/>
      <c r="E652" s="312"/>
      <c r="F652" s="313"/>
      <c r="G652" s="307" t="s">
        <v>173</v>
      </c>
      <c r="H652" s="87" t="s">
        <v>171</v>
      </c>
      <c r="I652" s="223">
        <v>1759964.1</v>
      </c>
      <c r="J652" s="223">
        <f>I652/D649</f>
        <v>228.72</v>
      </c>
      <c r="K652" s="223">
        <f>2241647/D649</f>
        <v>291.32</v>
      </c>
    </row>
    <row r="653" spans="1:11" x14ac:dyDescent="0.25">
      <c r="A653" s="310"/>
      <c r="B653" s="310"/>
      <c r="C653" s="333"/>
      <c r="D653" s="312"/>
      <c r="E653" s="312"/>
      <c r="F653" s="313"/>
      <c r="G653" s="309"/>
      <c r="H653" s="87" t="s">
        <v>69</v>
      </c>
      <c r="I653" s="223">
        <v>31660.86</v>
      </c>
      <c r="J653" s="223">
        <f>I653/D649</f>
        <v>4.1100000000000003</v>
      </c>
      <c r="K653" s="223">
        <f>47971/D649</f>
        <v>6.23</v>
      </c>
    </row>
    <row r="654" spans="1:11" x14ac:dyDescent="0.25">
      <c r="A654" s="310"/>
      <c r="B654" s="310"/>
      <c r="C654" s="333"/>
      <c r="D654" s="312"/>
      <c r="E654" s="312"/>
      <c r="F654" s="313"/>
      <c r="G654" s="307" t="s">
        <v>174</v>
      </c>
      <c r="H654" s="87" t="s">
        <v>171</v>
      </c>
      <c r="I654" s="223">
        <v>1769656.14</v>
      </c>
      <c r="J654" s="223">
        <f>I654/D649</f>
        <v>229.98</v>
      </c>
      <c r="K654" s="223">
        <f>2241647/D649</f>
        <v>291.32</v>
      </c>
    </row>
    <row r="655" spans="1:11" x14ac:dyDescent="0.25">
      <c r="A655" s="310"/>
      <c r="B655" s="310"/>
      <c r="C655" s="333"/>
      <c r="D655" s="312"/>
      <c r="E655" s="312"/>
      <c r="F655" s="313"/>
      <c r="G655" s="309"/>
      <c r="H655" s="87" t="s">
        <v>69</v>
      </c>
      <c r="I655" s="223">
        <v>31660.86</v>
      </c>
      <c r="J655" s="223">
        <f>I655/D649</f>
        <v>4.1100000000000003</v>
      </c>
      <c r="K655" s="223">
        <f>47971/D649</f>
        <v>6.23</v>
      </c>
    </row>
    <row r="656" spans="1:11" x14ac:dyDescent="0.25">
      <c r="A656" s="310"/>
      <c r="B656" s="310"/>
      <c r="C656" s="333"/>
      <c r="D656" s="312"/>
      <c r="E656" s="312"/>
      <c r="F656" s="313"/>
      <c r="G656" s="307" t="s">
        <v>175</v>
      </c>
      <c r="H656" s="87" t="s">
        <v>171</v>
      </c>
      <c r="I656" s="223">
        <v>1759964.11</v>
      </c>
      <c r="J656" s="223">
        <f>I656/D649</f>
        <v>228.72</v>
      </c>
      <c r="K656" s="223">
        <f>2241647/D649</f>
        <v>291.32</v>
      </c>
    </row>
    <row r="657" spans="1:11" x14ac:dyDescent="0.25">
      <c r="A657" s="310"/>
      <c r="B657" s="310"/>
      <c r="C657" s="333"/>
      <c r="D657" s="312"/>
      <c r="E657" s="312"/>
      <c r="F657" s="313"/>
      <c r="G657" s="309"/>
      <c r="H657" s="87" t="s">
        <v>69</v>
      </c>
      <c r="I657" s="223">
        <v>31660.86</v>
      </c>
      <c r="J657" s="223">
        <f>I657/D649</f>
        <v>4.1100000000000003</v>
      </c>
      <c r="K657" s="223">
        <f>47971/D649</f>
        <v>6.23</v>
      </c>
    </row>
    <row r="658" spans="1:11" x14ac:dyDescent="0.25">
      <c r="A658" s="307">
        <f>A649+1</f>
        <v>73</v>
      </c>
      <c r="B658" s="307">
        <v>4240</v>
      </c>
      <c r="C658" s="315" t="s">
        <v>205</v>
      </c>
      <c r="D658" s="318">
        <v>16244.29</v>
      </c>
      <c r="E658" s="318" t="s">
        <v>64</v>
      </c>
      <c r="F658" s="330">
        <v>10</v>
      </c>
      <c r="G658" s="145"/>
      <c r="H658" s="87" t="s">
        <v>66</v>
      </c>
      <c r="I658" s="223">
        <f>I659+I660+I661+I662+I663+I664+I665+I666+I667</f>
        <v>4184123.77</v>
      </c>
      <c r="J658" s="223">
        <f t="shared" ref="J658:K658" si="24">J659+J660+J661+J662+J663+J664+J665+J666+J667</f>
        <v>257.58</v>
      </c>
      <c r="K658" s="223">
        <f t="shared" si="24"/>
        <v>291.85000000000002</v>
      </c>
    </row>
    <row r="659" spans="1:11" x14ac:dyDescent="0.25">
      <c r="A659" s="308">
        <v>756</v>
      </c>
      <c r="B659" s="308"/>
      <c r="C659" s="317"/>
      <c r="D659" s="319"/>
      <c r="E659" s="319"/>
      <c r="F659" s="331"/>
      <c r="G659" s="307" t="s">
        <v>170</v>
      </c>
      <c r="H659" s="87" t="s">
        <v>171</v>
      </c>
      <c r="I659" s="223">
        <v>2054728.33</v>
      </c>
      <c r="J659" s="223">
        <f>I659/D658</f>
        <v>126.49</v>
      </c>
      <c r="K659" s="223">
        <f>2241647/D658</f>
        <v>138</v>
      </c>
    </row>
    <row r="660" spans="1:11" x14ac:dyDescent="0.25">
      <c r="A660" s="308">
        <v>757</v>
      </c>
      <c r="B660" s="308"/>
      <c r="C660" s="317"/>
      <c r="D660" s="319"/>
      <c r="E660" s="319"/>
      <c r="F660" s="331"/>
      <c r="G660" s="309"/>
      <c r="H660" s="87" t="s">
        <v>69</v>
      </c>
      <c r="I660" s="223">
        <v>31660.86</v>
      </c>
      <c r="J660" s="223">
        <f>I660/D658</f>
        <v>1.95</v>
      </c>
      <c r="K660" s="223">
        <f>47971/D658</f>
        <v>2.95</v>
      </c>
    </row>
    <row r="661" spans="1:11" x14ac:dyDescent="0.25">
      <c r="A661" s="308"/>
      <c r="B661" s="308"/>
      <c r="C661" s="317"/>
      <c r="D661" s="319"/>
      <c r="E661" s="319"/>
      <c r="F661" s="331"/>
      <c r="G661" s="307" t="s">
        <v>173</v>
      </c>
      <c r="H661" s="87" t="s">
        <v>171</v>
      </c>
      <c r="I661" s="223">
        <v>2066073.72</v>
      </c>
      <c r="J661" s="223">
        <f>I661/D658</f>
        <v>127.19</v>
      </c>
      <c r="K661" s="223">
        <f>2241647/D658</f>
        <v>138</v>
      </c>
    </row>
    <row r="662" spans="1:11" x14ac:dyDescent="0.25">
      <c r="A662" s="308"/>
      <c r="B662" s="308"/>
      <c r="C662" s="317"/>
      <c r="D662" s="319"/>
      <c r="E662" s="319"/>
      <c r="F662" s="331"/>
      <c r="G662" s="309"/>
      <c r="H662" s="87" t="s">
        <v>69</v>
      </c>
      <c r="I662" s="223">
        <v>31660.86</v>
      </c>
      <c r="J662" s="223">
        <f>I662/D658</f>
        <v>1.95</v>
      </c>
      <c r="K662" s="223">
        <f>47971/D658</f>
        <v>2.95</v>
      </c>
    </row>
    <row r="663" spans="1:11" ht="47.25" customHeight="1" x14ac:dyDescent="0.25">
      <c r="A663" s="308"/>
      <c r="B663" s="308"/>
      <c r="C663" s="317"/>
      <c r="D663" s="319"/>
      <c r="E663" s="319"/>
      <c r="F663" s="331"/>
      <c r="G663" s="148" t="s">
        <v>174</v>
      </c>
      <c r="H663" s="87" t="s">
        <v>168</v>
      </c>
      <c r="I663" s="223">
        <v>0</v>
      </c>
      <c r="J663" s="223">
        <f>I663/D658</f>
        <v>0</v>
      </c>
      <c r="K663" s="223">
        <f>32281/D658</f>
        <v>1.99</v>
      </c>
    </row>
    <row r="664" spans="1:11" ht="47.25" customHeight="1" x14ac:dyDescent="0.25">
      <c r="A664" s="308"/>
      <c r="B664" s="308"/>
      <c r="C664" s="317"/>
      <c r="D664" s="319"/>
      <c r="E664" s="319"/>
      <c r="F664" s="331"/>
      <c r="G664" s="148" t="s">
        <v>175</v>
      </c>
      <c r="H664" s="87" t="s">
        <v>168</v>
      </c>
      <c r="I664" s="223">
        <v>0</v>
      </c>
      <c r="J664" s="223">
        <f>I664/D658</f>
        <v>0</v>
      </c>
      <c r="K664" s="223">
        <f>32281/D658</f>
        <v>1.99</v>
      </c>
    </row>
    <row r="665" spans="1:11" ht="47.25" customHeight="1" x14ac:dyDescent="0.25">
      <c r="A665" s="308"/>
      <c r="B665" s="308"/>
      <c r="C665" s="317"/>
      <c r="D665" s="319"/>
      <c r="E665" s="319"/>
      <c r="F665" s="331"/>
      <c r="G665" s="148" t="s">
        <v>172</v>
      </c>
      <c r="H665" s="87" t="s">
        <v>168</v>
      </c>
      <c r="I665" s="223">
        <v>0</v>
      </c>
      <c r="J665" s="223">
        <f>I665/D658</f>
        <v>0</v>
      </c>
      <c r="K665" s="223">
        <f>32281/D658</f>
        <v>1.99</v>
      </c>
    </row>
    <row r="666" spans="1:11" ht="47.25" customHeight="1" x14ac:dyDescent="0.25">
      <c r="A666" s="308"/>
      <c r="B666" s="308"/>
      <c r="C666" s="317"/>
      <c r="D666" s="319"/>
      <c r="E666" s="319"/>
      <c r="F666" s="331"/>
      <c r="G666" s="148" t="s">
        <v>440</v>
      </c>
      <c r="H666" s="87" t="s">
        <v>168</v>
      </c>
      <c r="I666" s="223">
        <v>0</v>
      </c>
      <c r="J666" s="223">
        <f>I666/D658</f>
        <v>0</v>
      </c>
      <c r="K666" s="223">
        <f>32281/D658</f>
        <v>1.99</v>
      </c>
    </row>
    <row r="667" spans="1:11" ht="47.25" customHeight="1" x14ac:dyDescent="0.25">
      <c r="A667" s="308"/>
      <c r="B667" s="308"/>
      <c r="C667" s="317"/>
      <c r="D667" s="319"/>
      <c r="E667" s="319"/>
      <c r="F667" s="331"/>
      <c r="G667" s="148" t="s">
        <v>449</v>
      </c>
      <c r="H667" s="87" t="s">
        <v>168</v>
      </c>
      <c r="I667" s="223">
        <v>0</v>
      </c>
      <c r="J667" s="223">
        <f>I667/D658</f>
        <v>0</v>
      </c>
      <c r="K667" s="223">
        <f>32281/D658</f>
        <v>1.99</v>
      </c>
    </row>
    <row r="668" spans="1:11" x14ac:dyDescent="0.25">
      <c r="A668" s="310">
        <f>A658+1</f>
        <v>74</v>
      </c>
      <c r="B668" s="310">
        <v>4358</v>
      </c>
      <c r="C668" s="333" t="s">
        <v>527</v>
      </c>
      <c r="D668" s="312">
        <v>5129.5</v>
      </c>
      <c r="E668" s="312" t="s">
        <v>64</v>
      </c>
      <c r="F668" s="313">
        <v>10</v>
      </c>
      <c r="G668" s="307" t="s">
        <v>170</v>
      </c>
      <c r="H668" s="87" t="s">
        <v>66</v>
      </c>
      <c r="I668" s="223">
        <f>I669+I670+I671</f>
        <v>1945583.34</v>
      </c>
      <c r="J668" s="223">
        <f>J669+J670+J671</f>
        <v>379.29</v>
      </c>
      <c r="K668" s="223">
        <f>K669+K670+K671</f>
        <v>452.66</v>
      </c>
    </row>
    <row r="669" spans="1:11" ht="63" x14ac:dyDescent="0.25">
      <c r="A669" s="310"/>
      <c r="B669" s="310"/>
      <c r="C669" s="333"/>
      <c r="D669" s="312"/>
      <c r="E669" s="312"/>
      <c r="F669" s="313"/>
      <c r="G669" s="308"/>
      <c r="H669" s="87" t="s">
        <v>168</v>
      </c>
      <c r="I669" s="223">
        <v>22681</v>
      </c>
      <c r="J669" s="223">
        <f>I669/D668</f>
        <v>4.42</v>
      </c>
      <c r="K669" s="223">
        <f>32281/D668</f>
        <v>6.29</v>
      </c>
    </row>
    <row r="670" spans="1:11" x14ac:dyDescent="0.25">
      <c r="A670" s="310">
        <v>756</v>
      </c>
      <c r="B670" s="310"/>
      <c r="C670" s="333"/>
      <c r="D670" s="312"/>
      <c r="E670" s="312"/>
      <c r="F670" s="313"/>
      <c r="G670" s="308"/>
      <c r="H670" s="87" t="s">
        <v>171</v>
      </c>
      <c r="I670" s="223">
        <v>1882614.39</v>
      </c>
      <c r="J670" s="223">
        <f>I670/D668</f>
        <v>367.02</v>
      </c>
      <c r="K670" s="223">
        <f>2241647/D668+0.01</f>
        <v>437.02</v>
      </c>
    </row>
    <row r="671" spans="1:11" x14ac:dyDescent="0.25">
      <c r="A671" s="310">
        <v>757</v>
      </c>
      <c r="B671" s="310"/>
      <c r="C671" s="333"/>
      <c r="D671" s="312"/>
      <c r="E671" s="312"/>
      <c r="F671" s="313"/>
      <c r="G671" s="309"/>
      <c r="H671" s="87" t="s">
        <v>69</v>
      </c>
      <c r="I671" s="223">
        <v>40287.949999999997</v>
      </c>
      <c r="J671" s="223">
        <f>I671/D668</f>
        <v>7.85</v>
      </c>
      <c r="K671" s="223">
        <f>47971/D668</f>
        <v>9.35</v>
      </c>
    </row>
    <row r="672" spans="1:11" x14ac:dyDescent="0.25">
      <c r="A672" s="310">
        <f>A668+1</f>
        <v>75</v>
      </c>
      <c r="B672" s="310">
        <v>4093</v>
      </c>
      <c r="C672" s="333" t="s">
        <v>483</v>
      </c>
      <c r="D672" s="312">
        <v>18536.900000000001</v>
      </c>
      <c r="E672" s="312" t="s">
        <v>64</v>
      </c>
      <c r="F672" s="313">
        <v>10</v>
      </c>
      <c r="G672" s="145"/>
      <c r="H672" s="87" t="s">
        <v>66</v>
      </c>
      <c r="I672" s="223">
        <f>I673+I674+I675+I676+I677+I678+I679+I680</f>
        <v>6221434.71</v>
      </c>
      <c r="J672" s="223">
        <f t="shared" ref="J672:K672" si="25">J673+J674+J675+J676+J677+J678+J679+J680</f>
        <v>335.62</v>
      </c>
      <c r="K672" s="223">
        <f t="shared" si="25"/>
        <v>374.03</v>
      </c>
    </row>
    <row r="673" spans="1:11" ht="63" x14ac:dyDescent="0.25">
      <c r="A673" s="310"/>
      <c r="B673" s="310"/>
      <c r="C673" s="333"/>
      <c r="D673" s="312"/>
      <c r="E673" s="312"/>
      <c r="F673" s="313"/>
      <c r="G673" s="148" t="s">
        <v>175</v>
      </c>
      <c r="H673" s="87" t="s">
        <v>168</v>
      </c>
      <c r="I673" s="223">
        <v>0</v>
      </c>
      <c r="J673" s="223">
        <f>I673/D672</f>
        <v>0</v>
      </c>
      <c r="K673" s="223">
        <f>32281/D672</f>
        <v>1.74</v>
      </c>
    </row>
    <row r="674" spans="1:11" ht="63" x14ac:dyDescent="0.25">
      <c r="A674" s="310"/>
      <c r="B674" s="310"/>
      <c r="C674" s="333"/>
      <c r="D674" s="312"/>
      <c r="E674" s="312"/>
      <c r="F674" s="313"/>
      <c r="G674" s="148" t="s">
        <v>172</v>
      </c>
      <c r="H674" s="87" t="s">
        <v>168</v>
      </c>
      <c r="I674" s="223">
        <v>0</v>
      </c>
      <c r="J674" s="223">
        <f>I674/D672</f>
        <v>0</v>
      </c>
      <c r="K674" s="223">
        <f>32281/D672</f>
        <v>1.74</v>
      </c>
    </row>
    <row r="675" spans="1:11" x14ac:dyDescent="0.25">
      <c r="A675" s="310">
        <v>756</v>
      </c>
      <c r="B675" s="310"/>
      <c r="C675" s="333"/>
      <c r="D675" s="312"/>
      <c r="E675" s="312"/>
      <c r="F675" s="313"/>
      <c r="G675" s="307" t="s">
        <v>440</v>
      </c>
      <c r="H675" s="87" t="s">
        <v>171</v>
      </c>
      <c r="I675" s="223">
        <v>2042828.14</v>
      </c>
      <c r="J675" s="223">
        <f>I675/D672</f>
        <v>110.2</v>
      </c>
      <c r="K675" s="223">
        <f>2241647/D672</f>
        <v>120.93</v>
      </c>
    </row>
    <row r="676" spans="1:11" x14ac:dyDescent="0.25">
      <c r="A676" s="310">
        <v>757</v>
      </c>
      <c r="B676" s="310"/>
      <c r="C676" s="333"/>
      <c r="D676" s="312"/>
      <c r="E676" s="312"/>
      <c r="F676" s="313"/>
      <c r="G676" s="309"/>
      <c r="H676" s="87" t="s">
        <v>69</v>
      </c>
      <c r="I676" s="223">
        <v>34727.22</v>
      </c>
      <c r="J676" s="223">
        <f>I676/D672</f>
        <v>1.87</v>
      </c>
      <c r="K676" s="223">
        <f>47971/D672</f>
        <v>2.59</v>
      </c>
    </row>
    <row r="677" spans="1:11" x14ac:dyDescent="0.25">
      <c r="A677" s="310"/>
      <c r="B677" s="310"/>
      <c r="C677" s="333"/>
      <c r="D677" s="312"/>
      <c r="E677" s="312"/>
      <c r="F677" s="313"/>
      <c r="G677" s="307" t="s">
        <v>449</v>
      </c>
      <c r="H677" s="87" t="s">
        <v>171</v>
      </c>
      <c r="I677" s="223">
        <v>2031596.77</v>
      </c>
      <c r="J677" s="223">
        <f>I677/D672</f>
        <v>109.6</v>
      </c>
      <c r="K677" s="223">
        <f>2241647/D672</f>
        <v>120.93</v>
      </c>
    </row>
    <row r="678" spans="1:11" x14ac:dyDescent="0.25">
      <c r="A678" s="310"/>
      <c r="B678" s="310"/>
      <c r="C678" s="333"/>
      <c r="D678" s="312"/>
      <c r="E678" s="312"/>
      <c r="F678" s="313"/>
      <c r="G678" s="309"/>
      <c r="H678" s="87" t="s">
        <v>69</v>
      </c>
      <c r="I678" s="223">
        <v>34727.22</v>
      </c>
      <c r="J678" s="223">
        <f>I678/D672</f>
        <v>1.87</v>
      </c>
      <c r="K678" s="223">
        <f>47971/D672</f>
        <v>2.59</v>
      </c>
    </row>
    <row r="679" spans="1:11" x14ac:dyDescent="0.25">
      <c r="A679" s="310"/>
      <c r="B679" s="310"/>
      <c r="C679" s="333"/>
      <c r="D679" s="312"/>
      <c r="E679" s="312"/>
      <c r="F679" s="313"/>
      <c r="G679" s="307" t="s">
        <v>457</v>
      </c>
      <c r="H679" s="87" t="s">
        <v>171</v>
      </c>
      <c r="I679" s="223">
        <v>2042828.14</v>
      </c>
      <c r="J679" s="223">
        <f>I679/D672+0.01</f>
        <v>110.21</v>
      </c>
      <c r="K679" s="223">
        <f>2241647/D672-0.01</f>
        <v>120.92</v>
      </c>
    </row>
    <row r="680" spans="1:11" x14ac:dyDescent="0.25">
      <c r="A680" s="310"/>
      <c r="B680" s="310"/>
      <c r="C680" s="333"/>
      <c r="D680" s="312"/>
      <c r="E680" s="312"/>
      <c r="F680" s="313"/>
      <c r="G680" s="309"/>
      <c r="H680" s="87" t="s">
        <v>69</v>
      </c>
      <c r="I680" s="223">
        <v>34727.22</v>
      </c>
      <c r="J680" s="223">
        <f>I680/D672</f>
        <v>1.87</v>
      </c>
      <c r="K680" s="223">
        <f>47971/D672</f>
        <v>2.59</v>
      </c>
    </row>
    <row r="681" spans="1:11" ht="15.75" customHeight="1" x14ac:dyDescent="0.25">
      <c r="A681" s="310">
        <f>A672+1</f>
        <v>76</v>
      </c>
      <c r="B681" s="310">
        <v>3116</v>
      </c>
      <c r="C681" s="333" t="s">
        <v>207</v>
      </c>
      <c r="D681" s="312">
        <v>2647.9</v>
      </c>
      <c r="E681" s="312" t="s">
        <v>68</v>
      </c>
      <c r="F681" s="313">
        <v>5</v>
      </c>
      <c r="G681" s="310" t="s">
        <v>65</v>
      </c>
      <c r="H681" s="87" t="s">
        <v>66</v>
      </c>
      <c r="I681" s="223">
        <f>I682+I683</f>
        <v>4742805.82</v>
      </c>
      <c r="J681" s="223">
        <f>J682+J683</f>
        <v>1791.16</v>
      </c>
      <c r="K681" s="223">
        <f>K682+K683</f>
        <v>3878</v>
      </c>
    </row>
    <row r="682" spans="1:11" ht="15.75" customHeight="1" x14ac:dyDescent="0.25">
      <c r="A682" s="310">
        <v>77</v>
      </c>
      <c r="B682" s="310"/>
      <c r="C682" s="333"/>
      <c r="D682" s="310"/>
      <c r="E682" s="312"/>
      <c r="F682" s="313"/>
      <c r="G682" s="310"/>
      <c r="H682" s="87" t="s">
        <v>67</v>
      </c>
      <c r="I682" s="223">
        <v>4643436.28</v>
      </c>
      <c r="J682" s="223">
        <f>I682/D681</f>
        <v>1753.63</v>
      </c>
      <c r="K682" s="223">
        <v>3797</v>
      </c>
    </row>
    <row r="683" spans="1:11" ht="15.75" customHeight="1" x14ac:dyDescent="0.25">
      <c r="A683" s="310"/>
      <c r="B683" s="310"/>
      <c r="C683" s="333"/>
      <c r="D683" s="310"/>
      <c r="E683" s="312"/>
      <c r="F683" s="313"/>
      <c r="G683" s="310"/>
      <c r="H683" s="87" t="s">
        <v>69</v>
      </c>
      <c r="I683" s="223">
        <v>99369.54</v>
      </c>
      <c r="J683" s="223">
        <f>I683/D681</f>
        <v>37.53</v>
      </c>
      <c r="K683" s="223">
        <v>81</v>
      </c>
    </row>
    <row r="684" spans="1:11" x14ac:dyDescent="0.25">
      <c r="A684" s="310">
        <f>A681+1</f>
        <v>77</v>
      </c>
      <c r="B684" s="310">
        <v>3291</v>
      </c>
      <c r="C684" s="333" t="s">
        <v>142</v>
      </c>
      <c r="D684" s="312">
        <v>2878.8</v>
      </c>
      <c r="E684" s="312" t="s">
        <v>64</v>
      </c>
      <c r="F684" s="313">
        <v>5</v>
      </c>
      <c r="G684" s="310" t="s">
        <v>65</v>
      </c>
      <c r="H684" s="87" t="s">
        <v>66</v>
      </c>
      <c r="I684" s="223">
        <f>I685+I686</f>
        <v>7431616.5199999996</v>
      </c>
      <c r="J684" s="223">
        <f>J685+J686</f>
        <v>2581.5</v>
      </c>
      <c r="K684" s="223">
        <f>K685+K686</f>
        <v>3878</v>
      </c>
    </row>
    <row r="685" spans="1:11" x14ac:dyDescent="0.25">
      <c r="A685" s="310">
        <v>75</v>
      </c>
      <c r="B685" s="310"/>
      <c r="C685" s="333"/>
      <c r="D685" s="312"/>
      <c r="E685" s="312"/>
      <c r="F685" s="313"/>
      <c r="G685" s="310"/>
      <c r="H685" s="87" t="s">
        <v>67</v>
      </c>
      <c r="I685" s="223">
        <v>7275912</v>
      </c>
      <c r="J685" s="223">
        <f>I685/D684</f>
        <v>2527.41</v>
      </c>
      <c r="K685" s="223">
        <v>3797</v>
      </c>
    </row>
    <row r="686" spans="1:11" x14ac:dyDescent="0.25">
      <c r="A686" s="310"/>
      <c r="B686" s="310"/>
      <c r="C686" s="333"/>
      <c r="D686" s="312"/>
      <c r="E686" s="312"/>
      <c r="F686" s="313"/>
      <c r="G686" s="310"/>
      <c r="H686" s="87" t="s">
        <v>69</v>
      </c>
      <c r="I686" s="223">
        <v>155704.51999999999</v>
      </c>
      <c r="J686" s="223">
        <f>I686/D684</f>
        <v>54.09</v>
      </c>
      <c r="K686" s="223">
        <v>81</v>
      </c>
    </row>
    <row r="687" spans="1:11" x14ac:dyDescent="0.25">
      <c r="A687" s="310">
        <f>A684+1</f>
        <v>78</v>
      </c>
      <c r="B687" s="310">
        <v>3295</v>
      </c>
      <c r="C687" s="333" t="s">
        <v>143</v>
      </c>
      <c r="D687" s="312">
        <v>3558.7</v>
      </c>
      <c r="E687" s="312" t="s">
        <v>64</v>
      </c>
      <c r="F687" s="313">
        <v>5</v>
      </c>
      <c r="G687" s="310" t="s">
        <v>65</v>
      </c>
      <c r="H687" s="87" t="s">
        <v>66</v>
      </c>
      <c r="I687" s="223">
        <f>I688+I689</f>
        <v>9750668.7699999996</v>
      </c>
      <c r="J687" s="223">
        <f>J688+J689</f>
        <v>2739.95</v>
      </c>
      <c r="K687" s="223">
        <f>K688+K689</f>
        <v>3878</v>
      </c>
    </row>
    <row r="688" spans="1:11" x14ac:dyDescent="0.25">
      <c r="A688" s="310">
        <v>75</v>
      </c>
      <c r="B688" s="310"/>
      <c r="C688" s="333"/>
      <c r="D688" s="312"/>
      <c r="E688" s="312"/>
      <c r="F688" s="313"/>
      <c r="G688" s="310"/>
      <c r="H688" s="87" t="s">
        <v>67</v>
      </c>
      <c r="I688" s="223">
        <v>9546376.3200000003</v>
      </c>
      <c r="J688" s="223">
        <f>I688/D687-0.01</f>
        <v>2682.54</v>
      </c>
      <c r="K688" s="223">
        <v>3797</v>
      </c>
    </row>
    <row r="689" spans="1:11" x14ac:dyDescent="0.25">
      <c r="A689" s="310"/>
      <c r="B689" s="310"/>
      <c r="C689" s="333"/>
      <c r="D689" s="312"/>
      <c r="E689" s="312"/>
      <c r="F689" s="313"/>
      <c r="G689" s="310"/>
      <c r="H689" s="87" t="s">
        <v>69</v>
      </c>
      <c r="I689" s="223">
        <v>204292.45</v>
      </c>
      <c r="J689" s="223">
        <f>I689/D687</f>
        <v>57.41</v>
      </c>
      <c r="K689" s="223">
        <v>81</v>
      </c>
    </row>
    <row r="690" spans="1:11" x14ac:dyDescent="0.25">
      <c r="A690" s="310">
        <f>A687+1</f>
        <v>79</v>
      </c>
      <c r="B690" s="310">
        <v>3298</v>
      </c>
      <c r="C690" s="333" t="s">
        <v>144</v>
      </c>
      <c r="D690" s="312">
        <v>2717.8</v>
      </c>
      <c r="E690" s="312" t="s">
        <v>64</v>
      </c>
      <c r="F690" s="313">
        <v>5</v>
      </c>
      <c r="G690" s="310" t="s">
        <v>65</v>
      </c>
      <c r="H690" s="87" t="s">
        <v>66</v>
      </c>
      <c r="I690" s="223">
        <f>I691+I692</f>
        <v>7342228.8600000003</v>
      </c>
      <c r="J690" s="223">
        <f>J691+J692</f>
        <v>2701.53</v>
      </c>
      <c r="K690" s="223">
        <f>K691+K692</f>
        <v>3878</v>
      </c>
    </row>
    <row r="691" spans="1:11" x14ac:dyDescent="0.25">
      <c r="A691" s="310">
        <v>75</v>
      </c>
      <c r="B691" s="310"/>
      <c r="C691" s="333"/>
      <c r="D691" s="312"/>
      <c r="E691" s="312"/>
      <c r="F691" s="313"/>
      <c r="G691" s="310"/>
      <c r="H691" s="87" t="s">
        <v>67</v>
      </c>
      <c r="I691" s="223">
        <v>7188397.1600000001</v>
      </c>
      <c r="J691" s="223">
        <f>I691/D690</f>
        <v>2644.93</v>
      </c>
      <c r="K691" s="223">
        <v>3797</v>
      </c>
    </row>
    <row r="692" spans="1:11" x14ac:dyDescent="0.25">
      <c r="A692" s="310"/>
      <c r="B692" s="310"/>
      <c r="C692" s="333"/>
      <c r="D692" s="312"/>
      <c r="E692" s="312"/>
      <c r="F692" s="313"/>
      <c r="G692" s="310"/>
      <c r="H692" s="87" t="s">
        <v>69</v>
      </c>
      <c r="I692" s="223">
        <v>153831.70000000001</v>
      </c>
      <c r="J692" s="223">
        <f>I692/D690</f>
        <v>56.6</v>
      </c>
      <c r="K692" s="223">
        <v>81</v>
      </c>
    </row>
    <row r="693" spans="1:11" x14ac:dyDescent="0.25">
      <c r="A693" s="310">
        <f>A690+1</f>
        <v>80</v>
      </c>
      <c r="B693" s="310">
        <v>3171</v>
      </c>
      <c r="C693" s="333" t="s">
        <v>453</v>
      </c>
      <c r="D693" s="312">
        <v>8269.5</v>
      </c>
      <c r="E693" s="312" t="s">
        <v>68</v>
      </c>
      <c r="F693" s="313">
        <v>9</v>
      </c>
      <c r="G693" s="145"/>
      <c r="H693" s="87" t="s">
        <v>66</v>
      </c>
      <c r="I693" s="223">
        <f>I694+I695+I696+I697</f>
        <v>3822512.28</v>
      </c>
      <c r="J693" s="223">
        <f>J694+J695+J696+J697</f>
        <v>462.24</v>
      </c>
      <c r="K693" s="223">
        <f>K694+K695+K696+K697</f>
        <v>553.75</v>
      </c>
    </row>
    <row r="694" spans="1:11" x14ac:dyDescent="0.25">
      <c r="A694" s="310">
        <v>756</v>
      </c>
      <c r="B694" s="310"/>
      <c r="C694" s="333"/>
      <c r="D694" s="312"/>
      <c r="E694" s="312"/>
      <c r="F694" s="313"/>
      <c r="G694" s="307" t="s">
        <v>174</v>
      </c>
      <c r="H694" s="87" t="s">
        <v>171</v>
      </c>
      <c r="I694" s="223">
        <v>1884726.36</v>
      </c>
      <c r="J694" s="223">
        <f>I694/D693+0.01</f>
        <v>227.92</v>
      </c>
      <c r="K694" s="223">
        <f>2241647/D693+0.01</f>
        <v>271.08</v>
      </c>
    </row>
    <row r="695" spans="1:11" x14ac:dyDescent="0.25">
      <c r="A695" s="310">
        <v>757</v>
      </c>
      <c r="B695" s="310"/>
      <c r="C695" s="333"/>
      <c r="D695" s="312"/>
      <c r="E695" s="312"/>
      <c r="F695" s="313"/>
      <c r="G695" s="309"/>
      <c r="H695" s="87" t="s">
        <v>69</v>
      </c>
      <c r="I695" s="223">
        <v>31660.86</v>
      </c>
      <c r="J695" s="223">
        <f>I695/D693</f>
        <v>3.83</v>
      </c>
      <c r="K695" s="223">
        <f>47971/D693</f>
        <v>5.8</v>
      </c>
    </row>
    <row r="696" spans="1:11" x14ac:dyDescent="0.25">
      <c r="A696" s="310"/>
      <c r="B696" s="310"/>
      <c r="C696" s="333"/>
      <c r="D696" s="312"/>
      <c r="E696" s="312"/>
      <c r="F696" s="313"/>
      <c r="G696" s="307" t="s">
        <v>175</v>
      </c>
      <c r="H696" s="87" t="s">
        <v>171</v>
      </c>
      <c r="I696" s="223">
        <v>1874464.2</v>
      </c>
      <c r="J696" s="223">
        <f>I696/D693-0.01</f>
        <v>226.66</v>
      </c>
      <c r="K696" s="223">
        <f>2241647/D693</f>
        <v>271.07</v>
      </c>
    </row>
    <row r="697" spans="1:11" x14ac:dyDescent="0.25">
      <c r="A697" s="310"/>
      <c r="B697" s="310"/>
      <c r="C697" s="333"/>
      <c r="D697" s="312"/>
      <c r="E697" s="312"/>
      <c r="F697" s="313"/>
      <c r="G697" s="309"/>
      <c r="H697" s="87" t="s">
        <v>69</v>
      </c>
      <c r="I697" s="223">
        <v>31660.86</v>
      </c>
      <c r="J697" s="223">
        <f>I697/D693</f>
        <v>3.83</v>
      </c>
      <c r="K697" s="223">
        <f>47971/D693</f>
        <v>5.8</v>
      </c>
    </row>
    <row r="698" spans="1:11" ht="15.75" customHeight="1" x14ac:dyDescent="0.25">
      <c r="A698" s="307">
        <f>A693+1</f>
        <v>81</v>
      </c>
      <c r="B698" s="307">
        <v>4261</v>
      </c>
      <c r="C698" s="315" t="s">
        <v>588</v>
      </c>
      <c r="D698" s="318">
        <v>3106.9</v>
      </c>
      <c r="E698" s="307" t="s">
        <v>68</v>
      </c>
      <c r="F698" s="307">
        <v>10</v>
      </c>
      <c r="G698" s="145"/>
      <c r="H698" s="87" t="s">
        <v>66</v>
      </c>
      <c r="I698" s="223">
        <f>I699+I700</f>
        <v>0</v>
      </c>
      <c r="J698" s="223">
        <f t="shared" ref="J698:K698" si="26">J699+J700</f>
        <v>0</v>
      </c>
      <c r="K698" s="223">
        <f t="shared" si="26"/>
        <v>20.78</v>
      </c>
    </row>
    <row r="699" spans="1:11" ht="47.25" customHeight="1" x14ac:dyDescent="0.25">
      <c r="A699" s="308"/>
      <c r="B699" s="308"/>
      <c r="C699" s="317"/>
      <c r="D699" s="319"/>
      <c r="E699" s="308"/>
      <c r="F699" s="308"/>
      <c r="G699" s="148" t="s">
        <v>170</v>
      </c>
      <c r="H699" s="87" t="s">
        <v>168</v>
      </c>
      <c r="I699" s="223">
        <v>0</v>
      </c>
      <c r="J699" s="223">
        <f>I699/D698</f>
        <v>0</v>
      </c>
      <c r="K699" s="223">
        <f>32281/D698</f>
        <v>10.39</v>
      </c>
    </row>
    <row r="700" spans="1:11" ht="47.25" customHeight="1" x14ac:dyDescent="0.25">
      <c r="A700" s="308"/>
      <c r="B700" s="308"/>
      <c r="C700" s="317"/>
      <c r="D700" s="319"/>
      <c r="E700" s="308"/>
      <c r="F700" s="308"/>
      <c r="G700" s="148" t="s">
        <v>170</v>
      </c>
      <c r="H700" s="87" t="s">
        <v>168</v>
      </c>
      <c r="I700" s="223">
        <v>0</v>
      </c>
      <c r="J700" s="223">
        <f>I700/D698</f>
        <v>0</v>
      </c>
      <c r="K700" s="223">
        <f>32281/D698</f>
        <v>10.39</v>
      </c>
    </row>
    <row r="701" spans="1:11" ht="15.75" customHeight="1" x14ac:dyDescent="0.25">
      <c r="A701" s="307">
        <f>A698+1</f>
        <v>82</v>
      </c>
      <c r="B701" s="307">
        <v>4378</v>
      </c>
      <c r="C701" s="315" t="s">
        <v>589</v>
      </c>
      <c r="D701" s="318">
        <v>3900.4</v>
      </c>
      <c r="E701" s="307" t="s">
        <v>68</v>
      </c>
      <c r="F701" s="307">
        <v>10</v>
      </c>
      <c r="G701" s="145"/>
      <c r="H701" s="87" t="s">
        <v>66</v>
      </c>
      <c r="I701" s="223">
        <f>I702</f>
        <v>0</v>
      </c>
      <c r="J701" s="223">
        <f>J702</f>
        <v>0</v>
      </c>
      <c r="K701" s="223">
        <f>K702</f>
        <v>8.2799999999999994</v>
      </c>
    </row>
    <row r="702" spans="1:11" ht="47.25" customHeight="1" x14ac:dyDescent="0.25">
      <c r="A702" s="308"/>
      <c r="B702" s="308"/>
      <c r="C702" s="317"/>
      <c r="D702" s="319"/>
      <c r="E702" s="308"/>
      <c r="F702" s="308"/>
      <c r="G702" s="148" t="s">
        <v>170</v>
      </c>
      <c r="H702" s="87" t="s">
        <v>168</v>
      </c>
      <c r="I702" s="223">
        <v>0</v>
      </c>
      <c r="J702" s="223">
        <f>I702/D701</f>
        <v>0</v>
      </c>
      <c r="K702" s="223">
        <f>32281/D701</f>
        <v>8.2799999999999994</v>
      </c>
    </row>
    <row r="703" spans="1:11" ht="15.75" customHeight="1" x14ac:dyDescent="0.25">
      <c r="A703" s="307">
        <f>A701+1</f>
        <v>83</v>
      </c>
      <c r="B703" s="307">
        <v>4243</v>
      </c>
      <c r="C703" s="315" t="s">
        <v>590</v>
      </c>
      <c r="D703" s="318">
        <v>3950.38</v>
      </c>
      <c r="E703" s="307" t="s">
        <v>68</v>
      </c>
      <c r="F703" s="307">
        <v>9</v>
      </c>
      <c r="G703" s="145"/>
      <c r="H703" s="87" t="s">
        <v>66</v>
      </c>
      <c r="I703" s="223">
        <f>I704+I705</f>
        <v>0</v>
      </c>
      <c r="J703" s="223">
        <f t="shared" ref="J703:K703" si="27">J704+J705</f>
        <v>0</v>
      </c>
      <c r="K703" s="223">
        <f t="shared" si="27"/>
        <v>16.34</v>
      </c>
    </row>
    <row r="704" spans="1:11" ht="47.25" customHeight="1" x14ac:dyDescent="0.25">
      <c r="A704" s="308"/>
      <c r="B704" s="308"/>
      <c r="C704" s="317"/>
      <c r="D704" s="319"/>
      <c r="E704" s="308"/>
      <c r="F704" s="308"/>
      <c r="G704" s="148" t="s">
        <v>170</v>
      </c>
      <c r="H704" s="87" t="s">
        <v>168</v>
      </c>
      <c r="I704" s="223">
        <v>0</v>
      </c>
      <c r="J704" s="223">
        <f>I704/D703</f>
        <v>0</v>
      </c>
      <c r="K704" s="223">
        <f>32281/D703</f>
        <v>8.17</v>
      </c>
    </row>
    <row r="705" spans="1:11" ht="47.25" customHeight="1" x14ac:dyDescent="0.25">
      <c r="A705" s="308"/>
      <c r="B705" s="308"/>
      <c r="C705" s="317"/>
      <c r="D705" s="319"/>
      <c r="E705" s="308"/>
      <c r="F705" s="308"/>
      <c r="G705" s="148" t="s">
        <v>173</v>
      </c>
      <c r="H705" s="87" t="s">
        <v>168</v>
      </c>
      <c r="I705" s="223">
        <v>0</v>
      </c>
      <c r="J705" s="223">
        <f>I705/D703</f>
        <v>0</v>
      </c>
      <c r="K705" s="223">
        <f>32281/D703</f>
        <v>8.17</v>
      </c>
    </row>
    <row r="706" spans="1:11" ht="15.75" customHeight="1" x14ac:dyDescent="0.25">
      <c r="A706" s="307">
        <f>A703+1</f>
        <v>84</v>
      </c>
      <c r="B706" s="307">
        <v>4379</v>
      </c>
      <c r="C706" s="315" t="s">
        <v>591</v>
      </c>
      <c r="D706" s="318">
        <v>3914.2</v>
      </c>
      <c r="E706" s="307" t="s">
        <v>68</v>
      </c>
      <c r="F706" s="307">
        <v>10</v>
      </c>
      <c r="G706" s="145"/>
      <c r="H706" s="87" t="s">
        <v>66</v>
      </c>
      <c r="I706" s="223">
        <f>I707</f>
        <v>0</v>
      </c>
      <c r="J706" s="223">
        <f>J707</f>
        <v>0</v>
      </c>
      <c r="K706" s="223">
        <f>K707</f>
        <v>8.25</v>
      </c>
    </row>
    <row r="707" spans="1:11" ht="47.25" customHeight="1" x14ac:dyDescent="0.25">
      <c r="A707" s="308"/>
      <c r="B707" s="308"/>
      <c r="C707" s="317"/>
      <c r="D707" s="319"/>
      <c r="E707" s="308"/>
      <c r="F707" s="308"/>
      <c r="G707" s="148" t="s">
        <v>170</v>
      </c>
      <c r="H707" s="87" t="s">
        <v>168</v>
      </c>
      <c r="I707" s="223">
        <v>0</v>
      </c>
      <c r="J707" s="223">
        <f>I707/D706</f>
        <v>0</v>
      </c>
      <c r="K707" s="223">
        <f>32281/D706</f>
        <v>8.25</v>
      </c>
    </row>
    <row r="708" spans="1:11" x14ac:dyDescent="0.25">
      <c r="A708" s="310">
        <f>A706+1</f>
        <v>85</v>
      </c>
      <c r="B708" s="310">
        <v>3313</v>
      </c>
      <c r="C708" s="333" t="s">
        <v>145</v>
      </c>
      <c r="D708" s="312">
        <v>3573</v>
      </c>
      <c r="E708" s="312" t="s">
        <v>64</v>
      </c>
      <c r="F708" s="313">
        <v>5</v>
      </c>
      <c r="G708" s="310" t="s">
        <v>65</v>
      </c>
      <c r="H708" s="87" t="s">
        <v>66</v>
      </c>
      <c r="I708" s="223">
        <f>I709+I710</f>
        <v>9374140.5199999996</v>
      </c>
      <c r="J708" s="223">
        <f>J709+J710</f>
        <v>2623.6</v>
      </c>
      <c r="K708" s="223">
        <f>K709+K710</f>
        <v>3878</v>
      </c>
    </row>
    <row r="709" spans="1:11" x14ac:dyDescent="0.25">
      <c r="A709" s="310">
        <v>75</v>
      </c>
      <c r="B709" s="310"/>
      <c r="C709" s="333"/>
      <c r="D709" s="312"/>
      <c r="E709" s="312"/>
      <c r="F709" s="313"/>
      <c r="G709" s="310"/>
      <c r="H709" s="87" t="s">
        <v>67</v>
      </c>
      <c r="I709" s="223">
        <v>9177736.9499999993</v>
      </c>
      <c r="J709" s="223">
        <f>I709/D708-0.01</f>
        <v>2568.63</v>
      </c>
      <c r="K709" s="223">
        <v>3797</v>
      </c>
    </row>
    <row r="710" spans="1:11" x14ac:dyDescent="0.25">
      <c r="A710" s="310"/>
      <c r="B710" s="310"/>
      <c r="C710" s="333"/>
      <c r="D710" s="312"/>
      <c r="E710" s="312"/>
      <c r="F710" s="313"/>
      <c r="G710" s="310"/>
      <c r="H710" s="87" t="s">
        <v>69</v>
      </c>
      <c r="I710" s="223">
        <v>196403.57</v>
      </c>
      <c r="J710" s="223">
        <f>I710/D708</f>
        <v>54.97</v>
      </c>
      <c r="K710" s="223">
        <v>81</v>
      </c>
    </row>
    <row r="711" spans="1:11" x14ac:dyDescent="0.25">
      <c r="A711" s="310">
        <f>A708+1</f>
        <v>86</v>
      </c>
      <c r="B711" s="310">
        <v>4342</v>
      </c>
      <c r="C711" s="333" t="s">
        <v>146</v>
      </c>
      <c r="D711" s="312">
        <v>4412.1499999999996</v>
      </c>
      <c r="E711" s="312" t="s">
        <v>64</v>
      </c>
      <c r="F711" s="313">
        <v>5</v>
      </c>
      <c r="G711" s="310" t="s">
        <v>65</v>
      </c>
      <c r="H711" s="87" t="s">
        <v>66</v>
      </c>
      <c r="I711" s="223">
        <f>I712+I713</f>
        <v>12160086.77</v>
      </c>
      <c r="J711" s="223">
        <f>J712+J713</f>
        <v>2756.05</v>
      </c>
      <c r="K711" s="223">
        <f>K712+K713</f>
        <v>3878</v>
      </c>
    </row>
    <row r="712" spans="1:11" x14ac:dyDescent="0.25">
      <c r="A712" s="310">
        <v>75</v>
      </c>
      <c r="B712" s="310"/>
      <c r="C712" s="333"/>
      <c r="D712" s="312"/>
      <c r="E712" s="312"/>
      <c r="F712" s="313"/>
      <c r="G712" s="310"/>
      <c r="H712" s="87" t="s">
        <v>67</v>
      </c>
      <c r="I712" s="223">
        <v>11905313.07</v>
      </c>
      <c r="J712" s="223">
        <f>I712/D711+0.01</f>
        <v>2698.31</v>
      </c>
      <c r="K712" s="223">
        <v>3797</v>
      </c>
    </row>
    <row r="713" spans="1:11" x14ac:dyDescent="0.25">
      <c r="A713" s="310"/>
      <c r="B713" s="310"/>
      <c r="C713" s="333"/>
      <c r="D713" s="312"/>
      <c r="E713" s="312"/>
      <c r="F713" s="313"/>
      <c r="G713" s="310"/>
      <c r="H713" s="87" t="s">
        <v>69</v>
      </c>
      <c r="I713" s="223">
        <v>254773.7</v>
      </c>
      <c r="J713" s="223">
        <f>I713/D711</f>
        <v>57.74</v>
      </c>
      <c r="K713" s="223">
        <v>81</v>
      </c>
    </row>
    <row r="714" spans="1:11" ht="15.75" customHeight="1" x14ac:dyDescent="0.25">
      <c r="A714" s="310">
        <f>A711+1</f>
        <v>87</v>
      </c>
      <c r="B714" s="310">
        <v>4343</v>
      </c>
      <c r="C714" s="311" t="s">
        <v>210</v>
      </c>
      <c r="D714" s="312">
        <v>2708.3</v>
      </c>
      <c r="E714" s="312" t="s">
        <v>64</v>
      </c>
      <c r="F714" s="313">
        <v>5</v>
      </c>
      <c r="G714" s="310" t="s">
        <v>65</v>
      </c>
      <c r="H714" s="87" t="s">
        <v>66</v>
      </c>
      <c r="I714" s="223">
        <f>I715</f>
        <v>2362990.17</v>
      </c>
      <c r="J714" s="223">
        <f t="shared" ref="J714:K714" si="28">J715</f>
        <v>872.5</v>
      </c>
      <c r="K714" s="223">
        <f t="shared" si="28"/>
        <v>3670</v>
      </c>
    </row>
    <row r="715" spans="1:11" ht="31.5" customHeight="1" x14ac:dyDescent="0.25">
      <c r="A715" s="310">
        <v>78</v>
      </c>
      <c r="B715" s="310"/>
      <c r="C715" s="311"/>
      <c r="D715" s="310"/>
      <c r="E715" s="312"/>
      <c r="F715" s="313"/>
      <c r="G715" s="310"/>
      <c r="H715" s="87" t="s">
        <v>76</v>
      </c>
      <c r="I715" s="223">
        <f>7876633.9*0.3</f>
        <v>2362990.17</v>
      </c>
      <c r="J715" s="223">
        <f>I715/D714</f>
        <v>872.5</v>
      </c>
      <c r="K715" s="223">
        <v>3670</v>
      </c>
    </row>
    <row r="716" spans="1:11" x14ac:dyDescent="0.25">
      <c r="A716" s="310">
        <f>A714+1</f>
        <v>88</v>
      </c>
      <c r="B716" s="310">
        <v>4344</v>
      </c>
      <c r="C716" s="333" t="s">
        <v>147</v>
      </c>
      <c r="D716" s="312">
        <v>3205.5</v>
      </c>
      <c r="E716" s="312" t="s">
        <v>68</v>
      </c>
      <c r="F716" s="313">
        <v>5</v>
      </c>
      <c r="G716" s="310" t="s">
        <v>65</v>
      </c>
      <c r="H716" s="87" t="s">
        <v>66</v>
      </c>
      <c r="I716" s="223">
        <f>I717+I718</f>
        <v>6209810.6500000004</v>
      </c>
      <c r="J716" s="223">
        <f>J717+J718</f>
        <v>1937.24</v>
      </c>
      <c r="K716" s="223">
        <f>K717+K718</f>
        <v>3878</v>
      </c>
    </row>
    <row r="717" spans="1:11" x14ac:dyDescent="0.25">
      <c r="A717" s="310">
        <v>75</v>
      </c>
      <c r="B717" s="310"/>
      <c r="C717" s="333"/>
      <c r="D717" s="312"/>
      <c r="E717" s="312"/>
      <c r="F717" s="313"/>
      <c r="G717" s="310"/>
      <c r="H717" s="87" t="s">
        <v>67</v>
      </c>
      <c r="I717" s="223">
        <v>6079704.96</v>
      </c>
      <c r="J717" s="223">
        <f>I717/D716</f>
        <v>1896.65</v>
      </c>
      <c r="K717" s="223">
        <v>3797</v>
      </c>
    </row>
    <row r="718" spans="1:11" x14ac:dyDescent="0.25">
      <c r="A718" s="310"/>
      <c r="B718" s="310"/>
      <c r="C718" s="333"/>
      <c r="D718" s="312"/>
      <c r="E718" s="312"/>
      <c r="F718" s="313"/>
      <c r="G718" s="310"/>
      <c r="H718" s="87" t="s">
        <v>69</v>
      </c>
      <c r="I718" s="223">
        <v>130105.69</v>
      </c>
      <c r="J718" s="223">
        <f>I718/D716</f>
        <v>40.590000000000003</v>
      </c>
      <c r="K718" s="223">
        <v>81</v>
      </c>
    </row>
    <row r="719" spans="1:11" x14ac:dyDescent="0.25">
      <c r="A719" s="310">
        <f>A716+1</f>
        <v>89</v>
      </c>
      <c r="B719" s="310">
        <v>3320</v>
      </c>
      <c r="C719" s="333" t="s">
        <v>148</v>
      </c>
      <c r="D719" s="312">
        <v>2666</v>
      </c>
      <c r="E719" s="312" t="s">
        <v>64</v>
      </c>
      <c r="F719" s="313">
        <v>5</v>
      </c>
      <c r="G719" s="310" t="s">
        <v>65</v>
      </c>
      <c r="H719" s="87" t="s">
        <v>66</v>
      </c>
      <c r="I719" s="223">
        <f>I720+I721</f>
        <v>7221900.8600000003</v>
      </c>
      <c r="J719" s="223">
        <f>J720+J721</f>
        <v>2708.89</v>
      </c>
      <c r="K719" s="223">
        <f>K720+K721</f>
        <v>3878</v>
      </c>
    </row>
    <row r="720" spans="1:11" x14ac:dyDescent="0.25">
      <c r="A720" s="310">
        <v>75</v>
      </c>
      <c r="B720" s="310"/>
      <c r="C720" s="333"/>
      <c r="D720" s="312"/>
      <c r="E720" s="312"/>
      <c r="F720" s="313"/>
      <c r="G720" s="310"/>
      <c r="H720" s="87" t="s">
        <v>67</v>
      </c>
      <c r="I720" s="223">
        <v>7070590.2300000004</v>
      </c>
      <c r="J720" s="223">
        <f>I720/D719</f>
        <v>2652.13</v>
      </c>
      <c r="K720" s="223">
        <v>3797</v>
      </c>
    </row>
    <row r="721" spans="1:11" x14ac:dyDescent="0.25">
      <c r="A721" s="310"/>
      <c r="B721" s="310"/>
      <c r="C721" s="333"/>
      <c r="D721" s="312"/>
      <c r="E721" s="312"/>
      <c r="F721" s="313"/>
      <c r="G721" s="310"/>
      <c r="H721" s="87" t="s">
        <v>69</v>
      </c>
      <c r="I721" s="223">
        <v>151310.63</v>
      </c>
      <c r="J721" s="223">
        <f>I721/D719</f>
        <v>56.76</v>
      </c>
      <c r="K721" s="223">
        <v>81</v>
      </c>
    </row>
    <row r="722" spans="1:11" x14ac:dyDescent="0.25">
      <c r="A722" s="310">
        <f>A719+1</f>
        <v>90</v>
      </c>
      <c r="B722" s="310">
        <v>4244</v>
      </c>
      <c r="C722" s="333" t="s">
        <v>445</v>
      </c>
      <c r="D722" s="312">
        <v>9070.6299999999992</v>
      </c>
      <c r="E722" s="312" t="s">
        <v>64</v>
      </c>
      <c r="F722" s="313">
        <v>10</v>
      </c>
      <c r="G722" s="145"/>
      <c r="H722" s="87" t="s">
        <v>66</v>
      </c>
      <c r="I722" s="223">
        <f>I723+I724+I725+I726+I727+I728+I729+I730</f>
        <v>8370242.7699999996</v>
      </c>
      <c r="J722" s="223">
        <f>J723+J724+J725+J726+J727+J728+J729+J730</f>
        <v>922.79</v>
      </c>
      <c r="K722" s="223">
        <f>K723+K724+K725+K726+K727+K728+K729+K730</f>
        <v>1009.68</v>
      </c>
    </row>
    <row r="723" spans="1:11" x14ac:dyDescent="0.25">
      <c r="A723" s="310">
        <v>756</v>
      </c>
      <c r="B723" s="310"/>
      <c r="C723" s="333"/>
      <c r="D723" s="312"/>
      <c r="E723" s="312"/>
      <c r="F723" s="313"/>
      <c r="G723" s="307" t="s">
        <v>170</v>
      </c>
      <c r="H723" s="87" t="s">
        <v>171</v>
      </c>
      <c r="I723" s="223">
        <v>2066092.82</v>
      </c>
      <c r="J723" s="223">
        <f>I723/D722+0.01</f>
        <v>227.79</v>
      </c>
      <c r="K723" s="223">
        <f>2241647/D722</f>
        <v>247.13</v>
      </c>
    </row>
    <row r="724" spans="1:11" x14ac:dyDescent="0.25">
      <c r="A724" s="310">
        <v>757</v>
      </c>
      <c r="B724" s="310"/>
      <c r="C724" s="333"/>
      <c r="D724" s="312"/>
      <c r="E724" s="312"/>
      <c r="F724" s="313"/>
      <c r="G724" s="309"/>
      <c r="H724" s="87" t="s">
        <v>69</v>
      </c>
      <c r="I724" s="223">
        <v>32140.560000000001</v>
      </c>
      <c r="J724" s="223">
        <f>I724/D722</f>
        <v>3.54</v>
      </c>
      <c r="K724" s="223">
        <f>47971/D722</f>
        <v>5.29</v>
      </c>
    </row>
    <row r="725" spans="1:11" x14ac:dyDescent="0.25">
      <c r="A725" s="310"/>
      <c r="B725" s="310"/>
      <c r="C725" s="333"/>
      <c r="D725" s="312"/>
      <c r="E725" s="312"/>
      <c r="F725" s="313"/>
      <c r="G725" s="307" t="s">
        <v>173</v>
      </c>
      <c r="H725" s="87" t="s">
        <v>171</v>
      </c>
      <c r="I725" s="223">
        <v>2054747.44</v>
      </c>
      <c r="J725" s="223">
        <f>I725/D722</f>
        <v>226.53</v>
      </c>
      <c r="K725" s="223">
        <f>2241647/D722</f>
        <v>247.13</v>
      </c>
    </row>
    <row r="726" spans="1:11" x14ac:dyDescent="0.25">
      <c r="A726" s="310"/>
      <c r="B726" s="310"/>
      <c r="C726" s="333"/>
      <c r="D726" s="312"/>
      <c r="E726" s="312"/>
      <c r="F726" s="313"/>
      <c r="G726" s="309"/>
      <c r="H726" s="87" t="s">
        <v>69</v>
      </c>
      <c r="I726" s="223">
        <v>32140.560000000001</v>
      </c>
      <c r="J726" s="223">
        <f>I726/D722</f>
        <v>3.54</v>
      </c>
      <c r="K726" s="223">
        <f>47971/D722</f>
        <v>5.29</v>
      </c>
    </row>
    <row r="727" spans="1:11" x14ac:dyDescent="0.25">
      <c r="A727" s="310"/>
      <c r="B727" s="310"/>
      <c r="C727" s="333"/>
      <c r="D727" s="312"/>
      <c r="E727" s="312"/>
      <c r="F727" s="313"/>
      <c r="G727" s="307" t="s">
        <v>174</v>
      </c>
      <c r="H727" s="87" t="s">
        <v>171</v>
      </c>
      <c r="I727" s="223">
        <v>2054747.44</v>
      </c>
      <c r="J727" s="223">
        <f>I727/D722</f>
        <v>226.53</v>
      </c>
      <c r="K727" s="223">
        <f>2241647/D722</f>
        <v>247.13</v>
      </c>
    </row>
    <row r="728" spans="1:11" x14ac:dyDescent="0.25">
      <c r="A728" s="310"/>
      <c r="B728" s="310"/>
      <c r="C728" s="333"/>
      <c r="D728" s="312"/>
      <c r="E728" s="312"/>
      <c r="F728" s="313"/>
      <c r="G728" s="309"/>
      <c r="H728" s="87" t="s">
        <v>69</v>
      </c>
      <c r="I728" s="223">
        <v>32140.560000000001</v>
      </c>
      <c r="J728" s="223">
        <f>I728/D722</f>
        <v>3.54</v>
      </c>
      <c r="K728" s="223">
        <f>47971/D722</f>
        <v>5.29</v>
      </c>
    </row>
    <row r="729" spans="1:11" x14ac:dyDescent="0.25">
      <c r="A729" s="310"/>
      <c r="B729" s="310"/>
      <c r="C729" s="333"/>
      <c r="D729" s="312"/>
      <c r="E729" s="312"/>
      <c r="F729" s="313"/>
      <c r="G729" s="307" t="s">
        <v>175</v>
      </c>
      <c r="H729" s="87" t="s">
        <v>171</v>
      </c>
      <c r="I729" s="223">
        <v>2066092.82</v>
      </c>
      <c r="J729" s="223">
        <f>I729/D722</f>
        <v>227.78</v>
      </c>
      <c r="K729" s="223">
        <f>2241647/D722</f>
        <v>247.13</v>
      </c>
    </row>
    <row r="730" spans="1:11" x14ac:dyDescent="0.25">
      <c r="A730" s="310"/>
      <c r="B730" s="310"/>
      <c r="C730" s="333"/>
      <c r="D730" s="312"/>
      <c r="E730" s="312"/>
      <c r="F730" s="313"/>
      <c r="G730" s="309"/>
      <c r="H730" s="87" t="s">
        <v>69</v>
      </c>
      <c r="I730" s="223">
        <v>32140.57</v>
      </c>
      <c r="J730" s="223">
        <f>I730/D722</f>
        <v>3.54</v>
      </c>
      <c r="K730" s="223">
        <f>47971/D722</f>
        <v>5.29</v>
      </c>
    </row>
    <row r="731" spans="1:11" ht="15.75" customHeight="1" x14ac:dyDescent="0.25">
      <c r="A731" s="307">
        <f>A722+1</f>
        <v>91</v>
      </c>
      <c r="B731" s="307">
        <v>3172</v>
      </c>
      <c r="C731" s="315" t="s">
        <v>592</v>
      </c>
      <c r="D731" s="318">
        <v>9843.1</v>
      </c>
      <c r="E731" s="307" t="s">
        <v>68</v>
      </c>
      <c r="F731" s="307">
        <v>10</v>
      </c>
      <c r="G731" s="145"/>
      <c r="H731" s="87" t="s">
        <v>66</v>
      </c>
      <c r="I731" s="223">
        <f>I732+I733</f>
        <v>0</v>
      </c>
      <c r="J731" s="223">
        <f t="shared" ref="J731:K731" si="29">J732+J733</f>
        <v>0</v>
      </c>
      <c r="K731" s="223">
        <f t="shared" si="29"/>
        <v>6.56</v>
      </c>
    </row>
    <row r="732" spans="1:11" ht="47.25" customHeight="1" x14ac:dyDescent="0.25">
      <c r="A732" s="308"/>
      <c r="B732" s="308"/>
      <c r="C732" s="317"/>
      <c r="D732" s="319"/>
      <c r="E732" s="308"/>
      <c r="F732" s="308"/>
      <c r="G732" s="148" t="s">
        <v>170</v>
      </c>
      <c r="H732" s="87" t="s">
        <v>168</v>
      </c>
      <c r="I732" s="223">
        <v>0</v>
      </c>
      <c r="J732" s="223">
        <f>I732/D731</f>
        <v>0</v>
      </c>
      <c r="K732" s="223">
        <f>32281/D731</f>
        <v>3.28</v>
      </c>
    </row>
    <row r="733" spans="1:11" ht="47.25" customHeight="1" x14ac:dyDescent="0.25">
      <c r="A733" s="308"/>
      <c r="B733" s="308"/>
      <c r="C733" s="317"/>
      <c r="D733" s="319"/>
      <c r="E733" s="308"/>
      <c r="F733" s="308"/>
      <c r="G733" s="148" t="s">
        <v>173</v>
      </c>
      <c r="H733" s="87" t="s">
        <v>168</v>
      </c>
      <c r="I733" s="223">
        <v>0</v>
      </c>
      <c r="J733" s="223">
        <f>I733/D731</f>
        <v>0</v>
      </c>
      <c r="K733" s="223">
        <f>32281/D731</f>
        <v>3.28</v>
      </c>
    </row>
    <row r="734" spans="1:11" x14ac:dyDescent="0.25">
      <c r="A734" s="307">
        <f>A731+1</f>
        <v>92</v>
      </c>
      <c r="B734" s="307">
        <v>3433</v>
      </c>
      <c r="C734" s="315" t="s">
        <v>361</v>
      </c>
      <c r="D734" s="318">
        <v>3939</v>
      </c>
      <c r="E734" s="318" t="s">
        <v>64</v>
      </c>
      <c r="F734" s="330">
        <v>5</v>
      </c>
      <c r="G734" s="121"/>
      <c r="H734" s="87" t="s">
        <v>66</v>
      </c>
      <c r="I734" s="223">
        <f>I735+I736+I737+I738</f>
        <v>513445.23</v>
      </c>
      <c r="J734" s="223">
        <f>J735+J736+J737+J738</f>
        <v>130.35</v>
      </c>
      <c r="K734" s="223">
        <f>K735+K736+K737+K738</f>
        <v>188</v>
      </c>
    </row>
    <row r="735" spans="1:11" ht="63" x14ac:dyDescent="0.25">
      <c r="A735" s="308"/>
      <c r="B735" s="308"/>
      <c r="C735" s="317"/>
      <c r="D735" s="308"/>
      <c r="E735" s="319"/>
      <c r="F735" s="331"/>
      <c r="G735" s="148" t="s">
        <v>77</v>
      </c>
      <c r="H735" s="87" t="s">
        <v>168</v>
      </c>
      <c r="I735" s="223">
        <v>110574</v>
      </c>
      <c r="J735" s="223">
        <f>I735/D734</f>
        <v>28.07</v>
      </c>
      <c r="K735" s="223">
        <f>26+6</f>
        <v>32</v>
      </c>
    </row>
    <row r="736" spans="1:11" ht="63" x14ac:dyDescent="0.25">
      <c r="A736" s="308"/>
      <c r="B736" s="308"/>
      <c r="C736" s="317"/>
      <c r="D736" s="308"/>
      <c r="E736" s="319"/>
      <c r="F736" s="331"/>
      <c r="G736" s="148" t="s">
        <v>70</v>
      </c>
      <c r="H736" s="87" t="s">
        <v>168</v>
      </c>
      <c r="I736" s="223">
        <v>272587.53999999998</v>
      </c>
      <c r="J736" s="223">
        <f>I736/D734+0.01</f>
        <v>69.209999999999994</v>
      </c>
      <c r="K736" s="223">
        <f>92+6</f>
        <v>98</v>
      </c>
    </row>
    <row r="737" spans="1:11" ht="63" x14ac:dyDescent="0.25">
      <c r="A737" s="308"/>
      <c r="B737" s="308"/>
      <c r="C737" s="317"/>
      <c r="D737" s="308"/>
      <c r="E737" s="319"/>
      <c r="F737" s="331"/>
      <c r="G737" s="148" t="s">
        <v>71</v>
      </c>
      <c r="H737" s="87" t="s">
        <v>168</v>
      </c>
      <c r="I737" s="223">
        <v>68463.350000000006</v>
      </c>
      <c r="J737" s="223">
        <f>I737/D734</f>
        <v>17.38</v>
      </c>
      <c r="K737" s="223">
        <f>21+8</f>
        <v>29</v>
      </c>
    </row>
    <row r="738" spans="1:11" ht="63" x14ac:dyDescent="0.25">
      <c r="A738" s="308"/>
      <c r="B738" s="308"/>
      <c r="C738" s="317"/>
      <c r="D738" s="308"/>
      <c r="E738" s="319"/>
      <c r="F738" s="331"/>
      <c r="G738" s="148" t="s">
        <v>72</v>
      </c>
      <c r="H738" s="87" t="s">
        <v>168</v>
      </c>
      <c r="I738" s="223">
        <v>61820.34</v>
      </c>
      <c r="J738" s="223">
        <f>I738/D734</f>
        <v>15.69</v>
      </c>
      <c r="K738" s="223">
        <f>22+7</f>
        <v>29</v>
      </c>
    </row>
    <row r="739" spans="1:11" x14ac:dyDescent="0.25">
      <c r="A739" s="310">
        <f>A734+1</f>
        <v>93</v>
      </c>
      <c r="B739" s="310">
        <v>3173</v>
      </c>
      <c r="C739" s="333" t="s">
        <v>149</v>
      </c>
      <c r="D739" s="312">
        <v>2633.8</v>
      </c>
      <c r="E739" s="312" t="s">
        <v>64</v>
      </c>
      <c r="F739" s="313">
        <v>5</v>
      </c>
      <c r="G739" s="310" t="s">
        <v>65</v>
      </c>
      <c r="H739" s="87" t="s">
        <v>66</v>
      </c>
      <c r="I739" s="223">
        <f>I740+I741</f>
        <v>6454686.9900000002</v>
      </c>
      <c r="J739" s="223">
        <f>J740+J741</f>
        <v>2450.71</v>
      </c>
      <c r="K739" s="223">
        <f>K740+K741</f>
        <v>3878</v>
      </c>
    </row>
    <row r="740" spans="1:11" x14ac:dyDescent="0.25">
      <c r="A740" s="310">
        <v>75</v>
      </c>
      <c r="B740" s="310"/>
      <c r="C740" s="333"/>
      <c r="D740" s="312"/>
      <c r="E740" s="312"/>
      <c r="F740" s="313"/>
      <c r="G740" s="310"/>
      <c r="H740" s="87" t="s">
        <v>67</v>
      </c>
      <c r="I740" s="223">
        <v>6319450.7400000002</v>
      </c>
      <c r="J740" s="223">
        <f>I740/D739-0.01</f>
        <v>2399.36</v>
      </c>
      <c r="K740" s="223">
        <v>3797</v>
      </c>
    </row>
    <row r="741" spans="1:11" x14ac:dyDescent="0.25">
      <c r="A741" s="310"/>
      <c r="B741" s="310"/>
      <c r="C741" s="333"/>
      <c r="D741" s="312"/>
      <c r="E741" s="312"/>
      <c r="F741" s="313"/>
      <c r="G741" s="310"/>
      <c r="H741" s="87" t="s">
        <v>69</v>
      </c>
      <c r="I741" s="223">
        <v>135236.25</v>
      </c>
      <c r="J741" s="223">
        <f>I741/D739</f>
        <v>51.35</v>
      </c>
      <c r="K741" s="223">
        <v>81</v>
      </c>
    </row>
    <row r="742" spans="1:11" x14ac:dyDescent="0.25">
      <c r="A742" s="310">
        <f>A739+1</f>
        <v>94</v>
      </c>
      <c r="B742" s="310">
        <v>4250</v>
      </c>
      <c r="C742" s="333" t="s">
        <v>536</v>
      </c>
      <c r="D742" s="312">
        <v>5742.5</v>
      </c>
      <c r="E742" s="312" t="s">
        <v>64</v>
      </c>
      <c r="F742" s="313">
        <v>5</v>
      </c>
      <c r="G742" s="310" t="s">
        <v>74</v>
      </c>
      <c r="H742" s="87" t="s">
        <v>66</v>
      </c>
      <c r="I742" s="223">
        <f>I743</f>
        <v>134815</v>
      </c>
      <c r="J742" s="223">
        <f>J743</f>
        <v>23.48</v>
      </c>
      <c r="K742" s="223">
        <f>K743</f>
        <v>24</v>
      </c>
    </row>
    <row r="743" spans="1:11" ht="63" x14ac:dyDescent="0.25">
      <c r="A743" s="310"/>
      <c r="B743" s="310"/>
      <c r="C743" s="333"/>
      <c r="D743" s="312"/>
      <c r="E743" s="312"/>
      <c r="F743" s="313"/>
      <c r="G743" s="310"/>
      <c r="H743" s="87" t="s">
        <v>168</v>
      </c>
      <c r="I743" s="223">
        <v>134815</v>
      </c>
      <c r="J743" s="223">
        <f>I743/D742</f>
        <v>23.48</v>
      </c>
      <c r="K743" s="223">
        <f>22+2</f>
        <v>24</v>
      </c>
    </row>
    <row r="744" spans="1:11" ht="15.75" customHeight="1" x14ac:dyDescent="0.25">
      <c r="A744" s="307">
        <f>A742+1</f>
        <v>95</v>
      </c>
      <c r="B744" s="307">
        <v>3141</v>
      </c>
      <c r="C744" s="315" t="s">
        <v>212</v>
      </c>
      <c r="D744" s="318">
        <v>8978.6</v>
      </c>
      <c r="E744" s="307" t="s">
        <v>64</v>
      </c>
      <c r="F744" s="307">
        <v>10</v>
      </c>
      <c r="G744" s="145"/>
      <c r="H744" s="87" t="s">
        <v>66</v>
      </c>
      <c r="I744" s="223">
        <f>I745+I746</f>
        <v>0</v>
      </c>
      <c r="J744" s="223">
        <f>J745+J746</f>
        <v>0</v>
      </c>
      <c r="K744" s="223">
        <f>K745+K746</f>
        <v>7.2</v>
      </c>
    </row>
    <row r="745" spans="1:11" ht="47.25" customHeight="1" x14ac:dyDescent="0.25">
      <c r="A745" s="308"/>
      <c r="B745" s="308"/>
      <c r="C745" s="317"/>
      <c r="D745" s="319"/>
      <c r="E745" s="308"/>
      <c r="F745" s="308"/>
      <c r="G745" s="148" t="s">
        <v>170</v>
      </c>
      <c r="H745" s="87" t="s">
        <v>168</v>
      </c>
      <c r="I745" s="223">
        <v>0</v>
      </c>
      <c r="J745" s="223">
        <f>I745/D744</f>
        <v>0</v>
      </c>
      <c r="K745" s="223">
        <f>32281/D744</f>
        <v>3.6</v>
      </c>
    </row>
    <row r="746" spans="1:11" ht="47.25" customHeight="1" x14ac:dyDescent="0.25">
      <c r="A746" s="308"/>
      <c r="B746" s="308"/>
      <c r="C746" s="317"/>
      <c r="D746" s="319"/>
      <c r="E746" s="308"/>
      <c r="F746" s="308"/>
      <c r="G746" s="148" t="s">
        <v>173</v>
      </c>
      <c r="H746" s="87" t="s">
        <v>168</v>
      </c>
      <c r="I746" s="223">
        <v>0</v>
      </c>
      <c r="J746" s="223">
        <f>I746/D744</f>
        <v>0</v>
      </c>
      <c r="K746" s="223">
        <f>32281/D744</f>
        <v>3.6</v>
      </c>
    </row>
    <row r="747" spans="1:11" ht="15.75" customHeight="1" x14ac:dyDescent="0.25">
      <c r="A747" s="310">
        <f>A744+1</f>
        <v>96</v>
      </c>
      <c r="B747" s="310">
        <v>4303</v>
      </c>
      <c r="C747" s="311" t="s">
        <v>733</v>
      </c>
      <c r="D747" s="312">
        <v>13539.46</v>
      </c>
      <c r="E747" s="312" t="s">
        <v>64</v>
      </c>
      <c r="F747" s="313">
        <v>10</v>
      </c>
      <c r="G747" s="310" t="s">
        <v>65</v>
      </c>
      <c r="H747" s="87" t="s">
        <v>66</v>
      </c>
      <c r="I747" s="223">
        <f>I748+I749</f>
        <v>4443922.59</v>
      </c>
      <c r="J747" s="223">
        <f>J748+J749</f>
        <v>328.22</v>
      </c>
      <c r="K747" s="223">
        <f>K748+K749</f>
        <v>2492</v>
      </c>
    </row>
    <row r="748" spans="1:11" ht="15.75" customHeight="1" x14ac:dyDescent="0.25">
      <c r="A748" s="310">
        <v>77</v>
      </c>
      <c r="B748" s="310"/>
      <c r="C748" s="311"/>
      <c r="D748" s="310"/>
      <c r="E748" s="312"/>
      <c r="F748" s="313"/>
      <c r="G748" s="310"/>
      <c r="H748" s="87" t="s">
        <v>67</v>
      </c>
      <c r="I748" s="223">
        <v>4350815.1500000004</v>
      </c>
      <c r="J748" s="223">
        <f>I748/D747</f>
        <v>321.33999999999997</v>
      </c>
      <c r="K748" s="223">
        <v>2440</v>
      </c>
    </row>
    <row r="749" spans="1:11" ht="15.75" customHeight="1" x14ac:dyDescent="0.25">
      <c r="A749" s="310"/>
      <c r="B749" s="310"/>
      <c r="C749" s="311"/>
      <c r="D749" s="310"/>
      <c r="E749" s="312"/>
      <c r="F749" s="313"/>
      <c r="G749" s="310"/>
      <c r="H749" s="87" t="s">
        <v>69</v>
      </c>
      <c r="I749" s="223">
        <v>93107.44</v>
      </c>
      <c r="J749" s="223">
        <f>I749/D747</f>
        <v>6.88</v>
      </c>
      <c r="K749" s="223">
        <v>52</v>
      </c>
    </row>
    <row r="750" spans="1:11" ht="15.75" customHeight="1" x14ac:dyDescent="0.25">
      <c r="A750" s="307">
        <f>A747+1</f>
        <v>97</v>
      </c>
      <c r="B750" s="307">
        <v>4122</v>
      </c>
      <c r="C750" s="315" t="s">
        <v>593</v>
      </c>
      <c r="D750" s="318">
        <v>3489.9</v>
      </c>
      <c r="E750" s="307" t="s">
        <v>64</v>
      </c>
      <c r="F750" s="307">
        <v>10</v>
      </c>
      <c r="G750" s="145"/>
      <c r="H750" s="87" t="s">
        <v>66</v>
      </c>
      <c r="I750" s="223">
        <f>I751+I752</f>
        <v>0</v>
      </c>
      <c r="J750" s="223">
        <f t="shared" ref="J750:K750" si="30">J751+J752</f>
        <v>0</v>
      </c>
      <c r="K750" s="223">
        <f t="shared" si="30"/>
        <v>18.5</v>
      </c>
    </row>
    <row r="751" spans="1:11" ht="47.25" customHeight="1" x14ac:dyDescent="0.25">
      <c r="A751" s="308"/>
      <c r="B751" s="308"/>
      <c r="C751" s="317"/>
      <c r="D751" s="319"/>
      <c r="E751" s="308"/>
      <c r="F751" s="308"/>
      <c r="G751" s="148" t="s">
        <v>170</v>
      </c>
      <c r="H751" s="87" t="s">
        <v>168</v>
      </c>
      <c r="I751" s="223">
        <v>0</v>
      </c>
      <c r="J751" s="223">
        <f>I751/D750</f>
        <v>0</v>
      </c>
      <c r="K751" s="223">
        <f>32281/D750</f>
        <v>9.25</v>
      </c>
    </row>
    <row r="752" spans="1:11" ht="47.25" customHeight="1" x14ac:dyDescent="0.25">
      <c r="A752" s="308"/>
      <c r="B752" s="308"/>
      <c r="C752" s="317"/>
      <c r="D752" s="319"/>
      <c r="E752" s="308"/>
      <c r="F752" s="308"/>
      <c r="G752" s="148" t="s">
        <v>173</v>
      </c>
      <c r="H752" s="87" t="s">
        <v>168</v>
      </c>
      <c r="I752" s="223">
        <v>0</v>
      </c>
      <c r="J752" s="223">
        <f>I752/D750</f>
        <v>0</v>
      </c>
      <c r="K752" s="223">
        <f>32281/D750</f>
        <v>9.25</v>
      </c>
    </row>
    <row r="753" spans="1:11" x14ac:dyDescent="0.25">
      <c r="A753" s="310">
        <f>A750+1</f>
        <v>98</v>
      </c>
      <c r="B753" s="310">
        <v>3378</v>
      </c>
      <c r="C753" s="333" t="s">
        <v>150</v>
      </c>
      <c r="D753" s="312">
        <v>3969.6</v>
      </c>
      <c r="E753" s="312" t="s">
        <v>68</v>
      </c>
      <c r="F753" s="313">
        <v>5</v>
      </c>
      <c r="G753" s="310" t="s">
        <v>65</v>
      </c>
      <c r="H753" s="87" t="s">
        <v>66</v>
      </c>
      <c r="I753" s="223">
        <f>I754+I755</f>
        <v>6240218.6799999997</v>
      </c>
      <c r="J753" s="223">
        <f>J754+J755</f>
        <v>1572</v>
      </c>
      <c r="K753" s="223">
        <f>K754+K755</f>
        <v>3878</v>
      </c>
    </row>
    <row r="754" spans="1:11" x14ac:dyDescent="0.25">
      <c r="A754" s="310">
        <v>75</v>
      </c>
      <c r="B754" s="310"/>
      <c r="C754" s="333"/>
      <c r="D754" s="312"/>
      <c r="E754" s="312"/>
      <c r="F754" s="313"/>
      <c r="G754" s="310"/>
      <c r="H754" s="87" t="s">
        <v>67</v>
      </c>
      <c r="I754" s="223">
        <v>6109475.9000000004</v>
      </c>
      <c r="J754" s="223">
        <f>I754/D753-0.01</f>
        <v>1539.06</v>
      </c>
      <c r="K754" s="223">
        <v>3797</v>
      </c>
    </row>
    <row r="755" spans="1:11" x14ac:dyDescent="0.25">
      <c r="A755" s="310"/>
      <c r="B755" s="310"/>
      <c r="C755" s="333"/>
      <c r="D755" s="312"/>
      <c r="E755" s="312"/>
      <c r="F755" s="313"/>
      <c r="G755" s="310"/>
      <c r="H755" s="87" t="s">
        <v>69</v>
      </c>
      <c r="I755" s="223">
        <v>130742.78</v>
      </c>
      <c r="J755" s="223">
        <f>I755/D753</f>
        <v>32.94</v>
      </c>
      <c r="K755" s="223">
        <v>81</v>
      </c>
    </row>
    <row r="756" spans="1:11" x14ac:dyDescent="0.25">
      <c r="A756" s="310">
        <f>A753+1</f>
        <v>99</v>
      </c>
      <c r="B756" s="310">
        <v>3381</v>
      </c>
      <c r="C756" s="333" t="s">
        <v>151</v>
      </c>
      <c r="D756" s="312">
        <v>1492.8</v>
      </c>
      <c r="E756" s="312" t="s">
        <v>68</v>
      </c>
      <c r="F756" s="313">
        <v>5</v>
      </c>
      <c r="G756" s="310" t="s">
        <v>65</v>
      </c>
      <c r="H756" s="87" t="s">
        <v>66</v>
      </c>
      <c r="I756" s="223">
        <f>I757+I758</f>
        <v>4572495.8499999996</v>
      </c>
      <c r="J756" s="223">
        <f>J757+J758</f>
        <v>3063.03</v>
      </c>
      <c r="K756" s="223">
        <f>K757+K758</f>
        <v>3878</v>
      </c>
    </row>
    <row r="757" spans="1:11" x14ac:dyDescent="0.25">
      <c r="A757" s="310">
        <v>75</v>
      </c>
      <c r="B757" s="310"/>
      <c r="C757" s="333"/>
      <c r="D757" s="312"/>
      <c r="E757" s="312"/>
      <c r="F757" s="313"/>
      <c r="G757" s="310"/>
      <c r="H757" s="87" t="s">
        <v>67</v>
      </c>
      <c r="I757" s="223">
        <v>4476694.59</v>
      </c>
      <c r="J757" s="223">
        <f>I757/D756-0.01</f>
        <v>2998.85</v>
      </c>
      <c r="K757" s="223">
        <v>3797</v>
      </c>
    </row>
    <row r="758" spans="1:11" x14ac:dyDescent="0.25">
      <c r="A758" s="310"/>
      <c r="B758" s="310"/>
      <c r="C758" s="333"/>
      <c r="D758" s="312"/>
      <c r="E758" s="312"/>
      <c r="F758" s="313"/>
      <c r="G758" s="310"/>
      <c r="H758" s="87" t="s">
        <v>69</v>
      </c>
      <c r="I758" s="223">
        <v>95801.26</v>
      </c>
      <c r="J758" s="223">
        <f>I758/D756</f>
        <v>64.180000000000007</v>
      </c>
      <c r="K758" s="223">
        <v>81</v>
      </c>
    </row>
    <row r="759" spans="1:11" ht="15.75" customHeight="1" x14ac:dyDescent="0.25">
      <c r="A759" s="310">
        <f>A756+1</f>
        <v>100</v>
      </c>
      <c r="B759" s="310">
        <v>3398</v>
      </c>
      <c r="C759" s="333" t="s">
        <v>152</v>
      </c>
      <c r="D759" s="312">
        <v>2693</v>
      </c>
      <c r="E759" s="312" t="s">
        <v>68</v>
      </c>
      <c r="F759" s="313">
        <v>5</v>
      </c>
      <c r="G759" s="310" t="s">
        <v>65</v>
      </c>
      <c r="H759" s="87" t="s">
        <v>66</v>
      </c>
      <c r="I759" s="223">
        <f>I760+I761</f>
        <v>8989079.2100000009</v>
      </c>
      <c r="J759" s="223">
        <f>J760+J761</f>
        <v>3337.94</v>
      </c>
      <c r="K759" s="223">
        <f>K760+K761</f>
        <v>4448</v>
      </c>
    </row>
    <row r="760" spans="1:11" ht="15.75" customHeight="1" x14ac:dyDescent="0.25">
      <c r="A760" s="310">
        <v>78</v>
      </c>
      <c r="B760" s="310"/>
      <c r="C760" s="333"/>
      <c r="D760" s="310"/>
      <c r="E760" s="312"/>
      <c r="F760" s="313"/>
      <c r="G760" s="310"/>
      <c r="H760" s="87" t="s">
        <v>67</v>
      </c>
      <c r="I760" s="223">
        <v>8800743.3000000007</v>
      </c>
      <c r="J760" s="223">
        <f>I760/D759-0.01</f>
        <v>3268</v>
      </c>
      <c r="K760" s="223">
        <v>4355</v>
      </c>
    </row>
    <row r="761" spans="1:11" ht="15.75" customHeight="1" x14ac:dyDescent="0.25">
      <c r="A761" s="310"/>
      <c r="B761" s="310"/>
      <c r="C761" s="333"/>
      <c r="D761" s="310"/>
      <c r="E761" s="312"/>
      <c r="F761" s="313"/>
      <c r="G761" s="310"/>
      <c r="H761" s="87" t="s">
        <v>69</v>
      </c>
      <c r="I761" s="223">
        <f>I760*0.0214</f>
        <v>188335.91</v>
      </c>
      <c r="J761" s="223">
        <f>I761/D759</f>
        <v>69.94</v>
      </c>
      <c r="K761" s="223">
        <v>93</v>
      </c>
    </row>
    <row r="762" spans="1:11" ht="15.75" customHeight="1" x14ac:dyDescent="0.25">
      <c r="A762" s="310">
        <f>A759+1</f>
        <v>101</v>
      </c>
      <c r="B762" s="310">
        <v>3403</v>
      </c>
      <c r="C762" s="333" t="s">
        <v>594</v>
      </c>
      <c r="D762" s="312">
        <v>812.03</v>
      </c>
      <c r="E762" s="312" t="s">
        <v>68</v>
      </c>
      <c r="F762" s="313">
        <v>3</v>
      </c>
      <c r="G762" s="310" t="s">
        <v>74</v>
      </c>
      <c r="H762" s="87" t="s">
        <v>66</v>
      </c>
      <c r="I762" s="223">
        <f>I763</f>
        <v>57041.8</v>
      </c>
      <c r="J762" s="223">
        <f>J763</f>
        <v>70.25</v>
      </c>
      <c r="K762" s="223">
        <f>K763</f>
        <v>73</v>
      </c>
    </row>
    <row r="763" spans="1:11" ht="47.25" customHeight="1" x14ac:dyDescent="0.25">
      <c r="A763" s="310"/>
      <c r="B763" s="310"/>
      <c r="C763" s="333"/>
      <c r="D763" s="312"/>
      <c r="E763" s="312"/>
      <c r="F763" s="313"/>
      <c r="G763" s="310"/>
      <c r="H763" s="87" t="s">
        <v>168</v>
      </c>
      <c r="I763" s="223">
        <v>57041.8</v>
      </c>
      <c r="J763" s="223">
        <f>I763/D762</f>
        <v>70.25</v>
      </c>
      <c r="K763" s="223">
        <f>60+13</f>
        <v>73</v>
      </c>
    </row>
    <row r="764" spans="1:11" ht="15.75" customHeight="1" x14ac:dyDescent="0.25">
      <c r="A764" s="310">
        <f>A762+1</f>
        <v>102</v>
      </c>
      <c r="B764" s="310">
        <v>3404</v>
      </c>
      <c r="C764" s="333" t="s">
        <v>595</v>
      </c>
      <c r="D764" s="312">
        <v>1165.78</v>
      </c>
      <c r="E764" s="312" t="s">
        <v>73</v>
      </c>
      <c r="F764" s="313">
        <v>3</v>
      </c>
      <c r="G764" s="310" t="s">
        <v>74</v>
      </c>
      <c r="H764" s="87" t="s">
        <v>66</v>
      </c>
      <c r="I764" s="223">
        <f>I765</f>
        <v>47956.52</v>
      </c>
      <c r="J764" s="223">
        <f>J765</f>
        <v>41.14</v>
      </c>
      <c r="K764" s="223">
        <f>K765</f>
        <v>47</v>
      </c>
    </row>
    <row r="765" spans="1:11" ht="47.25" customHeight="1" x14ac:dyDescent="0.25">
      <c r="A765" s="310"/>
      <c r="B765" s="310"/>
      <c r="C765" s="333"/>
      <c r="D765" s="312"/>
      <c r="E765" s="312"/>
      <c r="F765" s="313"/>
      <c r="G765" s="310"/>
      <c r="H765" s="87" t="s">
        <v>168</v>
      </c>
      <c r="I765" s="223">
        <v>47956.52</v>
      </c>
      <c r="J765" s="223">
        <f>I765/D764</f>
        <v>41.14</v>
      </c>
      <c r="K765" s="223">
        <f>34+13</f>
        <v>47</v>
      </c>
    </row>
    <row r="766" spans="1:11" ht="15.75" customHeight="1" x14ac:dyDescent="0.25">
      <c r="A766" s="307">
        <f>A764+1</f>
        <v>103</v>
      </c>
      <c r="B766" s="307">
        <v>3406</v>
      </c>
      <c r="C766" s="371" t="s">
        <v>528</v>
      </c>
      <c r="D766" s="318">
        <v>1229.96</v>
      </c>
      <c r="E766" s="397" t="s">
        <v>73</v>
      </c>
      <c r="F766" s="397">
        <v>3</v>
      </c>
      <c r="G766" s="121"/>
      <c r="H766" s="87" t="s">
        <v>66</v>
      </c>
      <c r="I766" s="223">
        <f>I767+I768+I769+I770+I771+I772+I773+I774</f>
        <v>7706906.7999999998</v>
      </c>
      <c r="J766" s="223">
        <f>J767+J768+J769+J770+J771+J772+J773+J774</f>
        <v>6265.98</v>
      </c>
      <c r="K766" s="223">
        <f>K767+K768+K769+K770+K771+K772+K773+K774</f>
        <v>17763</v>
      </c>
    </row>
    <row r="767" spans="1:11" x14ac:dyDescent="0.25">
      <c r="A767" s="308"/>
      <c r="B767" s="308"/>
      <c r="C767" s="372"/>
      <c r="D767" s="319"/>
      <c r="E767" s="398"/>
      <c r="F767" s="398"/>
      <c r="G767" s="307" t="s">
        <v>65</v>
      </c>
      <c r="H767" s="87" t="s">
        <v>67</v>
      </c>
      <c r="I767" s="223">
        <v>2623214.83</v>
      </c>
      <c r="J767" s="223">
        <f>I767/D766+0.01</f>
        <v>2132.77</v>
      </c>
      <c r="K767" s="223">
        <v>5036</v>
      </c>
    </row>
    <row r="768" spans="1:11" x14ac:dyDescent="0.25">
      <c r="A768" s="308"/>
      <c r="B768" s="308"/>
      <c r="C768" s="372"/>
      <c r="D768" s="319"/>
      <c r="E768" s="398"/>
      <c r="F768" s="398"/>
      <c r="G768" s="309"/>
      <c r="H768" s="87" t="s">
        <v>69</v>
      </c>
      <c r="I768" s="223">
        <v>81204.83</v>
      </c>
      <c r="J768" s="223">
        <f>I768/D766</f>
        <v>66.02</v>
      </c>
      <c r="K768" s="223">
        <v>108</v>
      </c>
    </row>
    <row r="769" spans="1:11" x14ac:dyDescent="0.25">
      <c r="A769" s="308"/>
      <c r="B769" s="308"/>
      <c r="C769" s="372"/>
      <c r="D769" s="319"/>
      <c r="E769" s="398"/>
      <c r="F769" s="398"/>
      <c r="G769" s="307" t="s">
        <v>75</v>
      </c>
      <c r="H769" s="87" t="s">
        <v>67</v>
      </c>
      <c r="I769" s="223">
        <v>1252372.95</v>
      </c>
      <c r="J769" s="223">
        <f>I769/D766</f>
        <v>1018.22</v>
      </c>
      <c r="K769" s="223">
        <v>2361</v>
      </c>
    </row>
    <row r="770" spans="1:11" x14ac:dyDescent="0.25">
      <c r="A770" s="308"/>
      <c r="B770" s="308"/>
      <c r="C770" s="372"/>
      <c r="D770" s="319"/>
      <c r="E770" s="398"/>
      <c r="F770" s="398"/>
      <c r="G770" s="308"/>
      <c r="H770" s="87" t="s">
        <v>69</v>
      </c>
      <c r="I770" s="223">
        <v>39422.6</v>
      </c>
      <c r="J770" s="223">
        <f>I770/D766</f>
        <v>32.049999999999997</v>
      </c>
      <c r="K770" s="223">
        <v>51</v>
      </c>
    </row>
    <row r="771" spans="1:11" x14ac:dyDescent="0.25">
      <c r="A771" s="308"/>
      <c r="B771" s="308"/>
      <c r="C771" s="372"/>
      <c r="D771" s="319"/>
      <c r="E771" s="398"/>
      <c r="F771" s="398"/>
      <c r="G771" s="308"/>
      <c r="H771" s="87" t="s">
        <v>179</v>
      </c>
      <c r="I771" s="223">
        <v>3433893.38</v>
      </c>
      <c r="J771" s="223">
        <f>I771/D766+0.01</f>
        <v>2791.88</v>
      </c>
      <c r="K771" s="223">
        <v>5738</v>
      </c>
    </row>
    <row r="772" spans="1:11" x14ac:dyDescent="0.25">
      <c r="A772" s="308"/>
      <c r="B772" s="308"/>
      <c r="C772" s="372"/>
      <c r="D772" s="319"/>
      <c r="E772" s="398"/>
      <c r="F772" s="398"/>
      <c r="G772" s="309"/>
      <c r="H772" s="87" t="s">
        <v>69</v>
      </c>
      <c r="I772" s="223">
        <v>99999</v>
      </c>
      <c r="J772" s="223">
        <f>I772/D766</f>
        <v>81.3</v>
      </c>
      <c r="K772" s="223">
        <v>123</v>
      </c>
    </row>
    <row r="773" spans="1:11" x14ac:dyDescent="0.25">
      <c r="A773" s="308"/>
      <c r="B773" s="308"/>
      <c r="C773" s="372"/>
      <c r="D773" s="319"/>
      <c r="E773" s="398"/>
      <c r="F773" s="398"/>
      <c r="G773" s="307" t="s">
        <v>79</v>
      </c>
      <c r="H773" s="87" t="s">
        <v>67</v>
      </c>
      <c r="I773" s="223">
        <v>153170.96</v>
      </c>
      <c r="J773" s="223">
        <f>I773/D766</f>
        <v>124.53</v>
      </c>
      <c r="K773" s="223">
        <v>4255</v>
      </c>
    </row>
    <row r="774" spans="1:11" x14ac:dyDescent="0.25">
      <c r="A774" s="309"/>
      <c r="B774" s="309"/>
      <c r="C774" s="396"/>
      <c r="D774" s="329"/>
      <c r="E774" s="399"/>
      <c r="F774" s="399"/>
      <c r="G774" s="309"/>
      <c r="H774" s="87" t="s">
        <v>69</v>
      </c>
      <c r="I774" s="223">
        <v>23628.25</v>
      </c>
      <c r="J774" s="223">
        <f>I774/D766</f>
        <v>19.21</v>
      </c>
      <c r="K774" s="223">
        <v>91</v>
      </c>
    </row>
    <row r="775" spans="1:11" ht="15.75" customHeight="1" x14ac:dyDescent="0.25">
      <c r="A775" s="310">
        <f>A766+1</f>
        <v>104</v>
      </c>
      <c r="B775" s="310">
        <v>3409</v>
      </c>
      <c r="C775" s="333" t="s">
        <v>596</v>
      </c>
      <c r="D775" s="312">
        <v>1702.64</v>
      </c>
      <c r="E775" s="312" t="s">
        <v>68</v>
      </c>
      <c r="F775" s="313">
        <v>4</v>
      </c>
      <c r="G775" s="310" t="s">
        <v>74</v>
      </c>
      <c r="H775" s="87" t="s">
        <v>66</v>
      </c>
      <c r="I775" s="223">
        <f>I776</f>
        <v>66529.759999999995</v>
      </c>
      <c r="J775" s="223">
        <f>J776</f>
        <v>39.07</v>
      </c>
      <c r="K775" s="223">
        <f>K776</f>
        <v>47</v>
      </c>
    </row>
    <row r="776" spans="1:11" ht="47.25" customHeight="1" x14ac:dyDescent="0.25">
      <c r="A776" s="310"/>
      <c r="B776" s="310"/>
      <c r="C776" s="333"/>
      <c r="D776" s="312"/>
      <c r="E776" s="312"/>
      <c r="F776" s="313"/>
      <c r="G776" s="310"/>
      <c r="H776" s="87" t="s">
        <v>168</v>
      </c>
      <c r="I776" s="223">
        <v>66529.759999999995</v>
      </c>
      <c r="J776" s="223">
        <f>I776/D775</f>
        <v>39.07</v>
      </c>
      <c r="K776" s="223">
        <f>34+13</f>
        <v>47</v>
      </c>
    </row>
    <row r="777" spans="1:11" ht="15.75" customHeight="1" x14ac:dyDescent="0.25">
      <c r="A777" s="310">
        <f>A775+1</f>
        <v>105</v>
      </c>
      <c r="B777" s="310">
        <v>3411</v>
      </c>
      <c r="C777" s="333" t="s">
        <v>597</v>
      </c>
      <c r="D777" s="312">
        <v>1713.6</v>
      </c>
      <c r="E777" s="312" t="s">
        <v>68</v>
      </c>
      <c r="F777" s="313">
        <v>4</v>
      </c>
      <c r="G777" s="310" t="s">
        <v>74</v>
      </c>
      <c r="H777" s="87" t="s">
        <v>66</v>
      </c>
      <c r="I777" s="223">
        <f>I778</f>
        <v>64484.66</v>
      </c>
      <c r="J777" s="223">
        <f>J778</f>
        <v>37.630000000000003</v>
      </c>
      <c r="K777" s="223">
        <f>K778</f>
        <v>47</v>
      </c>
    </row>
    <row r="778" spans="1:11" ht="47.25" customHeight="1" x14ac:dyDescent="0.25">
      <c r="A778" s="310"/>
      <c r="B778" s="310"/>
      <c r="C778" s="333"/>
      <c r="D778" s="312"/>
      <c r="E778" s="312"/>
      <c r="F778" s="313"/>
      <c r="G778" s="310"/>
      <c r="H778" s="87" t="s">
        <v>168</v>
      </c>
      <c r="I778" s="223">
        <v>64484.66</v>
      </c>
      <c r="J778" s="223">
        <f>I778/D777</f>
        <v>37.630000000000003</v>
      </c>
      <c r="K778" s="223">
        <f>34+13</f>
        <v>47</v>
      </c>
    </row>
    <row r="779" spans="1:11" ht="15.75" customHeight="1" x14ac:dyDescent="0.25">
      <c r="A779" s="307">
        <f>A777+1</f>
        <v>106</v>
      </c>
      <c r="B779" s="307">
        <v>3416</v>
      </c>
      <c r="C779" s="371" t="s">
        <v>484</v>
      </c>
      <c r="D779" s="318">
        <v>887</v>
      </c>
      <c r="E779" s="397" t="s">
        <v>68</v>
      </c>
      <c r="F779" s="397">
        <v>3</v>
      </c>
      <c r="G779" s="307" t="s">
        <v>75</v>
      </c>
      <c r="H779" s="87" t="s">
        <v>66</v>
      </c>
      <c r="I779" s="223">
        <f>I780+I781</f>
        <v>1947000.45</v>
      </c>
      <c r="J779" s="223">
        <f>J780+J781</f>
        <v>2195.04</v>
      </c>
      <c r="K779" s="223">
        <f>K780+K781</f>
        <v>2283</v>
      </c>
    </row>
    <row r="780" spans="1:11" x14ac:dyDescent="0.25">
      <c r="A780" s="308"/>
      <c r="B780" s="308"/>
      <c r="C780" s="372"/>
      <c r="D780" s="319"/>
      <c r="E780" s="398"/>
      <c r="F780" s="398"/>
      <c r="G780" s="308"/>
      <c r="H780" s="87" t="s">
        <v>67</v>
      </c>
      <c r="I780" s="223">
        <v>1932737.49</v>
      </c>
      <c r="J780" s="223">
        <f>I780/D779</f>
        <v>2178.96</v>
      </c>
      <c r="K780" s="223">
        <v>2235</v>
      </c>
    </row>
    <row r="781" spans="1:11" x14ac:dyDescent="0.25">
      <c r="A781" s="308"/>
      <c r="B781" s="308"/>
      <c r="C781" s="372"/>
      <c r="D781" s="319"/>
      <c r="E781" s="398"/>
      <c r="F781" s="398"/>
      <c r="G781" s="308"/>
      <c r="H781" s="87" t="s">
        <v>69</v>
      </c>
      <c r="I781" s="223">
        <v>14262.96</v>
      </c>
      <c r="J781" s="223">
        <f>I781/D779</f>
        <v>16.079999999999998</v>
      </c>
      <c r="K781" s="223">
        <v>48</v>
      </c>
    </row>
    <row r="782" spans="1:11" ht="15.75" customHeight="1" x14ac:dyDescent="0.25">
      <c r="A782" s="307">
        <f>A779+1</f>
        <v>107</v>
      </c>
      <c r="B782" s="307">
        <v>3417</v>
      </c>
      <c r="C782" s="371" t="s">
        <v>485</v>
      </c>
      <c r="D782" s="318">
        <v>921.5</v>
      </c>
      <c r="E782" s="397" t="s">
        <v>68</v>
      </c>
      <c r="F782" s="397">
        <v>3</v>
      </c>
      <c r="G782" s="307" t="s">
        <v>75</v>
      </c>
      <c r="H782" s="87" t="s">
        <v>66</v>
      </c>
      <c r="I782" s="223">
        <f>I783+I784</f>
        <v>1857478.12</v>
      </c>
      <c r="J782" s="223">
        <f>J783+J784</f>
        <v>2015.71</v>
      </c>
      <c r="K782" s="223">
        <f>K783+K784</f>
        <v>2283</v>
      </c>
    </row>
    <row r="783" spans="1:11" x14ac:dyDescent="0.25">
      <c r="A783" s="308"/>
      <c r="B783" s="308"/>
      <c r="C783" s="372"/>
      <c r="D783" s="319"/>
      <c r="E783" s="398"/>
      <c r="F783" s="398"/>
      <c r="G783" s="308"/>
      <c r="H783" s="87" t="s">
        <v>67</v>
      </c>
      <c r="I783" s="223">
        <v>1842660.4</v>
      </c>
      <c r="J783" s="223">
        <f>I783/D782</f>
        <v>1999.63</v>
      </c>
      <c r="K783" s="223">
        <v>2235</v>
      </c>
    </row>
    <row r="784" spans="1:11" x14ac:dyDescent="0.25">
      <c r="A784" s="308"/>
      <c r="B784" s="308"/>
      <c r="C784" s="372"/>
      <c r="D784" s="319"/>
      <c r="E784" s="398"/>
      <c r="F784" s="398"/>
      <c r="G784" s="308"/>
      <c r="H784" s="87" t="s">
        <v>69</v>
      </c>
      <c r="I784" s="223">
        <v>14817.72</v>
      </c>
      <c r="J784" s="223">
        <f>I784/D782</f>
        <v>16.079999999999998</v>
      </c>
      <c r="K784" s="223">
        <v>48</v>
      </c>
    </row>
    <row r="785" spans="1:11" ht="15.75" customHeight="1" x14ac:dyDescent="0.25">
      <c r="A785" s="307">
        <f>A782+1</f>
        <v>108</v>
      </c>
      <c r="B785" s="307">
        <v>4314</v>
      </c>
      <c r="C785" s="315" t="s">
        <v>598</v>
      </c>
      <c r="D785" s="318">
        <v>4047.51</v>
      </c>
      <c r="E785" s="307" t="s">
        <v>68</v>
      </c>
      <c r="F785" s="307">
        <v>9</v>
      </c>
      <c r="G785" s="145"/>
      <c r="H785" s="87" t="s">
        <v>66</v>
      </c>
      <c r="I785" s="223">
        <f>I786</f>
        <v>0</v>
      </c>
      <c r="J785" s="223">
        <f t="shared" ref="J785:K785" si="31">J786</f>
        <v>0</v>
      </c>
      <c r="K785" s="223">
        <f t="shared" si="31"/>
        <v>7.98</v>
      </c>
    </row>
    <row r="786" spans="1:11" ht="47.25" customHeight="1" x14ac:dyDescent="0.25">
      <c r="A786" s="308"/>
      <c r="B786" s="308"/>
      <c r="C786" s="317"/>
      <c r="D786" s="319"/>
      <c r="E786" s="308"/>
      <c r="F786" s="308"/>
      <c r="G786" s="148" t="s">
        <v>170</v>
      </c>
      <c r="H786" s="87" t="s">
        <v>168</v>
      </c>
      <c r="I786" s="223">
        <v>0</v>
      </c>
      <c r="J786" s="223">
        <f>I786/D785</f>
        <v>0</v>
      </c>
      <c r="K786" s="223">
        <f>32281/D785</f>
        <v>7.98</v>
      </c>
    </row>
    <row r="787" spans="1:11" ht="15.75" customHeight="1" x14ac:dyDescent="0.25">
      <c r="A787" s="307">
        <f>A785+1</f>
        <v>109</v>
      </c>
      <c r="B787" s="307">
        <v>4105</v>
      </c>
      <c r="C787" s="315" t="s">
        <v>599</v>
      </c>
      <c r="D787" s="318">
        <v>5483.6</v>
      </c>
      <c r="E787" s="307" t="s">
        <v>68</v>
      </c>
      <c r="F787" s="307">
        <v>10</v>
      </c>
      <c r="G787" s="145"/>
      <c r="H787" s="87" t="s">
        <v>66</v>
      </c>
      <c r="I787" s="223">
        <f>I788</f>
        <v>0</v>
      </c>
      <c r="J787" s="223">
        <f t="shared" ref="J787:K787" si="32">J788</f>
        <v>0</v>
      </c>
      <c r="K787" s="223">
        <f t="shared" si="32"/>
        <v>5.89</v>
      </c>
    </row>
    <row r="788" spans="1:11" ht="47.25" customHeight="1" x14ac:dyDescent="0.25">
      <c r="A788" s="308"/>
      <c r="B788" s="308"/>
      <c r="C788" s="317"/>
      <c r="D788" s="319"/>
      <c r="E788" s="308"/>
      <c r="F788" s="308"/>
      <c r="G788" s="148" t="s">
        <v>170</v>
      </c>
      <c r="H788" s="87" t="s">
        <v>168</v>
      </c>
      <c r="I788" s="223">
        <v>0</v>
      </c>
      <c r="J788" s="223">
        <f>I788/D787</f>
        <v>0</v>
      </c>
      <c r="K788" s="223">
        <f>32281/D787</f>
        <v>5.89</v>
      </c>
    </row>
    <row r="789" spans="1:11" ht="15.75" customHeight="1" x14ac:dyDescent="0.25">
      <c r="A789" s="310">
        <f>A787+1</f>
        <v>110</v>
      </c>
      <c r="B789" s="310">
        <v>3421</v>
      </c>
      <c r="C789" s="311" t="s">
        <v>734</v>
      </c>
      <c r="D789" s="312">
        <v>5494.6</v>
      </c>
      <c r="E789" s="312" t="s">
        <v>68</v>
      </c>
      <c r="F789" s="313">
        <v>10</v>
      </c>
      <c r="G789" s="307" t="s">
        <v>170</v>
      </c>
      <c r="H789" s="87" t="s">
        <v>66</v>
      </c>
      <c r="I789" s="223">
        <f>I790</f>
        <v>2049566.4</v>
      </c>
      <c r="J789" s="223">
        <f>J790</f>
        <v>373.01</v>
      </c>
      <c r="K789" s="223">
        <f>K790</f>
        <v>447.49</v>
      </c>
    </row>
    <row r="790" spans="1:11" ht="15.75" customHeight="1" x14ac:dyDescent="0.25">
      <c r="A790" s="310">
        <v>756</v>
      </c>
      <c r="B790" s="310"/>
      <c r="C790" s="311"/>
      <c r="D790" s="312"/>
      <c r="E790" s="312"/>
      <c r="F790" s="313"/>
      <c r="G790" s="308"/>
      <c r="H790" s="87" t="s">
        <v>171</v>
      </c>
      <c r="I790" s="223">
        <v>2049566.4</v>
      </c>
      <c r="J790" s="223">
        <f>I790/D789</f>
        <v>373.01</v>
      </c>
      <c r="K790" s="223">
        <f>2458756/D789</f>
        <v>447.49</v>
      </c>
    </row>
    <row r="791" spans="1:11" x14ac:dyDescent="0.25">
      <c r="A791" s="310">
        <f>A789+1</f>
        <v>111</v>
      </c>
      <c r="B791" s="310">
        <v>2466</v>
      </c>
      <c r="C791" s="333" t="s">
        <v>537</v>
      </c>
      <c r="D791" s="312">
        <v>2580.6999999999998</v>
      </c>
      <c r="E791" s="312" t="s">
        <v>64</v>
      </c>
      <c r="F791" s="313">
        <v>5</v>
      </c>
      <c r="G791" s="310" t="s">
        <v>74</v>
      </c>
      <c r="H791" s="87" t="s">
        <v>66</v>
      </c>
      <c r="I791" s="223">
        <f>I792</f>
        <v>96130.6</v>
      </c>
      <c r="J791" s="223">
        <f>J792</f>
        <v>37.25</v>
      </c>
      <c r="K791" s="223">
        <f>K792</f>
        <v>47</v>
      </c>
    </row>
    <row r="792" spans="1:11" ht="63" x14ac:dyDescent="0.25">
      <c r="A792" s="310"/>
      <c r="B792" s="310"/>
      <c r="C792" s="333"/>
      <c r="D792" s="312"/>
      <c r="E792" s="312"/>
      <c r="F792" s="313"/>
      <c r="G792" s="310"/>
      <c r="H792" s="87" t="s">
        <v>168</v>
      </c>
      <c r="I792" s="223">
        <v>96130.6</v>
      </c>
      <c r="J792" s="223">
        <f>I792/D791</f>
        <v>37.25</v>
      </c>
      <c r="K792" s="223">
        <f>34+13</f>
        <v>47</v>
      </c>
    </row>
    <row r="793" spans="1:11" x14ac:dyDescent="0.25">
      <c r="A793" s="310">
        <f>A791+1</f>
        <v>112</v>
      </c>
      <c r="B793" s="310">
        <v>3011</v>
      </c>
      <c r="C793" s="333" t="s">
        <v>452</v>
      </c>
      <c r="D793" s="312">
        <v>13855.7</v>
      </c>
      <c r="E793" s="312" t="s">
        <v>68</v>
      </c>
      <c r="F793" s="313">
        <v>9</v>
      </c>
      <c r="G793" s="145"/>
      <c r="H793" s="87" t="s">
        <v>66</v>
      </c>
      <c r="I793" s="223">
        <f>I794+I795+I796+I797+I798+I799+I800+I801+I802+I803+I804+I805+I806+I807+I808+I809+I810+I811</f>
        <v>9221665.6799999997</v>
      </c>
      <c r="J793" s="223">
        <f t="shared" ref="J793:K793" si="33">J794+J795+J796+J797+J798+J799+J800+J801+J802+J803+J804+J805+J806+J807+J808+J809+J810+J811</f>
        <v>665.55</v>
      </c>
      <c r="K793" s="223">
        <f t="shared" si="33"/>
        <v>1005.46</v>
      </c>
    </row>
    <row r="794" spans="1:11" ht="63" x14ac:dyDescent="0.25">
      <c r="A794" s="310"/>
      <c r="B794" s="310"/>
      <c r="C794" s="333"/>
      <c r="D794" s="312"/>
      <c r="E794" s="312"/>
      <c r="F794" s="313"/>
      <c r="G794" s="307" t="s">
        <v>170</v>
      </c>
      <c r="H794" s="87" t="s">
        <v>168</v>
      </c>
      <c r="I794" s="223">
        <v>16500</v>
      </c>
      <c r="J794" s="223">
        <f>I794/D793</f>
        <v>1.19</v>
      </c>
      <c r="K794" s="223">
        <f>32281/D793</f>
        <v>2.33</v>
      </c>
    </row>
    <row r="795" spans="1:11" x14ac:dyDescent="0.25">
      <c r="A795" s="310">
        <v>756</v>
      </c>
      <c r="B795" s="310"/>
      <c r="C795" s="333"/>
      <c r="D795" s="312"/>
      <c r="E795" s="312"/>
      <c r="F795" s="313"/>
      <c r="G795" s="308"/>
      <c r="H795" s="87" t="s">
        <v>171</v>
      </c>
      <c r="I795" s="223">
        <v>1479100.48</v>
      </c>
      <c r="J795" s="223">
        <f>I795/D793</f>
        <v>106.75</v>
      </c>
      <c r="K795" s="223">
        <f>2241647/D793-0.01</f>
        <v>161.78</v>
      </c>
    </row>
    <row r="796" spans="1:11" x14ac:dyDescent="0.25">
      <c r="A796" s="310">
        <v>757</v>
      </c>
      <c r="B796" s="310"/>
      <c r="C796" s="333"/>
      <c r="D796" s="312"/>
      <c r="E796" s="312"/>
      <c r="F796" s="313"/>
      <c r="G796" s="309"/>
      <c r="H796" s="87" t="s">
        <v>69</v>
      </c>
      <c r="I796" s="223">
        <v>31652.75</v>
      </c>
      <c r="J796" s="223">
        <f>I796/D793</f>
        <v>2.2799999999999998</v>
      </c>
      <c r="K796" s="223">
        <f>47971/D793</f>
        <v>3.46</v>
      </c>
    </row>
    <row r="797" spans="1:11" ht="63" x14ac:dyDescent="0.25">
      <c r="A797" s="310"/>
      <c r="B797" s="310"/>
      <c r="C797" s="333"/>
      <c r="D797" s="312"/>
      <c r="E797" s="312"/>
      <c r="F797" s="313"/>
      <c r="G797" s="307" t="s">
        <v>173</v>
      </c>
      <c r="H797" s="87" t="s">
        <v>168</v>
      </c>
      <c r="I797" s="223">
        <v>16500</v>
      </c>
      <c r="J797" s="223">
        <f>I794/D793</f>
        <v>1.19</v>
      </c>
      <c r="K797" s="223">
        <f>32281/D793</f>
        <v>2.33</v>
      </c>
    </row>
    <row r="798" spans="1:11" ht="15.75" customHeight="1" x14ac:dyDescent="0.25">
      <c r="A798" s="310"/>
      <c r="B798" s="310"/>
      <c r="C798" s="333"/>
      <c r="D798" s="312"/>
      <c r="E798" s="312"/>
      <c r="F798" s="313"/>
      <c r="G798" s="308"/>
      <c r="H798" s="87" t="s">
        <v>171</v>
      </c>
      <c r="I798" s="223">
        <v>1500062.34</v>
      </c>
      <c r="J798" s="223">
        <f>I798/D793+0.01</f>
        <v>108.27</v>
      </c>
      <c r="K798" s="223">
        <f>2241647/D793</f>
        <v>161.79</v>
      </c>
    </row>
    <row r="799" spans="1:11" x14ac:dyDescent="0.25">
      <c r="A799" s="310"/>
      <c r="B799" s="310"/>
      <c r="C799" s="333"/>
      <c r="D799" s="312"/>
      <c r="E799" s="312"/>
      <c r="F799" s="313"/>
      <c r="G799" s="309"/>
      <c r="H799" s="87" t="s">
        <v>69</v>
      </c>
      <c r="I799" s="223">
        <v>32101.33</v>
      </c>
      <c r="J799" s="223">
        <f>I799/D793</f>
        <v>2.3199999999999998</v>
      </c>
      <c r="K799" s="223">
        <f>47971/D793</f>
        <v>3.46</v>
      </c>
    </row>
    <row r="800" spans="1:11" ht="63" x14ac:dyDescent="0.25">
      <c r="A800" s="310"/>
      <c r="B800" s="310"/>
      <c r="C800" s="333"/>
      <c r="D800" s="312"/>
      <c r="E800" s="312"/>
      <c r="F800" s="313"/>
      <c r="G800" s="307" t="s">
        <v>174</v>
      </c>
      <c r="H800" s="87" t="s">
        <v>168</v>
      </c>
      <c r="I800" s="223">
        <v>16500</v>
      </c>
      <c r="J800" s="223">
        <f>I794/D793</f>
        <v>1.19</v>
      </c>
      <c r="K800" s="223">
        <f>32281/D793</f>
        <v>2.33</v>
      </c>
    </row>
    <row r="801" spans="1:11" ht="15.75" customHeight="1" x14ac:dyDescent="0.25">
      <c r="A801" s="310"/>
      <c r="B801" s="310"/>
      <c r="C801" s="333"/>
      <c r="D801" s="312"/>
      <c r="E801" s="312"/>
      <c r="F801" s="313"/>
      <c r="G801" s="308"/>
      <c r="H801" s="87" t="s">
        <v>171</v>
      </c>
      <c r="I801" s="223">
        <v>1500062.33</v>
      </c>
      <c r="J801" s="223">
        <f>I801/D793</f>
        <v>108.26</v>
      </c>
      <c r="K801" s="223">
        <f>2241647/D793</f>
        <v>161.79</v>
      </c>
    </row>
    <row r="802" spans="1:11" x14ac:dyDescent="0.25">
      <c r="A802" s="310"/>
      <c r="B802" s="310"/>
      <c r="C802" s="333"/>
      <c r="D802" s="312"/>
      <c r="E802" s="312"/>
      <c r="F802" s="313"/>
      <c r="G802" s="309"/>
      <c r="H802" s="87" t="s">
        <v>69</v>
      </c>
      <c r="I802" s="223">
        <v>32101.33</v>
      </c>
      <c r="J802" s="223">
        <f>I802/D793</f>
        <v>2.3199999999999998</v>
      </c>
      <c r="K802" s="223">
        <f>47971/D793</f>
        <v>3.46</v>
      </c>
    </row>
    <row r="803" spans="1:11" ht="63" x14ac:dyDescent="0.25">
      <c r="A803" s="310"/>
      <c r="B803" s="310"/>
      <c r="C803" s="333"/>
      <c r="D803" s="312"/>
      <c r="E803" s="312"/>
      <c r="F803" s="313"/>
      <c r="G803" s="307" t="s">
        <v>175</v>
      </c>
      <c r="H803" s="87" t="s">
        <v>168</v>
      </c>
      <c r="I803" s="223">
        <v>16500</v>
      </c>
      <c r="J803" s="223">
        <f>I794/D793</f>
        <v>1.19</v>
      </c>
      <c r="K803" s="223">
        <f>32281/D793</f>
        <v>2.33</v>
      </c>
    </row>
    <row r="804" spans="1:11" x14ac:dyDescent="0.25">
      <c r="A804" s="310"/>
      <c r="B804" s="310"/>
      <c r="C804" s="333"/>
      <c r="D804" s="312"/>
      <c r="E804" s="312"/>
      <c r="F804" s="313"/>
      <c r="G804" s="308"/>
      <c r="H804" s="87" t="s">
        <v>171</v>
      </c>
      <c r="I804" s="223">
        <v>1500062.33</v>
      </c>
      <c r="J804" s="223">
        <f>I804/D793+0.01</f>
        <v>108.27</v>
      </c>
      <c r="K804" s="223">
        <f>2241647/D793</f>
        <v>161.79</v>
      </c>
    </row>
    <row r="805" spans="1:11" x14ac:dyDescent="0.25">
      <c r="A805" s="310"/>
      <c r="B805" s="310"/>
      <c r="C805" s="333"/>
      <c r="D805" s="312"/>
      <c r="E805" s="312"/>
      <c r="F805" s="313"/>
      <c r="G805" s="309"/>
      <c r="H805" s="87" t="s">
        <v>69</v>
      </c>
      <c r="I805" s="223">
        <v>32101.33</v>
      </c>
      <c r="J805" s="223">
        <f>I805/D793</f>
        <v>2.3199999999999998</v>
      </c>
      <c r="K805" s="223">
        <f>47971/D793</f>
        <v>3.46</v>
      </c>
    </row>
    <row r="806" spans="1:11" ht="63" x14ac:dyDescent="0.25">
      <c r="A806" s="310"/>
      <c r="B806" s="310"/>
      <c r="C806" s="333"/>
      <c r="D806" s="312"/>
      <c r="E806" s="312"/>
      <c r="F806" s="313"/>
      <c r="G806" s="307" t="s">
        <v>172</v>
      </c>
      <c r="H806" s="87" t="s">
        <v>168</v>
      </c>
      <c r="I806" s="223">
        <v>16500</v>
      </c>
      <c r="J806" s="223">
        <f>I794/D793</f>
        <v>1.19</v>
      </c>
      <c r="K806" s="223">
        <f>32281/D793</f>
        <v>2.33</v>
      </c>
    </row>
    <row r="807" spans="1:11" x14ac:dyDescent="0.25">
      <c r="A807" s="310"/>
      <c r="B807" s="310"/>
      <c r="C807" s="333"/>
      <c r="D807" s="312"/>
      <c r="E807" s="312"/>
      <c r="F807" s="313"/>
      <c r="G807" s="308"/>
      <c r="H807" s="87" t="s">
        <v>171</v>
      </c>
      <c r="I807" s="223">
        <v>1479100.48</v>
      </c>
      <c r="J807" s="223">
        <f>I807/D793</f>
        <v>106.75</v>
      </c>
      <c r="K807" s="223">
        <f>2241647/D793</f>
        <v>161.79</v>
      </c>
    </row>
    <row r="808" spans="1:11" x14ac:dyDescent="0.25">
      <c r="A808" s="310"/>
      <c r="B808" s="310"/>
      <c r="C808" s="333"/>
      <c r="D808" s="312"/>
      <c r="E808" s="312"/>
      <c r="F808" s="313"/>
      <c r="G808" s="309"/>
      <c r="H808" s="87" t="s">
        <v>69</v>
      </c>
      <c r="I808" s="223">
        <v>31652.76</v>
      </c>
      <c r="J808" s="223">
        <f>I808/D793</f>
        <v>2.2799999999999998</v>
      </c>
      <c r="K808" s="223">
        <f>47971/D793</f>
        <v>3.46</v>
      </c>
    </row>
    <row r="809" spans="1:11" ht="63" x14ac:dyDescent="0.25">
      <c r="A809" s="310"/>
      <c r="B809" s="310"/>
      <c r="C809" s="333"/>
      <c r="D809" s="312"/>
      <c r="E809" s="312"/>
      <c r="F809" s="313"/>
      <c r="G809" s="307" t="s">
        <v>440</v>
      </c>
      <c r="H809" s="87" t="s">
        <v>168</v>
      </c>
      <c r="I809" s="223">
        <v>16500</v>
      </c>
      <c r="J809" s="223">
        <f>I794/D793</f>
        <v>1.19</v>
      </c>
      <c r="K809" s="223">
        <f>32281/D793</f>
        <v>2.33</v>
      </c>
    </row>
    <row r="810" spans="1:11" x14ac:dyDescent="0.25">
      <c r="A810" s="310"/>
      <c r="B810" s="310"/>
      <c r="C810" s="333"/>
      <c r="D810" s="312"/>
      <c r="E810" s="312"/>
      <c r="F810" s="313"/>
      <c r="G810" s="308"/>
      <c r="H810" s="87" t="s">
        <v>171</v>
      </c>
      <c r="I810" s="223">
        <v>1473142.96</v>
      </c>
      <c r="J810" s="223">
        <f>I810/D793-0.01</f>
        <v>106.31</v>
      </c>
      <c r="K810" s="223">
        <f>2241647/D793-0.01</f>
        <v>161.78</v>
      </c>
    </row>
    <row r="811" spans="1:11" x14ac:dyDescent="0.25">
      <c r="A811" s="310"/>
      <c r="B811" s="310"/>
      <c r="C811" s="333"/>
      <c r="D811" s="312"/>
      <c r="E811" s="312"/>
      <c r="F811" s="313"/>
      <c r="G811" s="309"/>
      <c r="H811" s="87" t="s">
        <v>69</v>
      </c>
      <c r="I811" s="223">
        <v>31525.26</v>
      </c>
      <c r="J811" s="223">
        <f>I811/D793</f>
        <v>2.2799999999999998</v>
      </c>
      <c r="K811" s="223">
        <f>47971/D793</f>
        <v>3.46</v>
      </c>
    </row>
    <row r="812" spans="1:11" ht="15.75" customHeight="1" x14ac:dyDescent="0.25">
      <c r="A812" s="307">
        <f>A793+1</f>
        <v>113</v>
      </c>
      <c r="B812" s="307">
        <v>2255</v>
      </c>
      <c r="C812" s="315" t="s">
        <v>600</v>
      </c>
      <c r="D812" s="318">
        <v>4870</v>
      </c>
      <c r="E812" s="307" t="s">
        <v>64</v>
      </c>
      <c r="F812" s="307">
        <v>10</v>
      </c>
      <c r="G812" s="145"/>
      <c r="H812" s="87" t="s">
        <v>66</v>
      </c>
      <c r="I812" s="223">
        <f>I813+I814</f>
        <v>0</v>
      </c>
      <c r="J812" s="223">
        <f t="shared" ref="J812:K812" si="34">J813+J814</f>
        <v>0</v>
      </c>
      <c r="K812" s="223">
        <f t="shared" si="34"/>
        <v>13.26</v>
      </c>
    </row>
    <row r="813" spans="1:11" ht="47.25" customHeight="1" x14ac:dyDescent="0.25">
      <c r="A813" s="308"/>
      <c r="B813" s="308"/>
      <c r="C813" s="317"/>
      <c r="D813" s="319"/>
      <c r="E813" s="308"/>
      <c r="F813" s="308"/>
      <c r="G813" s="148" t="s">
        <v>170</v>
      </c>
      <c r="H813" s="87" t="s">
        <v>168</v>
      </c>
      <c r="I813" s="223">
        <v>0</v>
      </c>
      <c r="J813" s="223">
        <f>I813/D812</f>
        <v>0</v>
      </c>
      <c r="K813" s="223">
        <f>32281/D812</f>
        <v>6.63</v>
      </c>
    </row>
    <row r="814" spans="1:11" ht="47.25" customHeight="1" x14ac:dyDescent="0.25">
      <c r="A814" s="308"/>
      <c r="B814" s="308"/>
      <c r="C814" s="317"/>
      <c r="D814" s="319"/>
      <c r="E814" s="308"/>
      <c r="F814" s="308"/>
      <c r="G814" s="148" t="s">
        <v>173</v>
      </c>
      <c r="H814" s="87" t="s">
        <v>168</v>
      </c>
      <c r="I814" s="223">
        <v>0</v>
      </c>
      <c r="J814" s="223">
        <f>I814/D812</f>
        <v>0</v>
      </c>
      <c r="K814" s="223">
        <f>32281/D812</f>
        <v>6.63</v>
      </c>
    </row>
    <row r="815" spans="1:11" x14ac:dyDescent="0.25">
      <c r="A815" s="310">
        <f>A812+1</f>
        <v>114</v>
      </c>
      <c r="B815" s="310">
        <v>2257</v>
      </c>
      <c r="C815" s="333" t="s">
        <v>538</v>
      </c>
      <c r="D815" s="312">
        <v>4524.2</v>
      </c>
      <c r="E815" s="312" t="s">
        <v>68</v>
      </c>
      <c r="F815" s="313">
        <v>5</v>
      </c>
      <c r="G815" s="310" t="s">
        <v>74</v>
      </c>
      <c r="H815" s="87" t="s">
        <v>66</v>
      </c>
      <c r="I815" s="223">
        <f>I816+I817+I818</f>
        <v>1093388.23</v>
      </c>
      <c r="J815" s="223">
        <f>J816+J817+J818</f>
        <v>241.68</v>
      </c>
      <c r="K815" s="223">
        <f>K816+K817+K818</f>
        <v>431</v>
      </c>
    </row>
    <row r="816" spans="1:11" ht="63" x14ac:dyDescent="0.25">
      <c r="A816" s="310"/>
      <c r="B816" s="310"/>
      <c r="C816" s="333"/>
      <c r="D816" s="312"/>
      <c r="E816" s="312"/>
      <c r="F816" s="313"/>
      <c r="G816" s="310"/>
      <c r="H816" s="87" t="s">
        <v>168</v>
      </c>
      <c r="I816" s="223">
        <v>108580.8</v>
      </c>
      <c r="J816" s="223">
        <f>I816/D815</f>
        <v>24</v>
      </c>
      <c r="K816" s="223">
        <f>22+2</f>
        <v>24</v>
      </c>
    </row>
    <row r="817" spans="1:11" x14ac:dyDescent="0.25">
      <c r="A817" s="310"/>
      <c r="B817" s="310"/>
      <c r="C817" s="333"/>
      <c r="D817" s="312"/>
      <c r="E817" s="312"/>
      <c r="F817" s="313"/>
      <c r="G817" s="310"/>
      <c r="H817" s="87" t="s">
        <v>67</v>
      </c>
      <c r="I817" s="223">
        <v>964174.1</v>
      </c>
      <c r="J817" s="223">
        <f>I817/D815+0.01</f>
        <v>213.12</v>
      </c>
      <c r="K817" s="223">
        <v>398</v>
      </c>
    </row>
    <row r="818" spans="1:11" x14ac:dyDescent="0.25">
      <c r="A818" s="310"/>
      <c r="B818" s="310"/>
      <c r="C818" s="333"/>
      <c r="D818" s="312"/>
      <c r="E818" s="312"/>
      <c r="F818" s="313"/>
      <c r="G818" s="310"/>
      <c r="H818" s="87" t="s">
        <v>69</v>
      </c>
      <c r="I818" s="223">
        <v>20633.330000000002</v>
      </c>
      <c r="J818" s="223">
        <f>I818/D815</f>
        <v>4.5599999999999996</v>
      </c>
      <c r="K818" s="223">
        <v>9</v>
      </c>
    </row>
    <row r="819" spans="1:11" x14ac:dyDescent="0.25">
      <c r="A819" s="310">
        <f>A815+1</f>
        <v>115</v>
      </c>
      <c r="B819" s="310">
        <v>2473</v>
      </c>
      <c r="C819" s="333" t="s">
        <v>430</v>
      </c>
      <c r="D819" s="312">
        <v>3525.89</v>
      </c>
      <c r="E819" s="312" t="s">
        <v>64</v>
      </c>
      <c r="F819" s="313">
        <v>5</v>
      </c>
      <c r="G819" s="310" t="s">
        <v>74</v>
      </c>
      <c r="H819" s="87" t="s">
        <v>66</v>
      </c>
      <c r="I819" s="223">
        <f>I820+I821+I822</f>
        <v>782337.14</v>
      </c>
      <c r="J819" s="223">
        <f>J820+J821+J822</f>
        <v>221.88</v>
      </c>
      <c r="K819" s="223">
        <f>K820+K821+K822</f>
        <v>431</v>
      </c>
    </row>
    <row r="820" spans="1:11" ht="63" x14ac:dyDescent="0.25">
      <c r="A820" s="310"/>
      <c r="B820" s="310"/>
      <c r="C820" s="333"/>
      <c r="D820" s="312"/>
      <c r="E820" s="312"/>
      <c r="F820" s="313"/>
      <c r="G820" s="310"/>
      <c r="H820" s="87" t="s">
        <v>168</v>
      </c>
      <c r="I820" s="223">
        <v>84621.6</v>
      </c>
      <c r="J820" s="223">
        <f>I820/D819</f>
        <v>24</v>
      </c>
      <c r="K820" s="223">
        <f>22+2</f>
        <v>24</v>
      </c>
    </row>
    <row r="821" spans="1:11" x14ac:dyDescent="0.25">
      <c r="A821" s="310"/>
      <c r="B821" s="310"/>
      <c r="C821" s="333"/>
      <c r="D821" s="312"/>
      <c r="E821" s="312"/>
      <c r="F821" s="313"/>
      <c r="G821" s="310"/>
      <c r="H821" s="87" t="s">
        <v>67</v>
      </c>
      <c r="I821" s="223">
        <v>683097.26</v>
      </c>
      <c r="J821" s="223">
        <f>I821/D819-0.01</f>
        <v>193.73</v>
      </c>
      <c r="K821" s="223">
        <v>398</v>
      </c>
    </row>
    <row r="822" spans="1:11" x14ac:dyDescent="0.25">
      <c r="A822" s="310"/>
      <c r="B822" s="310"/>
      <c r="C822" s="333"/>
      <c r="D822" s="312"/>
      <c r="E822" s="312"/>
      <c r="F822" s="313"/>
      <c r="G822" s="310"/>
      <c r="H822" s="87" t="s">
        <v>69</v>
      </c>
      <c r="I822" s="223">
        <v>14618.28</v>
      </c>
      <c r="J822" s="223">
        <f>I822/D819</f>
        <v>4.1500000000000004</v>
      </c>
      <c r="K822" s="223">
        <v>9</v>
      </c>
    </row>
    <row r="823" spans="1:11" ht="15.75" customHeight="1" x14ac:dyDescent="0.25">
      <c r="A823" s="310">
        <f>A819+1</f>
        <v>116</v>
      </c>
      <c r="B823" s="310">
        <v>2980</v>
      </c>
      <c r="C823" s="311" t="s">
        <v>735</v>
      </c>
      <c r="D823" s="312">
        <v>3135.7</v>
      </c>
      <c r="E823" s="312" t="s">
        <v>68</v>
      </c>
      <c r="F823" s="313">
        <v>5</v>
      </c>
      <c r="G823" s="310" t="s">
        <v>65</v>
      </c>
      <c r="H823" s="87" t="s">
        <v>66</v>
      </c>
      <c r="I823" s="223">
        <f>I824+I825</f>
        <v>3977487.73</v>
      </c>
      <c r="J823" s="223">
        <f>J824+J825</f>
        <v>1268.45</v>
      </c>
      <c r="K823" s="223">
        <f>K824+K825</f>
        <v>3878</v>
      </c>
    </row>
    <row r="824" spans="1:11" ht="15.75" customHeight="1" x14ac:dyDescent="0.25">
      <c r="A824" s="310">
        <v>77</v>
      </c>
      <c r="B824" s="310"/>
      <c r="C824" s="311"/>
      <c r="D824" s="310"/>
      <c r="E824" s="312"/>
      <c r="F824" s="313"/>
      <c r="G824" s="310"/>
      <c r="H824" s="87" t="s">
        <v>67</v>
      </c>
      <c r="I824" s="223">
        <v>3894152.86</v>
      </c>
      <c r="J824" s="223">
        <f>I824/D823-0.01</f>
        <v>1241.8699999999999</v>
      </c>
      <c r="K824" s="223">
        <v>3797</v>
      </c>
    </row>
    <row r="825" spans="1:11" ht="15.75" customHeight="1" x14ac:dyDescent="0.25">
      <c r="A825" s="310"/>
      <c r="B825" s="310"/>
      <c r="C825" s="311"/>
      <c r="D825" s="310"/>
      <c r="E825" s="312"/>
      <c r="F825" s="313"/>
      <c r="G825" s="310"/>
      <c r="H825" s="87" t="s">
        <v>69</v>
      </c>
      <c r="I825" s="223">
        <v>83334.87</v>
      </c>
      <c r="J825" s="223">
        <f>I825/D823</f>
        <v>26.58</v>
      </c>
      <c r="K825" s="223">
        <v>81</v>
      </c>
    </row>
    <row r="826" spans="1:11" ht="15.75" customHeight="1" x14ac:dyDescent="0.25">
      <c r="A826" s="307">
        <f>A823+1</f>
        <v>117</v>
      </c>
      <c r="B826" s="307">
        <v>3048</v>
      </c>
      <c r="C826" s="315" t="s">
        <v>601</v>
      </c>
      <c r="D826" s="318">
        <v>11324.3</v>
      </c>
      <c r="E826" s="307" t="s">
        <v>64</v>
      </c>
      <c r="F826" s="307">
        <v>10</v>
      </c>
      <c r="G826" s="145"/>
      <c r="H826" s="87" t="s">
        <v>66</v>
      </c>
      <c r="I826" s="223">
        <f>I827+I828</f>
        <v>0</v>
      </c>
      <c r="J826" s="223">
        <f>J827+J828</f>
        <v>0</v>
      </c>
      <c r="K826" s="223">
        <f>K827+K828</f>
        <v>5.7</v>
      </c>
    </row>
    <row r="827" spans="1:11" ht="47.25" customHeight="1" x14ac:dyDescent="0.25">
      <c r="A827" s="308"/>
      <c r="B827" s="308"/>
      <c r="C827" s="317"/>
      <c r="D827" s="319"/>
      <c r="E827" s="308"/>
      <c r="F827" s="308"/>
      <c r="G827" s="148" t="s">
        <v>175</v>
      </c>
      <c r="H827" s="87" t="s">
        <v>168</v>
      </c>
      <c r="I827" s="223">
        <v>0</v>
      </c>
      <c r="J827" s="223">
        <f>I827/D826</f>
        <v>0</v>
      </c>
      <c r="K827" s="223">
        <f>32281/D826</f>
        <v>2.85</v>
      </c>
    </row>
    <row r="828" spans="1:11" ht="47.25" customHeight="1" x14ac:dyDescent="0.25">
      <c r="A828" s="308"/>
      <c r="B828" s="308"/>
      <c r="C828" s="317"/>
      <c r="D828" s="319"/>
      <c r="E828" s="308"/>
      <c r="F828" s="308"/>
      <c r="G828" s="148" t="s">
        <v>172</v>
      </c>
      <c r="H828" s="87" t="s">
        <v>168</v>
      </c>
      <c r="I828" s="223">
        <v>0</v>
      </c>
      <c r="J828" s="223">
        <f>I828/D826</f>
        <v>0</v>
      </c>
      <c r="K828" s="223">
        <f>32281/D826</f>
        <v>2.85</v>
      </c>
    </row>
    <row r="829" spans="1:11" ht="15.75" customHeight="1" x14ac:dyDescent="0.25">
      <c r="A829" s="307">
        <f>A826+1</f>
        <v>118</v>
      </c>
      <c r="B829" s="307">
        <v>2406</v>
      </c>
      <c r="C829" s="315" t="s">
        <v>602</v>
      </c>
      <c r="D829" s="318">
        <v>3371</v>
      </c>
      <c r="E829" s="307" t="s">
        <v>68</v>
      </c>
      <c r="F829" s="307">
        <v>7</v>
      </c>
      <c r="G829" s="145"/>
      <c r="H829" s="87" t="s">
        <v>66</v>
      </c>
      <c r="I829" s="223">
        <f>I830</f>
        <v>0</v>
      </c>
      <c r="J829" s="223">
        <f t="shared" ref="J829:K829" si="35">J830</f>
        <v>0</v>
      </c>
      <c r="K829" s="223">
        <f t="shared" si="35"/>
        <v>9.58</v>
      </c>
    </row>
    <row r="830" spans="1:11" ht="47.25" customHeight="1" x14ac:dyDescent="0.25">
      <c r="A830" s="308"/>
      <c r="B830" s="308"/>
      <c r="C830" s="317"/>
      <c r="D830" s="329"/>
      <c r="E830" s="308"/>
      <c r="F830" s="308"/>
      <c r="G830" s="148" t="s">
        <v>174</v>
      </c>
      <c r="H830" s="87" t="s">
        <v>168</v>
      </c>
      <c r="I830" s="223">
        <v>0</v>
      </c>
      <c r="J830" s="223">
        <f>I830/D829</f>
        <v>0</v>
      </c>
      <c r="K830" s="223">
        <f>32281/D829</f>
        <v>9.58</v>
      </c>
    </row>
    <row r="831" spans="1:11" x14ac:dyDescent="0.25">
      <c r="A831" s="310">
        <f>A829+1</f>
        <v>119</v>
      </c>
      <c r="B831" s="310">
        <v>2237</v>
      </c>
      <c r="C831" s="333" t="s">
        <v>541</v>
      </c>
      <c r="D831" s="312">
        <v>3373.3</v>
      </c>
      <c r="E831" s="312" t="s">
        <v>68</v>
      </c>
      <c r="F831" s="313">
        <v>5</v>
      </c>
      <c r="G831" s="310" t="s">
        <v>74</v>
      </c>
      <c r="H831" s="87" t="s">
        <v>66</v>
      </c>
      <c r="I831" s="223">
        <f>I832</f>
        <v>80959.199999999997</v>
      </c>
      <c r="J831" s="223">
        <f>J832</f>
        <v>24</v>
      </c>
      <c r="K831" s="223">
        <f>K832</f>
        <v>24</v>
      </c>
    </row>
    <row r="832" spans="1:11" ht="63" x14ac:dyDescent="0.25">
      <c r="A832" s="310"/>
      <c r="B832" s="310"/>
      <c r="C832" s="333"/>
      <c r="D832" s="312"/>
      <c r="E832" s="312"/>
      <c r="F832" s="313"/>
      <c r="G832" s="310"/>
      <c r="H832" s="87" t="s">
        <v>168</v>
      </c>
      <c r="I832" s="223">
        <v>80959.199999999997</v>
      </c>
      <c r="J832" s="223">
        <f>I832/D831</f>
        <v>24</v>
      </c>
      <c r="K832" s="223">
        <f>22+2</f>
        <v>24</v>
      </c>
    </row>
    <row r="833" spans="1:11" ht="15.75" customHeight="1" x14ac:dyDescent="0.25">
      <c r="A833" s="310">
        <f>A831+1</f>
        <v>120</v>
      </c>
      <c r="B833" s="310">
        <v>2414</v>
      </c>
      <c r="C833" s="333" t="s">
        <v>531</v>
      </c>
      <c r="D833" s="318">
        <v>3170.6</v>
      </c>
      <c r="E833" s="312" t="s">
        <v>68</v>
      </c>
      <c r="F833" s="313">
        <v>5</v>
      </c>
      <c r="G833" s="310" t="s">
        <v>74</v>
      </c>
      <c r="H833" s="87" t="s">
        <v>66</v>
      </c>
      <c r="I833" s="223">
        <f>I834</f>
        <v>114080.4</v>
      </c>
      <c r="J833" s="223">
        <f t="shared" ref="J833:K833" si="36">J834</f>
        <v>35.979999999999997</v>
      </c>
      <c r="K833" s="223">
        <f t="shared" si="36"/>
        <v>47</v>
      </c>
    </row>
    <row r="834" spans="1:11" ht="63" x14ac:dyDescent="0.25">
      <c r="A834" s="310"/>
      <c r="B834" s="310"/>
      <c r="C834" s="333"/>
      <c r="D834" s="329"/>
      <c r="E834" s="312"/>
      <c r="F834" s="313"/>
      <c r="G834" s="310"/>
      <c r="H834" s="87" t="s">
        <v>168</v>
      </c>
      <c r="I834" s="223">
        <v>114080.4</v>
      </c>
      <c r="J834" s="223">
        <f>I834/D833</f>
        <v>35.979999999999997</v>
      </c>
      <c r="K834" s="223">
        <f>34+13</f>
        <v>47</v>
      </c>
    </row>
    <row r="835" spans="1:11" ht="15.75" customHeight="1" x14ac:dyDescent="0.25">
      <c r="A835" s="310">
        <f>A833+1</f>
        <v>121</v>
      </c>
      <c r="B835" s="310">
        <v>2415</v>
      </c>
      <c r="C835" s="333" t="s">
        <v>532</v>
      </c>
      <c r="D835" s="312">
        <v>3171.86</v>
      </c>
      <c r="E835" s="312" t="s">
        <v>68</v>
      </c>
      <c r="F835" s="313">
        <v>5</v>
      </c>
      <c r="G835" s="310" t="s">
        <v>74</v>
      </c>
      <c r="H835" s="87" t="s">
        <v>66</v>
      </c>
      <c r="I835" s="223">
        <f>I836+I837+I838</f>
        <v>779658.86</v>
      </c>
      <c r="J835" s="223">
        <f>J836+J837+J838</f>
        <v>245.8</v>
      </c>
      <c r="K835" s="223">
        <f>K836+K837+K838</f>
        <v>409</v>
      </c>
    </row>
    <row r="836" spans="1:11" ht="63" x14ac:dyDescent="0.25">
      <c r="A836" s="310"/>
      <c r="B836" s="310"/>
      <c r="C836" s="333"/>
      <c r="D836" s="312"/>
      <c r="E836" s="312"/>
      <c r="F836" s="313"/>
      <c r="G836" s="310"/>
      <c r="H836" s="87" t="s">
        <v>168</v>
      </c>
      <c r="I836" s="223">
        <v>121962</v>
      </c>
      <c r="J836" s="223">
        <f>I836/D835</f>
        <v>38.450000000000003</v>
      </c>
      <c r="K836" s="223">
        <f>34+13</f>
        <v>47</v>
      </c>
    </row>
    <row r="837" spans="1:11" x14ac:dyDescent="0.25">
      <c r="A837" s="310"/>
      <c r="B837" s="310"/>
      <c r="C837" s="333"/>
      <c r="D837" s="312"/>
      <c r="E837" s="312"/>
      <c r="F837" s="313"/>
      <c r="G837" s="310"/>
      <c r="H837" s="87" t="s">
        <v>67</v>
      </c>
      <c r="I837" s="223">
        <v>643917.04</v>
      </c>
      <c r="J837" s="223">
        <f>I837/D835</f>
        <v>203.01</v>
      </c>
      <c r="K837" s="223">
        <v>354</v>
      </c>
    </row>
    <row r="838" spans="1:11" x14ac:dyDescent="0.25">
      <c r="A838" s="310"/>
      <c r="B838" s="310"/>
      <c r="C838" s="333"/>
      <c r="D838" s="312"/>
      <c r="E838" s="312"/>
      <c r="F838" s="313"/>
      <c r="G838" s="310"/>
      <c r="H838" s="87" t="s">
        <v>69</v>
      </c>
      <c r="I838" s="223">
        <v>13779.82</v>
      </c>
      <c r="J838" s="223">
        <f>I838/D835</f>
        <v>4.34</v>
      </c>
      <c r="K838" s="223">
        <v>8</v>
      </c>
    </row>
    <row r="839" spans="1:11" ht="15.75" customHeight="1" x14ac:dyDescent="0.25">
      <c r="A839" s="307">
        <f>A835+1</f>
        <v>122</v>
      </c>
      <c r="B839" s="307">
        <v>2245</v>
      </c>
      <c r="C839" s="315" t="s">
        <v>603</v>
      </c>
      <c r="D839" s="318">
        <v>7261.8</v>
      </c>
      <c r="E839" s="307" t="s">
        <v>64</v>
      </c>
      <c r="F839" s="307">
        <v>10</v>
      </c>
      <c r="G839" s="145"/>
      <c r="H839" s="87" t="s">
        <v>66</v>
      </c>
      <c r="I839" s="223">
        <f>I840+I841+I842</f>
        <v>0</v>
      </c>
      <c r="J839" s="223">
        <f t="shared" ref="J839:K839" si="37">J840+J841+J842</f>
        <v>0</v>
      </c>
      <c r="K839" s="223">
        <f t="shared" si="37"/>
        <v>13.35</v>
      </c>
    </row>
    <row r="840" spans="1:11" ht="47.25" customHeight="1" x14ac:dyDescent="0.25">
      <c r="A840" s="308"/>
      <c r="B840" s="308"/>
      <c r="C840" s="317"/>
      <c r="D840" s="319"/>
      <c r="E840" s="308"/>
      <c r="F840" s="308"/>
      <c r="G840" s="148" t="s">
        <v>170</v>
      </c>
      <c r="H840" s="87" t="s">
        <v>168</v>
      </c>
      <c r="I840" s="223">
        <v>0</v>
      </c>
      <c r="J840" s="223">
        <f>I840/D839</f>
        <v>0</v>
      </c>
      <c r="K840" s="223">
        <f>32281/D839</f>
        <v>4.45</v>
      </c>
    </row>
    <row r="841" spans="1:11" ht="47.25" customHeight="1" x14ac:dyDescent="0.25">
      <c r="A841" s="308"/>
      <c r="B841" s="308"/>
      <c r="C841" s="317"/>
      <c r="D841" s="319"/>
      <c r="E841" s="308"/>
      <c r="F841" s="308"/>
      <c r="G841" s="148" t="s">
        <v>173</v>
      </c>
      <c r="H841" s="87" t="s">
        <v>168</v>
      </c>
      <c r="I841" s="223">
        <v>0</v>
      </c>
      <c r="J841" s="223">
        <f>I841/D839</f>
        <v>0</v>
      </c>
      <c r="K841" s="223">
        <f>32281/D839</f>
        <v>4.45</v>
      </c>
    </row>
    <row r="842" spans="1:11" ht="47.25" customHeight="1" x14ac:dyDescent="0.25">
      <c r="A842" s="308"/>
      <c r="B842" s="308"/>
      <c r="C842" s="317"/>
      <c r="D842" s="319"/>
      <c r="E842" s="308"/>
      <c r="F842" s="308"/>
      <c r="G842" s="148" t="s">
        <v>174</v>
      </c>
      <c r="H842" s="87" t="s">
        <v>168</v>
      </c>
      <c r="I842" s="223">
        <v>0</v>
      </c>
      <c r="J842" s="223">
        <f>I842/D839</f>
        <v>0</v>
      </c>
      <c r="K842" s="223">
        <f>32281/D839</f>
        <v>4.45</v>
      </c>
    </row>
    <row r="843" spans="1:11" x14ac:dyDescent="0.25">
      <c r="A843" s="310">
        <f>A839+1</f>
        <v>123</v>
      </c>
      <c r="B843" s="310">
        <v>2276</v>
      </c>
      <c r="C843" s="333" t="s">
        <v>547</v>
      </c>
      <c r="D843" s="312">
        <v>3594.95</v>
      </c>
      <c r="E843" s="312" t="s">
        <v>64</v>
      </c>
      <c r="F843" s="313">
        <v>5</v>
      </c>
      <c r="G843" s="310" t="s">
        <v>74</v>
      </c>
      <c r="H843" s="87" t="s">
        <v>66</v>
      </c>
      <c r="I843" s="223">
        <f>I844</f>
        <v>86278.8</v>
      </c>
      <c r="J843" s="223">
        <f t="shared" ref="J843:K843" si="38">J844</f>
        <v>24</v>
      </c>
      <c r="K843" s="223">
        <f t="shared" si="38"/>
        <v>24</v>
      </c>
    </row>
    <row r="844" spans="1:11" ht="63" x14ac:dyDescent="0.25">
      <c r="A844" s="310"/>
      <c r="B844" s="310"/>
      <c r="C844" s="333"/>
      <c r="D844" s="312"/>
      <c r="E844" s="312"/>
      <c r="F844" s="313"/>
      <c r="G844" s="310"/>
      <c r="H844" s="87" t="s">
        <v>168</v>
      </c>
      <c r="I844" s="223">
        <f>D843*K844</f>
        <v>86278.8</v>
      </c>
      <c r="J844" s="223">
        <f>I844/D843</f>
        <v>24</v>
      </c>
      <c r="K844" s="223">
        <f>22+2</f>
        <v>24</v>
      </c>
    </row>
    <row r="845" spans="1:11" x14ac:dyDescent="0.25">
      <c r="A845" s="310">
        <f>A843+1</f>
        <v>124</v>
      </c>
      <c r="B845" s="310">
        <v>2436</v>
      </c>
      <c r="C845" s="333" t="s">
        <v>362</v>
      </c>
      <c r="D845" s="312">
        <v>2593.5</v>
      </c>
      <c r="E845" s="312" t="s">
        <v>64</v>
      </c>
      <c r="F845" s="313">
        <v>5</v>
      </c>
      <c r="G845" s="310" t="s">
        <v>74</v>
      </c>
      <c r="H845" s="87" t="s">
        <v>66</v>
      </c>
      <c r="I845" s="223">
        <f>I846+I847+I848</f>
        <v>679379.51</v>
      </c>
      <c r="J845" s="223">
        <f>J846+J847+J848</f>
        <v>261.95</v>
      </c>
      <c r="K845" s="223">
        <f>K846+K847+K848</f>
        <v>409</v>
      </c>
    </row>
    <row r="846" spans="1:11" ht="63" x14ac:dyDescent="0.25">
      <c r="A846" s="310"/>
      <c r="B846" s="310"/>
      <c r="C846" s="333"/>
      <c r="D846" s="312"/>
      <c r="E846" s="312"/>
      <c r="F846" s="313"/>
      <c r="G846" s="310"/>
      <c r="H846" s="87" t="s">
        <v>168</v>
      </c>
      <c r="I846" s="223">
        <v>95859</v>
      </c>
      <c r="J846" s="223">
        <f>I846/D845</f>
        <v>36.96</v>
      </c>
      <c r="K846" s="223">
        <f>34+13</f>
        <v>47</v>
      </c>
    </row>
    <row r="847" spans="1:11" x14ac:dyDescent="0.25">
      <c r="A847" s="310"/>
      <c r="B847" s="310"/>
      <c r="C847" s="333"/>
      <c r="D847" s="312"/>
      <c r="E847" s="312"/>
      <c r="F847" s="313"/>
      <c r="G847" s="310"/>
      <c r="H847" s="87" t="s">
        <v>67</v>
      </c>
      <c r="I847" s="223">
        <v>571294.80000000005</v>
      </c>
      <c r="J847" s="223">
        <f>I847/D845</f>
        <v>220.28</v>
      </c>
      <c r="K847" s="223">
        <v>354</v>
      </c>
    </row>
    <row r="848" spans="1:11" x14ac:dyDescent="0.25">
      <c r="A848" s="310"/>
      <c r="B848" s="310"/>
      <c r="C848" s="333"/>
      <c r="D848" s="312"/>
      <c r="E848" s="312"/>
      <c r="F848" s="313"/>
      <c r="G848" s="310"/>
      <c r="H848" s="87" t="s">
        <v>69</v>
      </c>
      <c r="I848" s="223">
        <v>12225.71</v>
      </c>
      <c r="J848" s="223">
        <f>I848/D845</f>
        <v>4.71</v>
      </c>
      <c r="K848" s="223">
        <v>8</v>
      </c>
    </row>
    <row r="849" spans="1:11" ht="15.75" customHeight="1" x14ac:dyDescent="0.25">
      <c r="A849" s="307">
        <f>A845+1</f>
        <v>125</v>
      </c>
      <c r="B849" s="307">
        <v>2289</v>
      </c>
      <c r="C849" s="315" t="s">
        <v>604</v>
      </c>
      <c r="D849" s="318">
        <v>3975.9</v>
      </c>
      <c r="E849" s="307" t="s">
        <v>68</v>
      </c>
      <c r="F849" s="307">
        <v>9</v>
      </c>
      <c r="G849" s="145"/>
      <c r="H849" s="87" t="s">
        <v>66</v>
      </c>
      <c r="I849" s="223">
        <f>I850+I851</f>
        <v>0</v>
      </c>
      <c r="J849" s="223">
        <f t="shared" ref="J849:K849" si="39">J850+J851</f>
        <v>0</v>
      </c>
      <c r="K849" s="223">
        <f t="shared" si="39"/>
        <v>16.239999999999998</v>
      </c>
    </row>
    <row r="850" spans="1:11" ht="47.25" customHeight="1" x14ac:dyDescent="0.25">
      <c r="A850" s="308"/>
      <c r="B850" s="308"/>
      <c r="C850" s="317"/>
      <c r="D850" s="319"/>
      <c r="E850" s="308"/>
      <c r="F850" s="308"/>
      <c r="G850" s="148" t="s">
        <v>170</v>
      </c>
      <c r="H850" s="87" t="s">
        <v>168</v>
      </c>
      <c r="I850" s="223">
        <v>0</v>
      </c>
      <c r="J850" s="223">
        <f>I850/D849</f>
        <v>0</v>
      </c>
      <c r="K850" s="223">
        <f>32281/D849</f>
        <v>8.1199999999999992</v>
      </c>
    </row>
    <row r="851" spans="1:11" ht="47.25" customHeight="1" x14ac:dyDescent="0.25">
      <c r="A851" s="308"/>
      <c r="B851" s="308"/>
      <c r="C851" s="317"/>
      <c r="D851" s="319"/>
      <c r="E851" s="308"/>
      <c r="F851" s="308"/>
      <c r="G851" s="148" t="s">
        <v>173</v>
      </c>
      <c r="H851" s="87" t="s">
        <v>168</v>
      </c>
      <c r="I851" s="223">
        <v>0</v>
      </c>
      <c r="J851" s="223">
        <f>I851/D849</f>
        <v>0</v>
      </c>
      <c r="K851" s="223">
        <f>32281/D849</f>
        <v>8.1199999999999992</v>
      </c>
    </row>
    <row r="852" spans="1:11" ht="15.75" customHeight="1" x14ac:dyDescent="0.25">
      <c r="A852" s="307">
        <f>A849+1</f>
        <v>126</v>
      </c>
      <c r="B852" s="307">
        <v>2163</v>
      </c>
      <c r="C852" s="315" t="s">
        <v>221</v>
      </c>
      <c r="D852" s="318">
        <v>13205.4</v>
      </c>
      <c r="E852" s="307" t="s">
        <v>68</v>
      </c>
      <c r="F852" s="307">
        <v>10</v>
      </c>
      <c r="G852" s="145"/>
      <c r="H852" s="87" t="s">
        <v>66</v>
      </c>
      <c r="I852" s="223">
        <f>I853+I854</f>
        <v>0</v>
      </c>
      <c r="J852" s="223">
        <f t="shared" ref="J852:K852" si="40">J853+J854</f>
        <v>0</v>
      </c>
      <c r="K852" s="223">
        <f t="shared" si="40"/>
        <v>4.8899999999999997</v>
      </c>
    </row>
    <row r="853" spans="1:11" ht="47.25" customHeight="1" x14ac:dyDescent="0.25">
      <c r="A853" s="308"/>
      <c r="B853" s="308"/>
      <c r="C853" s="317"/>
      <c r="D853" s="319"/>
      <c r="E853" s="308"/>
      <c r="F853" s="308"/>
      <c r="G853" s="148" t="s">
        <v>174</v>
      </c>
      <c r="H853" s="87" t="s">
        <v>168</v>
      </c>
      <c r="I853" s="223">
        <v>0</v>
      </c>
      <c r="J853" s="223">
        <f>I853/D852</f>
        <v>0</v>
      </c>
      <c r="K853" s="223">
        <f>32281/D852+0.01</f>
        <v>2.4500000000000002</v>
      </c>
    </row>
    <row r="854" spans="1:11" ht="47.25" customHeight="1" x14ac:dyDescent="0.25">
      <c r="A854" s="308"/>
      <c r="B854" s="308"/>
      <c r="C854" s="317"/>
      <c r="D854" s="319"/>
      <c r="E854" s="308"/>
      <c r="F854" s="308"/>
      <c r="G854" s="148" t="s">
        <v>175</v>
      </c>
      <c r="H854" s="87" t="s">
        <v>168</v>
      </c>
      <c r="I854" s="223">
        <v>0</v>
      </c>
      <c r="J854" s="223">
        <f>I854/D852</f>
        <v>0</v>
      </c>
      <c r="K854" s="223">
        <f>32281/D852</f>
        <v>2.44</v>
      </c>
    </row>
    <row r="855" spans="1:11" ht="15.75" customHeight="1" x14ac:dyDescent="0.25">
      <c r="A855" s="307">
        <f>A852+1</f>
        <v>127</v>
      </c>
      <c r="B855" s="307">
        <v>2164</v>
      </c>
      <c r="C855" s="433" t="s">
        <v>736</v>
      </c>
      <c r="D855" s="318">
        <v>2540.5</v>
      </c>
      <c r="E855" s="307" t="s">
        <v>68</v>
      </c>
      <c r="F855" s="307">
        <v>9</v>
      </c>
      <c r="G855" s="145"/>
      <c r="H855" s="87" t="s">
        <v>66</v>
      </c>
      <c r="I855" s="223">
        <f>I856+I857</f>
        <v>3793764</v>
      </c>
      <c r="J855" s="223">
        <f>J856+J857</f>
        <v>1493.31</v>
      </c>
      <c r="K855" s="223">
        <f>K856+K857</f>
        <v>1764.72</v>
      </c>
    </row>
    <row r="856" spans="1:11" ht="47.25" customHeight="1" x14ac:dyDescent="0.25">
      <c r="A856" s="308"/>
      <c r="B856" s="308"/>
      <c r="C856" s="451"/>
      <c r="D856" s="319"/>
      <c r="E856" s="308"/>
      <c r="F856" s="308"/>
      <c r="G856" s="148" t="s">
        <v>170</v>
      </c>
      <c r="H856" s="87" t="s">
        <v>171</v>
      </c>
      <c r="I856" s="223">
        <f>1545187.2+50868+300826.8</f>
        <v>1896882</v>
      </c>
      <c r="J856" s="223">
        <f>I856/D855-0.01</f>
        <v>746.65</v>
      </c>
      <c r="K856" s="223">
        <f>2241647/D855</f>
        <v>882.36</v>
      </c>
    </row>
    <row r="857" spans="1:11" ht="47.25" customHeight="1" x14ac:dyDescent="0.25">
      <c r="A857" s="308"/>
      <c r="B857" s="308"/>
      <c r="C857" s="451"/>
      <c r="D857" s="319"/>
      <c r="E857" s="308"/>
      <c r="F857" s="308"/>
      <c r="G857" s="148" t="s">
        <v>173</v>
      </c>
      <c r="H857" s="87" t="s">
        <v>171</v>
      </c>
      <c r="I857" s="223">
        <f>1545187.2+50868+300826.8</f>
        <v>1896882</v>
      </c>
      <c r="J857" s="223">
        <f>I857/D855</f>
        <v>746.66</v>
      </c>
      <c r="K857" s="223">
        <f>2241647/D855</f>
        <v>882.36</v>
      </c>
    </row>
    <row r="858" spans="1:11" ht="15.75" customHeight="1" x14ac:dyDescent="0.25">
      <c r="A858" s="310">
        <f>A855+1</f>
        <v>128</v>
      </c>
      <c r="B858" s="310">
        <v>2438</v>
      </c>
      <c r="C858" s="311" t="s">
        <v>222</v>
      </c>
      <c r="D858" s="312">
        <v>2631.7</v>
      </c>
      <c r="E858" s="312" t="s">
        <v>64</v>
      </c>
      <c r="F858" s="313">
        <v>5</v>
      </c>
      <c r="G858" s="310" t="s">
        <v>65</v>
      </c>
      <c r="H858" s="87" t="s">
        <v>66</v>
      </c>
      <c r="I858" s="223">
        <f>I859</f>
        <v>2060833.03</v>
      </c>
      <c r="J858" s="223">
        <f>J859</f>
        <v>783.08</v>
      </c>
      <c r="K858" s="223">
        <f>K859</f>
        <v>3670</v>
      </c>
    </row>
    <row r="859" spans="1:11" ht="31.5" customHeight="1" x14ac:dyDescent="0.25">
      <c r="A859" s="310">
        <v>77</v>
      </c>
      <c r="B859" s="310"/>
      <c r="C859" s="311"/>
      <c r="D859" s="310"/>
      <c r="E859" s="312"/>
      <c r="F859" s="313"/>
      <c r="G859" s="310"/>
      <c r="H859" s="87" t="s">
        <v>76</v>
      </c>
      <c r="I859" s="223">
        <f>6869443.43*0.3</f>
        <v>2060833.03</v>
      </c>
      <c r="J859" s="223">
        <f>I859/D858</f>
        <v>783.08</v>
      </c>
      <c r="K859" s="223">
        <v>3670</v>
      </c>
    </row>
    <row r="860" spans="1:11" ht="15.75" customHeight="1" x14ac:dyDescent="0.25">
      <c r="A860" s="307">
        <f>A858+1</f>
        <v>129</v>
      </c>
      <c r="B860" s="307">
        <v>2297</v>
      </c>
      <c r="C860" s="315" t="s">
        <v>605</v>
      </c>
      <c r="D860" s="318">
        <v>6000.5</v>
      </c>
      <c r="E860" s="307" t="s">
        <v>68</v>
      </c>
      <c r="F860" s="307">
        <v>8</v>
      </c>
      <c r="G860" s="145"/>
      <c r="H860" s="87" t="s">
        <v>66</v>
      </c>
      <c r="I860" s="223">
        <f>I861+I862</f>
        <v>0</v>
      </c>
      <c r="J860" s="223">
        <f t="shared" ref="J860:K860" si="41">J861+J862</f>
        <v>0</v>
      </c>
      <c r="K860" s="223">
        <f t="shared" si="41"/>
        <v>10.76</v>
      </c>
    </row>
    <row r="861" spans="1:11" ht="47.25" customHeight="1" x14ac:dyDescent="0.25">
      <c r="A861" s="308"/>
      <c r="B861" s="308"/>
      <c r="C861" s="317"/>
      <c r="D861" s="319"/>
      <c r="E861" s="308"/>
      <c r="F861" s="308"/>
      <c r="G861" s="148" t="s">
        <v>170</v>
      </c>
      <c r="H861" s="87" t="s">
        <v>168</v>
      </c>
      <c r="I861" s="223">
        <v>0</v>
      </c>
      <c r="J861" s="223">
        <f>I861/D860</f>
        <v>0</v>
      </c>
      <c r="K861" s="223">
        <f>32281/D860</f>
        <v>5.38</v>
      </c>
    </row>
    <row r="862" spans="1:11" ht="47.25" customHeight="1" x14ac:dyDescent="0.25">
      <c r="A862" s="308"/>
      <c r="B862" s="308"/>
      <c r="C862" s="317"/>
      <c r="D862" s="319"/>
      <c r="E862" s="308"/>
      <c r="F862" s="308"/>
      <c r="G862" s="148" t="s">
        <v>173</v>
      </c>
      <c r="H862" s="87" t="s">
        <v>168</v>
      </c>
      <c r="I862" s="223">
        <v>0</v>
      </c>
      <c r="J862" s="223">
        <f>I862/D860</f>
        <v>0</v>
      </c>
      <c r="K862" s="223">
        <f>32281/D860</f>
        <v>5.38</v>
      </c>
    </row>
    <row r="863" spans="1:11" ht="15.75" customHeight="1" x14ac:dyDescent="0.25">
      <c r="A863" s="310">
        <f>A860+1</f>
        <v>130</v>
      </c>
      <c r="B863" s="310">
        <v>2454</v>
      </c>
      <c r="C863" s="311" t="s">
        <v>153</v>
      </c>
      <c r="D863" s="312">
        <v>3959.3</v>
      </c>
      <c r="E863" s="312" t="s">
        <v>64</v>
      </c>
      <c r="F863" s="313">
        <v>5</v>
      </c>
      <c r="G863" s="310" t="s">
        <v>65</v>
      </c>
      <c r="H863" s="87" t="s">
        <v>66</v>
      </c>
      <c r="I863" s="223">
        <f>I864</f>
        <v>3230714.81</v>
      </c>
      <c r="J863" s="223">
        <f>J864</f>
        <v>815.98</v>
      </c>
      <c r="K863" s="223">
        <f>K864</f>
        <v>3797</v>
      </c>
    </row>
    <row r="864" spans="1:11" ht="15.75" customHeight="1" x14ac:dyDescent="0.25">
      <c r="A864" s="310">
        <v>76</v>
      </c>
      <c r="B864" s="310"/>
      <c r="C864" s="311"/>
      <c r="D864" s="310"/>
      <c r="E864" s="312"/>
      <c r="F864" s="313"/>
      <c r="G864" s="310"/>
      <c r="H864" s="87" t="s">
        <v>67</v>
      </c>
      <c r="I864" s="223">
        <f>10769049.35*0.3</f>
        <v>3230714.81</v>
      </c>
      <c r="J864" s="223">
        <f>I864/D863</f>
        <v>815.98</v>
      </c>
      <c r="K864" s="223">
        <v>3797</v>
      </c>
    </row>
    <row r="865" spans="1:11" x14ac:dyDescent="0.25">
      <c r="A865" s="310">
        <f>A863+1</f>
        <v>131</v>
      </c>
      <c r="B865" s="310">
        <v>2455</v>
      </c>
      <c r="C865" s="333" t="s">
        <v>154</v>
      </c>
      <c r="D865" s="312">
        <v>2587.9</v>
      </c>
      <c r="E865" s="312" t="s">
        <v>64</v>
      </c>
      <c r="F865" s="313">
        <v>5</v>
      </c>
      <c r="G865" s="310" t="s">
        <v>65</v>
      </c>
      <c r="H865" s="87" t="s">
        <v>66</v>
      </c>
      <c r="I865" s="223">
        <f>I866+I867</f>
        <v>6962753.7300000004</v>
      </c>
      <c r="J865" s="223">
        <f>J866+J867</f>
        <v>2690.5</v>
      </c>
      <c r="K865" s="223">
        <f>K866+K867</f>
        <v>3878</v>
      </c>
    </row>
    <row r="866" spans="1:11" ht="15.75" customHeight="1" x14ac:dyDescent="0.25">
      <c r="A866" s="310">
        <v>75</v>
      </c>
      <c r="B866" s="310"/>
      <c r="C866" s="333"/>
      <c r="D866" s="312"/>
      <c r="E866" s="312"/>
      <c r="F866" s="313"/>
      <c r="G866" s="310"/>
      <c r="H866" s="87" t="s">
        <v>67</v>
      </c>
      <c r="I866" s="223">
        <v>6816872.6600000001</v>
      </c>
      <c r="J866" s="223">
        <f>I866/D865</f>
        <v>2634.13</v>
      </c>
      <c r="K866" s="223">
        <v>3797</v>
      </c>
    </row>
    <row r="867" spans="1:11" x14ac:dyDescent="0.25">
      <c r="A867" s="310"/>
      <c r="B867" s="310"/>
      <c r="C867" s="333"/>
      <c r="D867" s="312"/>
      <c r="E867" s="312"/>
      <c r="F867" s="313"/>
      <c r="G867" s="310"/>
      <c r="H867" s="87" t="s">
        <v>69</v>
      </c>
      <c r="I867" s="223">
        <v>145881.07</v>
      </c>
      <c r="J867" s="223">
        <f>I867/D865</f>
        <v>56.37</v>
      </c>
      <c r="K867" s="223">
        <v>81</v>
      </c>
    </row>
    <row r="868" spans="1:11" x14ac:dyDescent="0.25">
      <c r="A868" s="310">
        <f>A865+1</f>
        <v>132</v>
      </c>
      <c r="B868" s="310">
        <v>2457</v>
      </c>
      <c r="C868" s="333" t="s">
        <v>155</v>
      </c>
      <c r="D868" s="312">
        <v>3935.2</v>
      </c>
      <c r="E868" s="312" t="s">
        <v>64</v>
      </c>
      <c r="F868" s="313">
        <v>5</v>
      </c>
      <c r="G868" s="310" t="s">
        <v>65</v>
      </c>
      <c r="H868" s="87" t="s">
        <v>66</v>
      </c>
      <c r="I868" s="223">
        <f>I869+I870</f>
        <v>11223977.34</v>
      </c>
      <c r="J868" s="223">
        <f>J869+J870</f>
        <v>2852.2</v>
      </c>
      <c r="K868" s="223">
        <f>K869+K870</f>
        <v>3878</v>
      </c>
    </row>
    <row r="869" spans="1:11" ht="15.75" customHeight="1" x14ac:dyDescent="0.25">
      <c r="A869" s="310">
        <v>75</v>
      </c>
      <c r="B869" s="310"/>
      <c r="C869" s="333"/>
      <c r="D869" s="312"/>
      <c r="E869" s="312"/>
      <c r="F869" s="313"/>
      <c r="G869" s="310"/>
      <c r="H869" s="87" t="s">
        <v>67</v>
      </c>
      <c r="I869" s="223">
        <v>10988816.66</v>
      </c>
      <c r="J869" s="223">
        <f>I869/D868</f>
        <v>2792.44</v>
      </c>
      <c r="K869" s="223">
        <v>3797</v>
      </c>
    </row>
    <row r="870" spans="1:11" x14ac:dyDescent="0.25">
      <c r="A870" s="310"/>
      <c r="B870" s="310"/>
      <c r="C870" s="333"/>
      <c r="D870" s="312"/>
      <c r="E870" s="312"/>
      <c r="F870" s="313"/>
      <c r="G870" s="310"/>
      <c r="H870" s="87" t="s">
        <v>69</v>
      </c>
      <c r="I870" s="223">
        <v>235160.68</v>
      </c>
      <c r="J870" s="223">
        <f>I870/D868</f>
        <v>59.76</v>
      </c>
      <c r="K870" s="223">
        <v>81</v>
      </c>
    </row>
    <row r="871" spans="1:11" ht="15.75" customHeight="1" x14ac:dyDescent="0.25">
      <c r="A871" s="310">
        <f>A868+1</f>
        <v>133</v>
      </c>
      <c r="B871" s="310">
        <v>2303</v>
      </c>
      <c r="C871" s="311" t="s">
        <v>156</v>
      </c>
      <c r="D871" s="312">
        <v>12308.1</v>
      </c>
      <c r="E871" s="312" t="s">
        <v>64</v>
      </c>
      <c r="F871" s="313">
        <v>9</v>
      </c>
      <c r="G871" s="310" t="s">
        <v>65</v>
      </c>
      <c r="H871" s="87" t="s">
        <v>66</v>
      </c>
      <c r="I871" s="223">
        <f>I872+I873</f>
        <v>25124163.890000001</v>
      </c>
      <c r="J871" s="223">
        <f>J872+J873</f>
        <v>2041.27</v>
      </c>
      <c r="K871" s="223">
        <f>K872+K873</f>
        <v>2492</v>
      </c>
    </row>
    <row r="872" spans="1:11" ht="15.75" customHeight="1" x14ac:dyDescent="0.25">
      <c r="A872" s="310">
        <v>77</v>
      </c>
      <c r="B872" s="310"/>
      <c r="C872" s="311"/>
      <c r="D872" s="310"/>
      <c r="E872" s="312"/>
      <c r="F872" s="313"/>
      <c r="G872" s="310"/>
      <c r="H872" s="87" t="s">
        <v>67</v>
      </c>
      <c r="I872" s="223">
        <v>24597771.579999998</v>
      </c>
      <c r="J872" s="223">
        <f>I872/D871</f>
        <v>1998.5</v>
      </c>
      <c r="K872" s="223">
        <v>2440</v>
      </c>
    </row>
    <row r="873" spans="1:11" ht="15.75" customHeight="1" x14ac:dyDescent="0.25">
      <c r="A873" s="310"/>
      <c r="B873" s="310"/>
      <c r="C873" s="311"/>
      <c r="D873" s="310"/>
      <c r="E873" s="312"/>
      <c r="F873" s="313"/>
      <c r="G873" s="310"/>
      <c r="H873" s="87" t="s">
        <v>69</v>
      </c>
      <c r="I873" s="223">
        <v>526392.31000000006</v>
      </c>
      <c r="J873" s="223">
        <f>I873/D871</f>
        <v>42.77</v>
      </c>
      <c r="K873" s="223">
        <v>52</v>
      </c>
    </row>
    <row r="874" spans="1:11" ht="15.75" customHeight="1" x14ac:dyDescent="0.25">
      <c r="A874" s="307">
        <f>A871+1</f>
        <v>134</v>
      </c>
      <c r="B874" s="307">
        <v>2309</v>
      </c>
      <c r="C874" s="315" t="s">
        <v>606</v>
      </c>
      <c r="D874" s="318">
        <v>8987.4</v>
      </c>
      <c r="E874" s="307" t="s">
        <v>64</v>
      </c>
      <c r="F874" s="307">
        <v>10</v>
      </c>
      <c r="G874" s="145"/>
      <c r="H874" s="87" t="s">
        <v>66</v>
      </c>
      <c r="I874" s="223">
        <f>I875+I876+I877+I878+I879+I880+I881+I882+I883</f>
        <v>5257862.99</v>
      </c>
      <c r="J874" s="223">
        <f>J875+J876+J877+J878+J879+J880+J881+J882+J883</f>
        <v>585.03</v>
      </c>
      <c r="K874" s="223">
        <f>K875+K876+K877+K878+K879+K880+K881+K882+K883</f>
        <v>775.05</v>
      </c>
    </row>
    <row r="875" spans="1:11" ht="47.25" customHeight="1" x14ac:dyDescent="0.25">
      <c r="A875" s="308"/>
      <c r="B875" s="308"/>
      <c r="C875" s="317"/>
      <c r="D875" s="319"/>
      <c r="E875" s="308"/>
      <c r="F875" s="308"/>
      <c r="G875" s="307" t="s">
        <v>170</v>
      </c>
      <c r="H875" s="87" t="s">
        <v>168</v>
      </c>
      <c r="I875" s="223">
        <v>0</v>
      </c>
      <c r="J875" s="223">
        <f>I875/D874</f>
        <v>0</v>
      </c>
      <c r="K875" s="223">
        <f>32281/D874</f>
        <v>3.59</v>
      </c>
    </row>
    <row r="876" spans="1:11" ht="15.75" customHeight="1" x14ac:dyDescent="0.25">
      <c r="A876" s="308"/>
      <c r="B876" s="308"/>
      <c r="C876" s="317"/>
      <c r="D876" s="319"/>
      <c r="E876" s="308"/>
      <c r="F876" s="308"/>
      <c r="G876" s="308"/>
      <c r="H876" s="87" t="s">
        <v>171</v>
      </c>
      <c r="I876" s="223">
        <v>1738069.71</v>
      </c>
      <c r="J876" s="223">
        <f>I876/D874</f>
        <v>193.39</v>
      </c>
      <c r="K876" s="223">
        <f>2241647/D874</f>
        <v>249.42</v>
      </c>
    </row>
    <row r="877" spans="1:11" ht="15.75" customHeight="1" x14ac:dyDescent="0.25">
      <c r="A877" s="308"/>
      <c r="B877" s="308"/>
      <c r="C877" s="317"/>
      <c r="D877" s="319"/>
      <c r="E877" s="308"/>
      <c r="F877" s="308"/>
      <c r="G877" s="309"/>
      <c r="H877" s="87" t="s">
        <v>69</v>
      </c>
      <c r="I877" s="223">
        <v>14551.28</v>
      </c>
      <c r="J877" s="223">
        <f>I877/D874</f>
        <v>1.62</v>
      </c>
      <c r="K877" s="223">
        <f>47971/D874</f>
        <v>5.34</v>
      </c>
    </row>
    <row r="878" spans="1:11" ht="47.25" customHeight="1" x14ac:dyDescent="0.25">
      <c r="A878" s="308"/>
      <c r="B878" s="308"/>
      <c r="C878" s="317"/>
      <c r="D878" s="319"/>
      <c r="E878" s="308"/>
      <c r="F878" s="308"/>
      <c r="G878" s="307" t="s">
        <v>174</v>
      </c>
      <c r="H878" s="87" t="s">
        <v>168</v>
      </c>
      <c r="I878" s="223">
        <v>0</v>
      </c>
      <c r="J878" s="223">
        <f>I878/D874</f>
        <v>0</v>
      </c>
      <c r="K878" s="223">
        <f>32281/D874</f>
        <v>3.59</v>
      </c>
    </row>
    <row r="879" spans="1:11" ht="15.75" customHeight="1" x14ac:dyDescent="0.25">
      <c r="A879" s="308"/>
      <c r="B879" s="308"/>
      <c r="C879" s="317"/>
      <c r="D879" s="319"/>
      <c r="E879" s="308"/>
      <c r="F879" s="308"/>
      <c r="G879" s="308"/>
      <c r="H879" s="87" t="s">
        <v>171</v>
      </c>
      <c r="I879" s="223">
        <v>1738069.71</v>
      </c>
      <c r="J879" s="223">
        <f>I879/D874</f>
        <v>193.39</v>
      </c>
      <c r="K879" s="223">
        <f>2241647/D874</f>
        <v>249.42</v>
      </c>
    </row>
    <row r="880" spans="1:11" ht="15.75" customHeight="1" x14ac:dyDescent="0.25">
      <c r="A880" s="308"/>
      <c r="B880" s="308"/>
      <c r="C880" s="317"/>
      <c r="D880" s="319"/>
      <c r="E880" s="308"/>
      <c r="F880" s="308"/>
      <c r="G880" s="309"/>
      <c r="H880" s="87" t="s">
        <v>69</v>
      </c>
      <c r="I880" s="223">
        <v>14551.29</v>
      </c>
      <c r="J880" s="223">
        <f>I880/D874</f>
        <v>1.62</v>
      </c>
      <c r="K880" s="223">
        <f>47971/D874</f>
        <v>5.34</v>
      </c>
    </row>
    <row r="881" spans="1:11" ht="47.25" customHeight="1" x14ac:dyDescent="0.25">
      <c r="A881" s="308"/>
      <c r="B881" s="308"/>
      <c r="C881" s="317"/>
      <c r="D881" s="319"/>
      <c r="E881" s="308"/>
      <c r="F881" s="308"/>
      <c r="G881" s="307" t="s">
        <v>175</v>
      </c>
      <c r="H881" s="87" t="s">
        <v>168</v>
      </c>
      <c r="I881" s="223">
        <v>0</v>
      </c>
      <c r="J881" s="223">
        <f>I881/D874</f>
        <v>0</v>
      </c>
      <c r="K881" s="223">
        <f>32281/D874</f>
        <v>3.59</v>
      </c>
    </row>
    <row r="882" spans="1:11" ht="15.75" customHeight="1" x14ac:dyDescent="0.25">
      <c r="A882" s="308"/>
      <c r="B882" s="308"/>
      <c r="C882" s="317"/>
      <c r="D882" s="319"/>
      <c r="E882" s="308"/>
      <c r="F882" s="308"/>
      <c r="G882" s="308"/>
      <c r="H882" s="87" t="s">
        <v>171</v>
      </c>
      <c r="I882" s="223">
        <v>1738069.71</v>
      </c>
      <c r="J882" s="223">
        <f>I882/D874</f>
        <v>193.39</v>
      </c>
      <c r="K882" s="223">
        <f>2241647/D874</f>
        <v>249.42</v>
      </c>
    </row>
    <row r="883" spans="1:11" ht="15.75" customHeight="1" x14ac:dyDescent="0.25">
      <c r="A883" s="308"/>
      <c r="B883" s="308"/>
      <c r="C883" s="317"/>
      <c r="D883" s="319"/>
      <c r="E883" s="308"/>
      <c r="F883" s="308"/>
      <c r="G883" s="309"/>
      <c r="H883" s="87" t="s">
        <v>69</v>
      </c>
      <c r="I883" s="223">
        <v>14551.29</v>
      </c>
      <c r="J883" s="223">
        <f>I883/D874</f>
        <v>1.62</v>
      </c>
      <c r="K883" s="223">
        <f>47971/D874</f>
        <v>5.34</v>
      </c>
    </row>
    <row r="884" spans="1:11" x14ac:dyDescent="0.25">
      <c r="A884" s="310">
        <f>A874+1</f>
        <v>135</v>
      </c>
      <c r="B884" s="310">
        <v>2983</v>
      </c>
      <c r="C884" s="333" t="s">
        <v>540</v>
      </c>
      <c r="D884" s="312">
        <v>933.8</v>
      </c>
      <c r="E884" s="312" t="s">
        <v>68</v>
      </c>
      <c r="F884" s="313">
        <v>3</v>
      </c>
      <c r="G884" s="310" t="s">
        <v>74</v>
      </c>
      <c r="H884" s="87" t="s">
        <v>66</v>
      </c>
      <c r="I884" s="223">
        <f>I885</f>
        <v>64428</v>
      </c>
      <c r="J884" s="223">
        <f>J885</f>
        <v>69</v>
      </c>
      <c r="K884" s="223">
        <f>K885</f>
        <v>73</v>
      </c>
    </row>
    <row r="885" spans="1:11" ht="63" x14ac:dyDescent="0.25">
      <c r="A885" s="310"/>
      <c r="B885" s="310"/>
      <c r="C885" s="333"/>
      <c r="D885" s="312"/>
      <c r="E885" s="312"/>
      <c r="F885" s="313"/>
      <c r="G885" s="310"/>
      <c r="H885" s="87" t="s">
        <v>168</v>
      </c>
      <c r="I885" s="223">
        <v>64428</v>
      </c>
      <c r="J885" s="223">
        <f>I885/D884</f>
        <v>69</v>
      </c>
      <c r="K885" s="223">
        <f>60+13</f>
        <v>73</v>
      </c>
    </row>
    <row r="886" spans="1:11" ht="15.75" customHeight="1" x14ac:dyDescent="0.25">
      <c r="A886" s="307">
        <f>A884+1</f>
        <v>136</v>
      </c>
      <c r="B886" s="307">
        <v>2374</v>
      </c>
      <c r="C886" s="315" t="s">
        <v>607</v>
      </c>
      <c r="D886" s="318">
        <v>16028.7</v>
      </c>
      <c r="E886" s="307" t="s">
        <v>64</v>
      </c>
      <c r="F886" s="307">
        <v>10</v>
      </c>
      <c r="G886" s="145"/>
      <c r="H886" s="87" t="s">
        <v>66</v>
      </c>
      <c r="I886" s="223">
        <f>I887+I888+I889+I890+I891+I892+I893</f>
        <v>0</v>
      </c>
      <c r="J886" s="223">
        <f>J887+J888+J889+J890+J891+J892+J893</f>
        <v>0</v>
      </c>
      <c r="K886" s="223">
        <f>K887+K888+K889+K890+K891+K892+K893</f>
        <v>14.1</v>
      </c>
    </row>
    <row r="887" spans="1:11" ht="47.25" customHeight="1" x14ac:dyDescent="0.25">
      <c r="A887" s="308"/>
      <c r="B887" s="308"/>
      <c r="C887" s="317"/>
      <c r="D887" s="319"/>
      <c r="E887" s="308"/>
      <c r="F887" s="308"/>
      <c r="G887" s="148" t="s">
        <v>170</v>
      </c>
      <c r="H887" s="87" t="s">
        <v>168</v>
      </c>
      <c r="I887" s="223">
        <v>0</v>
      </c>
      <c r="J887" s="223">
        <f>I887/D886</f>
        <v>0</v>
      </c>
      <c r="K887" s="223">
        <f>32281/D886</f>
        <v>2.0099999999999998</v>
      </c>
    </row>
    <row r="888" spans="1:11" ht="47.25" customHeight="1" x14ac:dyDescent="0.25">
      <c r="A888" s="308"/>
      <c r="B888" s="308"/>
      <c r="C888" s="317"/>
      <c r="D888" s="319"/>
      <c r="E888" s="308"/>
      <c r="F888" s="308"/>
      <c r="G888" s="148" t="s">
        <v>173</v>
      </c>
      <c r="H888" s="87" t="s">
        <v>168</v>
      </c>
      <c r="I888" s="223">
        <v>0</v>
      </c>
      <c r="J888" s="223">
        <f>I888/D886</f>
        <v>0</v>
      </c>
      <c r="K888" s="223">
        <f>32281/D886+0.01</f>
        <v>2.02</v>
      </c>
    </row>
    <row r="889" spans="1:11" ht="47.25" customHeight="1" x14ac:dyDescent="0.25">
      <c r="A889" s="308"/>
      <c r="B889" s="308"/>
      <c r="C889" s="317"/>
      <c r="D889" s="319"/>
      <c r="E889" s="308"/>
      <c r="F889" s="308"/>
      <c r="G889" s="148" t="s">
        <v>174</v>
      </c>
      <c r="H889" s="87" t="s">
        <v>168</v>
      </c>
      <c r="I889" s="223">
        <v>0</v>
      </c>
      <c r="J889" s="223">
        <f>I889/D886</f>
        <v>0</v>
      </c>
      <c r="K889" s="223">
        <f>32281/D886</f>
        <v>2.0099999999999998</v>
      </c>
    </row>
    <row r="890" spans="1:11" ht="47.25" customHeight="1" x14ac:dyDescent="0.25">
      <c r="A890" s="308"/>
      <c r="B890" s="308"/>
      <c r="C890" s="317"/>
      <c r="D890" s="319"/>
      <c r="E890" s="308"/>
      <c r="F890" s="308"/>
      <c r="G890" s="148" t="s">
        <v>175</v>
      </c>
      <c r="H890" s="87" t="s">
        <v>168</v>
      </c>
      <c r="I890" s="223">
        <v>0</v>
      </c>
      <c r="J890" s="223">
        <f>I890/D886</f>
        <v>0</v>
      </c>
      <c r="K890" s="223">
        <f>32281/D886+0.01</f>
        <v>2.02</v>
      </c>
    </row>
    <row r="891" spans="1:11" ht="47.25" customHeight="1" x14ac:dyDescent="0.25">
      <c r="A891" s="308"/>
      <c r="B891" s="308"/>
      <c r="C891" s="317"/>
      <c r="D891" s="319"/>
      <c r="E891" s="308"/>
      <c r="F891" s="308"/>
      <c r="G891" s="148" t="s">
        <v>172</v>
      </c>
      <c r="H891" s="87" t="s">
        <v>168</v>
      </c>
      <c r="I891" s="223">
        <v>0</v>
      </c>
      <c r="J891" s="223">
        <f>I891/D886</f>
        <v>0</v>
      </c>
      <c r="K891" s="223">
        <f>32281/D886</f>
        <v>2.0099999999999998</v>
      </c>
    </row>
    <row r="892" spans="1:11" ht="47.25" customHeight="1" x14ac:dyDescent="0.25">
      <c r="A892" s="308"/>
      <c r="B892" s="308"/>
      <c r="C892" s="317"/>
      <c r="D892" s="319"/>
      <c r="E892" s="308"/>
      <c r="F892" s="308"/>
      <c r="G892" s="148" t="s">
        <v>440</v>
      </c>
      <c r="H892" s="87" t="s">
        <v>168</v>
      </c>
      <c r="I892" s="223">
        <v>0</v>
      </c>
      <c r="J892" s="223">
        <f>I892/D886</f>
        <v>0</v>
      </c>
      <c r="K892" s="223">
        <f>32281/D886+0.01</f>
        <v>2.02</v>
      </c>
    </row>
    <row r="893" spans="1:11" ht="47.25" customHeight="1" x14ac:dyDescent="0.25">
      <c r="A893" s="308"/>
      <c r="B893" s="308"/>
      <c r="C893" s="317"/>
      <c r="D893" s="319"/>
      <c r="E893" s="308"/>
      <c r="F893" s="308"/>
      <c r="G893" s="148" t="s">
        <v>449</v>
      </c>
      <c r="H893" s="87" t="s">
        <v>168</v>
      </c>
      <c r="I893" s="223">
        <v>0</v>
      </c>
      <c r="J893" s="223">
        <f>I893/D886</f>
        <v>0</v>
      </c>
      <c r="K893" s="223">
        <f>32281/D886</f>
        <v>2.0099999999999998</v>
      </c>
    </row>
    <row r="894" spans="1:11" ht="15.75" customHeight="1" x14ac:dyDescent="0.25">
      <c r="A894" s="307">
        <f>A886+1</f>
        <v>137</v>
      </c>
      <c r="B894" s="307">
        <v>2389</v>
      </c>
      <c r="C894" s="315" t="s">
        <v>608</v>
      </c>
      <c r="D894" s="318">
        <v>11256.89</v>
      </c>
      <c r="E894" s="307" t="s">
        <v>64</v>
      </c>
      <c r="F894" s="307">
        <v>10</v>
      </c>
      <c r="G894" s="145"/>
      <c r="H894" s="87" t="s">
        <v>66</v>
      </c>
      <c r="I894" s="223">
        <f>I895+I896+I897+I898+I899</f>
        <v>0</v>
      </c>
      <c r="J894" s="223">
        <f>J895+J896+J897+J898+J899</f>
        <v>0</v>
      </c>
      <c r="K894" s="223">
        <f>K895+K896+K897+K898+K899</f>
        <v>14.34</v>
      </c>
    </row>
    <row r="895" spans="1:11" ht="47.25" customHeight="1" x14ac:dyDescent="0.25">
      <c r="A895" s="308"/>
      <c r="B895" s="308"/>
      <c r="C895" s="317"/>
      <c r="D895" s="319"/>
      <c r="E895" s="308"/>
      <c r="F895" s="308"/>
      <c r="G895" s="148" t="s">
        <v>170</v>
      </c>
      <c r="H895" s="87" t="s">
        <v>168</v>
      </c>
      <c r="I895" s="223">
        <v>0</v>
      </c>
      <c r="J895" s="223">
        <f>I895/D894</f>
        <v>0</v>
      </c>
      <c r="K895" s="223">
        <f>32281/D894</f>
        <v>2.87</v>
      </c>
    </row>
    <row r="896" spans="1:11" ht="47.25" customHeight="1" x14ac:dyDescent="0.25">
      <c r="A896" s="308"/>
      <c r="B896" s="308"/>
      <c r="C896" s="317"/>
      <c r="D896" s="319"/>
      <c r="E896" s="308"/>
      <c r="F896" s="308"/>
      <c r="G896" s="148" t="s">
        <v>173</v>
      </c>
      <c r="H896" s="87" t="s">
        <v>168</v>
      </c>
      <c r="I896" s="223">
        <v>0</v>
      </c>
      <c r="J896" s="223">
        <f>I896/D894</f>
        <v>0</v>
      </c>
      <c r="K896" s="223">
        <f>32281/D894-0.01</f>
        <v>2.86</v>
      </c>
    </row>
    <row r="897" spans="1:11" ht="47.25" customHeight="1" x14ac:dyDescent="0.25">
      <c r="A897" s="308"/>
      <c r="B897" s="308"/>
      <c r="C897" s="317"/>
      <c r="D897" s="319"/>
      <c r="E897" s="308"/>
      <c r="F897" s="308"/>
      <c r="G897" s="148" t="s">
        <v>174</v>
      </c>
      <c r="H897" s="87" t="s">
        <v>168</v>
      </c>
      <c r="I897" s="223">
        <v>0</v>
      </c>
      <c r="J897" s="223">
        <f>I897/D894</f>
        <v>0</v>
      </c>
      <c r="K897" s="223">
        <f>32281/D894</f>
        <v>2.87</v>
      </c>
    </row>
    <row r="898" spans="1:11" ht="47.25" customHeight="1" x14ac:dyDescent="0.25">
      <c r="A898" s="308"/>
      <c r="B898" s="308"/>
      <c r="C898" s="317"/>
      <c r="D898" s="319"/>
      <c r="E898" s="308"/>
      <c r="F898" s="308"/>
      <c r="G898" s="148" t="s">
        <v>175</v>
      </c>
      <c r="H898" s="87" t="s">
        <v>168</v>
      </c>
      <c r="I898" s="223">
        <v>0</v>
      </c>
      <c r="J898" s="223">
        <f>I898/D894</f>
        <v>0</v>
      </c>
      <c r="K898" s="223">
        <f>32281/D894</f>
        <v>2.87</v>
      </c>
    </row>
    <row r="899" spans="1:11" ht="47.25" customHeight="1" x14ac:dyDescent="0.25">
      <c r="A899" s="308"/>
      <c r="B899" s="308"/>
      <c r="C899" s="317"/>
      <c r="D899" s="319"/>
      <c r="E899" s="308"/>
      <c r="F899" s="308"/>
      <c r="G899" s="148" t="s">
        <v>172</v>
      </c>
      <c r="H899" s="87" t="s">
        <v>168</v>
      </c>
      <c r="I899" s="223">
        <v>0</v>
      </c>
      <c r="J899" s="223">
        <f>I899/D894</f>
        <v>0</v>
      </c>
      <c r="K899" s="223">
        <f>32281/D894</f>
        <v>2.87</v>
      </c>
    </row>
    <row r="900" spans="1:11" ht="15.75" customHeight="1" x14ac:dyDescent="0.25">
      <c r="A900" s="307">
        <f>A894+1</f>
        <v>138</v>
      </c>
      <c r="B900" s="307">
        <v>2392</v>
      </c>
      <c r="C900" s="315" t="s">
        <v>609</v>
      </c>
      <c r="D900" s="318">
        <v>24130</v>
      </c>
      <c r="E900" s="307" t="s">
        <v>64</v>
      </c>
      <c r="F900" s="307">
        <v>10</v>
      </c>
      <c r="G900" s="145"/>
      <c r="H900" s="87" t="s">
        <v>66</v>
      </c>
      <c r="I900" s="223">
        <f>I901+I902+I903+I904+I905+I906+I907+I908+I909+I910+I911</f>
        <v>0</v>
      </c>
      <c r="J900" s="223">
        <f>J901+J902+J903+J904+J905+J906+J907+J908+J909+J910+J911</f>
        <v>0</v>
      </c>
      <c r="K900" s="223">
        <f>K901+K902+K903+K904+K905+K906+K907+K908+K909+K910+K911</f>
        <v>14.78</v>
      </c>
    </row>
    <row r="901" spans="1:11" ht="47.25" customHeight="1" x14ac:dyDescent="0.25">
      <c r="A901" s="308"/>
      <c r="B901" s="308"/>
      <c r="C901" s="317"/>
      <c r="D901" s="319"/>
      <c r="E901" s="308"/>
      <c r="F901" s="308"/>
      <c r="G901" s="148" t="s">
        <v>170</v>
      </c>
      <c r="H901" s="87" t="s">
        <v>168</v>
      </c>
      <c r="I901" s="223">
        <v>0</v>
      </c>
      <c r="J901" s="223">
        <f>I901/D900</f>
        <v>0</v>
      </c>
      <c r="K901" s="223">
        <f>32281/D900</f>
        <v>1.34</v>
      </c>
    </row>
    <row r="902" spans="1:11" ht="47.25" customHeight="1" x14ac:dyDescent="0.25">
      <c r="A902" s="308"/>
      <c r="B902" s="308"/>
      <c r="C902" s="317"/>
      <c r="D902" s="319"/>
      <c r="E902" s="308"/>
      <c r="F902" s="308"/>
      <c r="G902" s="148" t="s">
        <v>173</v>
      </c>
      <c r="H902" s="87" t="s">
        <v>168</v>
      </c>
      <c r="I902" s="223">
        <v>0</v>
      </c>
      <c r="J902" s="223">
        <f>I902/D900</f>
        <v>0</v>
      </c>
      <c r="K902" s="223">
        <f>32281/D900+0.01</f>
        <v>1.35</v>
      </c>
    </row>
    <row r="903" spans="1:11" ht="47.25" customHeight="1" x14ac:dyDescent="0.25">
      <c r="A903" s="308"/>
      <c r="B903" s="308"/>
      <c r="C903" s="317"/>
      <c r="D903" s="319"/>
      <c r="E903" s="308"/>
      <c r="F903" s="308"/>
      <c r="G903" s="148" t="s">
        <v>174</v>
      </c>
      <c r="H903" s="87" t="s">
        <v>168</v>
      </c>
      <c r="I903" s="223">
        <v>0</v>
      </c>
      <c r="J903" s="223">
        <f>I903/D900</f>
        <v>0</v>
      </c>
      <c r="K903" s="223">
        <f>32281/D900</f>
        <v>1.34</v>
      </c>
    </row>
    <row r="904" spans="1:11" ht="47.25" customHeight="1" x14ac:dyDescent="0.25">
      <c r="A904" s="308"/>
      <c r="B904" s="308"/>
      <c r="C904" s="317"/>
      <c r="D904" s="319"/>
      <c r="E904" s="308"/>
      <c r="F904" s="308"/>
      <c r="G904" s="148" t="s">
        <v>175</v>
      </c>
      <c r="H904" s="87" t="s">
        <v>168</v>
      </c>
      <c r="I904" s="223">
        <v>0</v>
      </c>
      <c r="J904" s="223">
        <f>I904/D900</f>
        <v>0</v>
      </c>
      <c r="K904" s="223">
        <f>32281/D900+0.01</f>
        <v>1.35</v>
      </c>
    </row>
    <row r="905" spans="1:11" ht="47.25" customHeight="1" x14ac:dyDescent="0.25">
      <c r="A905" s="308"/>
      <c r="B905" s="308"/>
      <c r="C905" s="317"/>
      <c r="D905" s="319"/>
      <c r="E905" s="308"/>
      <c r="F905" s="308"/>
      <c r="G905" s="148" t="s">
        <v>172</v>
      </c>
      <c r="H905" s="87" t="s">
        <v>168</v>
      </c>
      <c r="I905" s="223">
        <v>0</v>
      </c>
      <c r="J905" s="223">
        <f>I905/D900</f>
        <v>0</v>
      </c>
      <c r="K905" s="223">
        <f>32281/D900</f>
        <v>1.34</v>
      </c>
    </row>
    <row r="906" spans="1:11" ht="47.25" customHeight="1" x14ac:dyDescent="0.25">
      <c r="A906" s="308"/>
      <c r="B906" s="308"/>
      <c r="C906" s="317"/>
      <c r="D906" s="319"/>
      <c r="E906" s="308"/>
      <c r="F906" s="308"/>
      <c r="G906" s="148" t="s">
        <v>440</v>
      </c>
      <c r="H906" s="87" t="s">
        <v>168</v>
      </c>
      <c r="I906" s="223">
        <v>0</v>
      </c>
      <c r="J906" s="223">
        <f>I906/D900</f>
        <v>0</v>
      </c>
      <c r="K906" s="223">
        <f>32281/D900+0.01</f>
        <v>1.35</v>
      </c>
    </row>
    <row r="907" spans="1:11" ht="47.25" customHeight="1" x14ac:dyDescent="0.25">
      <c r="A907" s="308"/>
      <c r="B907" s="308"/>
      <c r="C907" s="317"/>
      <c r="D907" s="319"/>
      <c r="E907" s="308"/>
      <c r="F907" s="308"/>
      <c r="G907" s="148" t="s">
        <v>449</v>
      </c>
      <c r="H907" s="87" t="s">
        <v>168</v>
      </c>
      <c r="I907" s="223">
        <v>0</v>
      </c>
      <c r="J907" s="223">
        <f>I907/D900</f>
        <v>0</v>
      </c>
      <c r="K907" s="223">
        <f>32281/D900</f>
        <v>1.34</v>
      </c>
    </row>
    <row r="908" spans="1:11" ht="47.25" customHeight="1" x14ac:dyDescent="0.25">
      <c r="A908" s="308"/>
      <c r="B908" s="308"/>
      <c r="C908" s="317"/>
      <c r="D908" s="319"/>
      <c r="E908" s="308"/>
      <c r="F908" s="308"/>
      <c r="G908" s="148" t="s">
        <v>457</v>
      </c>
      <c r="H908" s="87" t="s">
        <v>168</v>
      </c>
      <c r="I908" s="223">
        <v>0</v>
      </c>
      <c r="J908" s="223">
        <f>I908/D900</f>
        <v>0</v>
      </c>
      <c r="K908" s="223">
        <f>32281/D900+0.01</f>
        <v>1.35</v>
      </c>
    </row>
    <row r="909" spans="1:11" ht="47.25" customHeight="1" x14ac:dyDescent="0.25">
      <c r="A909" s="308"/>
      <c r="B909" s="308"/>
      <c r="C909" s="317"/>
      <c r="D909" s="319"/>
      <c r="E909" s="308"/>
      <c r="F909" s="308"/>
      <c r="G909" s="148" t="s">
        <v>551</v>
      </c>
      <c r="H909" s="87" t="s">
        <v>168</v>
      </c>
      <c r="I909" s="223">
        <v>0</v>
      </c>
      <c r="J909" s="223">
        <f>I909/D900</f>
        <v>0</v>
      </c>
      <c r="K909" s="223">
        <f>32281/D900</f>
        <v>1.34</v>
      </c>
    </row>
    <row r="910" spans="1:11" ht="47.25" customHeight="1" x14ac:dyDescent="0.25">
      <c r="A910" s="308"/>
      <c r="B910" s="308"/>
      <c r="C910" s="317"/>
      <c r="D910" s="319"/>
      <c r="E910" s="308"/>
      <c r="F910" s="308"/>
      <c r="G910" s="148" t="s">
        <v>610</v>
      </c>
      <c r="H910" s="87" t="s">
        <v>168</v>
      </c>
      <c r="I910" s="223">
        <v>0</v>
      </c>
      <c r="J910" s="223">
        <f>I910/D900</f>
        <v>0</v>
      </c>
      <c r="K910" s="223">
        <f>32281/D900</f>
        <v>1.34</v>
      </c>
    </row>
    <row r="911" spans="1:11" ht="47.25" customHeight="1" x14ac:dyDescent="0.25">
      <c r="A911" s="308"/>
      <c r="B911" s="308"/>
      <c r="C911" s="317"/>
      <c r="D911" s="319"/>
      <c r="E911" s="308"/>
      <c r="F911" s="308"/>
      <c r="G911" s="148" t="s">
        <v>611</v>
      </c>
      <c r="H911" s="87" t="s">
        <v>168</v>
      </c>
      <c r="I911" s="223">
        <v>0</v>
      </c>
      <c r="J911" s="223">
        <f>I911/D900</f>
        <v>0</v>
      </c>
      <c r="K911" s="223">
        <f>32281/D900</f>
        <v>1.34</v>
      </c>
    </row>
    <row r="912" spans="1:11" ht="15.75" customHeight="1" x14ac:dyDescent="0.25">
      <c r="A912" s="307">
        <f>A900+1</f>
        <v>139</v>
      </c>
      <c r="B912" s="307">
        <v>2393</v>
      </c>
      <c r="C912" s="315" t="s">
        <v>612</v>
      </c>
      <c r="D912" s="318">
        <v>6768.3</v>
      </c>
      <c r="E912" s="307" t="s">
        <v>64</v>
      </c>
      <c r="F912" s="307">
        <v>10</v>
      </c>
      <c r="G912" s="145"/>
      <c r="H912" s="87" t="s">
        <v>66</v>
      </c>
      <c r="I912" s="223">
        <f>I913+I914+I915+I916+I917+I918+I919+I920+I921</f>
        <v>5079653.8600000003</v>
      </c>
      <c r="J912" s="223">
        <f>J913+J914+J915+J916+J917+J918+J919+J920+J921</f>
        <v>750.51</v>
      </c>
      <c r="K912" s="223">
        <f>K913+K914+K915+K916+K917+K918+K919+K920+K921</f>
        <v>1029.18</v>
      </c>
    </row>
    <row r="913" spans="1:11" ht="47.25" customHeight="1" x14ac:dyDescent="0.25">
      <c r="A913" s="308"/>
      <c r="B913" s="308"/>
      <c r="C913" s="317"/>
      <c r="D913" s="319"/>
      <c r="E913" s="308"/>
      <c r="F913" s="308"/>
      <c r="G913" s="307" t="s">
        <v>170</v>
      </c>
      <c r="H913" s="87" t="s">
        <v>168</v>
      </c>
      <c r="I913" s="223">
        <v>0</v>
      </c>
      <c r="J913" s="223">
        <f>I913/D912</f>
        <v>0</v>
      </c>
      <c r="K913" s="223">
        <f>32281/D912</f>
        <v>4.7699999999999996</v>
      </c>
    </row>
    <row r="914" spans="1:11" ht="15.75" customHeight="1" x14ac:dyDescent="0.25">
      <c r="A914" s="308"/>
      <c r="B914" s="308"/>
      <c r="C914" s="317"/>
      <c r="D914" s="319"/>
      <c r="E914" s="308"/>
      <c r="F914" s="308"/>
      <c r="G914" s="308"/>
      <c r="H914" s="87" t="s">
        <v>171</v>
      </c>
      <c r="I914" s="223">
        <v>1678666.66</v>
      </c>
      <c r="J914" s="223">
        <f>I914/D912</f>
        <v>248.02</v>
      </c>
      <c r="K914" s="223">
        <f>2241647/D912</f>
        <v>331.2</v>
      </c>
    </row>
    <row r="915" spans="1:11" ht="15.75" customHeight="1" x14ac:dyDescent="0.25">
      <c r="A915" s="308"/>
      <c r="B915" s="308"/>
      <c r="C915" s="317"/>
      <c r="D915" s="319"/>
      <c r="E915" s="308"/>
      <c r="F915" s="308"/>
      <c r="G915" s="309"/>
      <c r="H915" s="87" t="s">
        <v>69</v>
      </c>
      <c r="I915" s="223">
        <v>14551.28</v>
      </c>
      <c r="J915" s="223">
        <f>I915/D912</f>
        <v>2.15</v>
      </c>
      <c r="K915" s="223">
        <f>47971/D912</f>
        <v>7.09</v>
      </c>
    </row>
    <row r="916" spans="1:11" ht="47.25" customHeight="1" x14ac:dyDescent="0.25">
      <c r="A916" s="308"/>
      <c r="B916" s="308"/>
      <c r="C916" s="317"/>
      <c r="D916" s="319"/>
      <c r="E916" s="308"/>
      <c r="F916" s="308"/>
      <c r="G916" s="307" t="s">
        <v>173</v>
      </c>
      <c r="H916" s="87" t="s">
        <v>168</v>
      </c>
      <c r="I916" s="223">
        <v>0</v>
      </c>
      <c r="J916" s="223">
        <f>I916/D912</f>
        <v>0</v>
      </c>
      <c r="K916" s="223">
        <f>32281/D912</f>
        <v>4.7699999999999996</v>
      </c>
    </row>
    <row r="917" spans="1:11" ht="15.75" customHeight="1" x14ac:dyDescent="0.25">
      <c r="A917" s="308"/>
      <c r="B917" s="308"/>
      <c r="C917" s="317"/>
      <c r="D917" s="319"/>
      <c r="E917" s="308"/>
      <c r="F917" s="308"/>
      <c r="G917" s="308"/>
      <c r="H917" s="87" t="s">
        <v>171</v>
      </c>
      <c r="I917" s="223">
        <v>1678666.67</v>
      </c>
      <c r="J917" s="223">
        <f>I917/D912</f>
        <v>248.02</v>
      </c>
      <c r="K917" s="223">
        <f>2241647/D912</f>
        <v>331.2</v>
      </c>
    </row>
    <row r="918" spans="1:11" ht="15.75" customHeight="1" x14ac:dyDescent="0.25">
      <c r="A918" s="308"/>
      <c r="B918" s="308"/>
      <c r="C918" s="317"/>
      <c r="D918" s="319"/>
      <c r="E918" s="308"/>
      <c r="F918" s="308"/>
      <c r="G918" s="309"/>
      <c r="H918" s="87" t="s">
        <v>69</v>
      </c>
      <c r="I918" s="223">
        <v>14551.29</v>
      </c>
      <c r="J918" s="223">
        <f>I918/D912</f>
        <v>2.15</v>
      </c>
      <c r="K918" s="223">
        <f>47971/D912</f>
        <v>7.09</v>
      </c>
    </row>
    <row r="919" spans="1:11" ht="47.25" customHeight="1" x14ac:dyDescent="0.25">
      <c r="A919" s="308"/>
      <c r="B919" s="308"/>
      <c r="C919" s="317"/>
      <c r="D919" s="319"/>
      <c r="E919" s="308"/>
      <c r="F919" s="308"/>
      <c r="G919" s="307" t="s">
        <v>174</v>
      </c>
      <c r="H919" s="87" t="s">
        <v>168</v>
      </c>
      <c r="I919" s="223">
        <v>0</v>
      </c>
      <c r="J919" s="223">
        <f>I919/D912</f>
        <v>0</v>
      </c>
      <c r="K919" s="223">
        <f>32281/D912</f>
        <v>4.7699999999999996</v>
      </c>
    </row>
    <row r="920" spans="1:11" ht="15.75" customHeight="1" x14ac:dyDescent="0.25">
      <c r="A920" s="308"/>
      <c r="B920" s="308"/>
      <c r="C920" s="317"/>
      <c r="D920" s="319"/>
      <c r="E920" s="308"/>
      <c r="F920" s="308"/>
      <c r="G920" s="308"/>
      <c r="H920" s="87" t="s">
        <v>171</v>
      </c>
      <c r="I920" s="223">
        <v>1678666.67</v>
      </c>
      <c r="J920" s="223">
        <f>I920/D912</f>
        <v>248.02</v>
      </c>
      <c r="K920" s="223">
        <f>2241647/D912</f>
        <v>331.2</v>
      </c>
    </row>
    <row r="921" spans="1:11" ht="15.75" customHeight="1" x14ac:dyDescent="0.25">
      <c r="A921" s="308"/>
      <c r="B921" s="308"/>
      <c r="C921" s="317"/>
      <c r="D921" s="319"/>
      <c r="E921" s="308"/>
      <c r="F921" s="308"/>
      <c r="G921" s="309"/>
      <c r="H921" s="87" t="s">
        <v>69</v>
      </c>
      <c r="I921" s="223">
        <v>14551.29</v>
      </c>
      <c r="J921" s="223">
        <f>I921/D912</f>
        <v>2.15</v>
      </c>
      <c r="K921" s="223">
        <f>47971/D912</f>
        <v>7.09</v>
      </c>
    </row>
    <row r="922" spans="1:11" ht="15.75" customHeight="1" x14ac:dyDescent="0.25">
      <c r="A922" s="307">
        <f>A912+1</f>
        <v>140</v>
      </c>
      <c r="B922" s="307">
        <v>2394</v>
      </c>
      <c r="C922" s="315" t="s">
        <v>613</v>
      </c>
      <c r="D922" s="318">
        <v>4486.8</v>
      </c>
      <c r="E922" s="307" t="s">
        <v>64</v>
      </c>
      <c r="F922" s="307">
        <v>10</v>
      </c>
      <c r="G922" s="145"/>
      <c r="H922" s="87" t="s">
        <v>66</v>
      </c>
      <c r="I922" s="223">
        <f>I923+I924</f>
        <v>0</v>
      </c>
      <c r="J922" s="223">
        <f t="shared" ref="J922:K922" si="42">J923+J924</f>
        <v>0</v>
      </c>
      <c r="K922" s="223">
        <f t="shared" si="42"/>
        <v>14.37</v>
      </c>
    </row>
    <row r="923" spans="1:11" ht="47.25" customHeight="1" x14ac:dyDescent="0.25">
      <c r="A923" s="308"/>
      <c r="B923" s="308"/>
      <c r="C923" s="317"/>
      <c r="D923" s="319"/>
      <c r="E923" s="308"/>
      <c r="F923" s="308"/>
      <c r="G923" s="148" t="s">
        <v>170</v>
      </c>
      <c r="H923" s="87" t="s">
        <v>168</v>
      </c>
      <c r="I923" s="223">
        <v>0</v>
      </c>
      <c r="J923" s="223">
        <f>I923/D922</f>
        <v>0</v>
      </c>
      <c r="K923" s="223">
        <f>32281/D922-0.01</f>
        <v>7.18</v>
      </c>
    </row>
    <row r="924" spans="1:11" ht="47.25" customHeight="1" x14ac:dyDescent="0.25">
      <c r="A924" s="308"/>
      <c r="B924" s="308"/>
      <c r="C924" s="317"/>
      <c r="D924" s="319"/>
      <c r="E924" s="308"/>
      <c r="F924" s="308"/>
      <c r="G924" s="148" t="s">
        <v>173</v>
      </c>
      <c r="H924" s="87" t="s">
        <v>168</v>
      </c>
      <c r="I924" s="223">
        <v>0</v>
      </c>
      <c r="J924" s="223">
        <f>I924/D922</f>
        <v>0</v>
      </c>
      <c r="K924" s="223">
        <f>32281/D922</f>
        <v>7.19</v>
      </c>
    </row>
    <row r="925" spans="1:11" ht="15.75" customHeight="1" x14ac:dyDescent="0.25">
      <c r="A925" s="307">
        <f>A922+1</f>
        <v>141</v>
      </c>
      <c r="B925" s="307">
        <v>2395</v>
      </c>
      <c r="C925" s="315" t="s">
        <v>614</v>
      </c>
      <c r="D925" s="318">
        <v>4784.8999999999996</v>
      </c>
      <c r="E925" s="307" t="s">
        <v>64</v>
      </c>
      <c r="F925" s="307">
        <v>10</v>
      </c>
      <c r="G925" s="145"/>
      <c r="H925" s="87" t="s">
        <v>66</v>
      </c>
      <c r="I925" s="223">
        <f>I926+I927</f>
        <v>0</v>
      </c>
      <c r="J925" s="223">
        <f t="shared" ref="J925" si="43">J926+J927</f>
        <v>0</v>
      </c>
      <c r="K925" s="223">
        <f t="shared" ref="K925" si="44">K926+K927</f>
        <v>13.49</v>
      </c>
    </row>
    <row r="926" spans="1:11" ht="47.25" customHeight="1" x14ac:dyDescent="0.25">
      <c r="A926" s="308"/>
      <c r="B926" s="308"/>
      <c r="C926" s="317"/>
      <c r="D926" s="319"/>
      <c r="E926" s="308"/>
      <c r="F926" s="308"/>
      <c r="G926" s="148" t="s">
        <v>170</v>
      </c>
      <c r="H926" s="87" t="s">
        <v>168</v>
      </c>
      <c r="I926" s="223">
        <v>0</v>
      </c>
      <c r="J926" s="223">
        <f>I926/D925</f>
        <v>0</v>
      </c>
      <c r="K926" s="223">
        <f>32281/D925-0.01</f>
        <v>6.74</v>
      </c>
    </row>
    <row r="927" spans="1:11" ht="47.25" customHeight="1" x14ac:dyDescent="0.25">
      <c r="A927" s="308"/>
      <c r="B927" s="308"/>
      <c r="C927" s="317"/>
      <c r="D927" s="319"/>
      <c r="E927" s="308"/>
      <c r="F927" s="308"/>
      <c r="G927" s="148" t="s">
        <v>173</v>
      </c>
      <c r="H927" s="87" t="s">
        <v>168</v>
      </c>
      <c r="I927" s="223">
        <v>0</v>
      </c>
      <c r="J927" s="223">
        <f>I927/D925</f>
        <v>0</v>
      </c>
      <c r="K927" s="223">
        <f>32281/D925</f>
        <v>6.75</v>
      </c>
    </row>
    <row r="928" spans="1:11" x14ac:dyDescent="0.25">
      <c r="A928" s="81" t="s">
        <v>31</v>
      </c>
      <c r="B928" s="81"/>
      <c r="C928" s="124"/>
      <c r="D928" s="151">
        <f>D929+D931+D933</f>
        <v>1928</v>
      </c>
      <c r="E928" s="80"/>
      <c r="F928" s="80"/>
      <c r="G928" s="151"/>
      <c r="H928" s="85"/>
      <c r="I928" s="223">
        <f>I929+I931+I933</f>
        <v>5340360.78</v>
      </c>
      <c r="J928" s="223"/>
      <c r="K928" s="223"/>
    </row>
    <row r="929" spans="1:11" ht="15.75" customHeight="1" x14ac:dyDescent="0.25">
      <c r="A929" s="307">
        <v>1</v>
      </c>
      <c r="B929" s="307">
        <v>4859</v>
      </c>
      <c r="C929" s="315" t="s">
        <v>435</v>
      </c>
      <c r="D929" s="318">
        <v>336</v>
      </c>
      <c r="E929" s="330" t="s">
        <v>68</v>
      </c>
      <c r="F929" s="330">
        <v>2</v>
      </c>
      <c r="G929" s="161"/>
      <c r="H929" s="87" t="s">
        <v>66</v>
      </c>
      <c r="I929" s="223">
        <f>I930</f>
        <v>13582.8</v>
      </c>
      <c r="J929" s="223">
        <f>J930</f>
        <v>40.43</v>
      </c>
      <c r="K929" s="223">
        <f>K930</f>
        <v>42</v>
      </c>
    </row>
    <row r="930" spans="1:11" ht="63" x14ac:dyDescent="0.25">
      <c r="A930" s="308">
        <v>15</v>
      </c>
      <c r="B930" s="309"/>
      <c r="C930" s="317"/>
      <c r="D930" s="319"/>
      <c r="E930" s="331"/>
      <c r="F930" s="331"/>
      <c r="G930" s="148" t="s">
        <v>71</v>
      </c>
      <c r="H930" s="87" t="s">
        <v>168</v>
      </c>
      <c r="I930" s="223">
        <v>13582.8</v>
      </c>
      <c r="J930" s="223">
        <f>I930/D929</f>
        <v>40.43</v>
      </c>
      <c r="K930" s="223">
        <f>21+21</f>
        <v>42</v>
      </c>
    </row>
    <row r="931" spans="1:11" ht="15.75" customHeight="1" x14ac:dyDescent="0.25">
      <c r="A931" s="307">
        <f>A929+1</f>
        <v>2</v>
      </c>
      <c r="B931" s="307">
        <v>8046</v>
      </c>
      <c r="C931" s="315" t="s">
        <v>288</v>
      </c>
      <c r="D931" s="318">
        <v>325</v>
      </c>
      <c r="E931" s="318" t="s">
        <v>167</v>
      </c>
      <c r="F931" s="330">
        <v>2</v>
      </c>
      <c r="G931" s="161"/>
      <c r="H931" s="87" t="s">
        <v>66</v>
      </c>
      <c r="I931" s="223">
        <f>I932</f>
        <v>80502.5</v>
      </c>
      <c r="J931" s="223">
        <f>J932</f>
        <v>247.7</v>
      </c>
      <c r="K931" s="223">
        <f>K932</f>
        <v>260</v>
      </c>
    </row>
    <row r="932" spans="1:11" ht="63" x14ac:dyDescent="0.25">
      <c r="A932" s="308"/>
      <c r="B932" s="308"/>
      <c r="C932" s="317"/>
      <c r="D932" s="319"/>
      <c r="E932" s="319"/>
      <c r="F932" s="331"/>
      <c r="G932" s="148" t="s">
        <v>65</v>
      </c>
      <c r="H932" s="87" t="s">
        <v>178</v>
      </c>
      <c r="I932" s="223">
        <v>80502.5</v>
      </c>
      <c r="J932" s="223">
        <f>I932/D931</f>
        <v>247.7</v>
      </c>
      <c r="K932" s="223">
        <f>164+96</f>
        <v>260</v>
      </c>
    </row>
    <row r="933" spans="1:11" ht="15.75" customHeight="1" x14ac:dyDescent="0.25">
      <c r="A933" s="310">
        <f>A931+1</f>
        <v>3</v>
      </c>
      <c r="B933" s="307">
        <v>4850</v>
      </c>
      <c r="C933" s="315" t="s">
        <v>157</v>
      </c>
      <c r="D933" s="318">
        <v>1267</v>
      </c>
      <c r="E933" s="318" t="s">
        <v>68</v>
      </c>
      <c r="F933" s="330">
        <v>3</v>
      </c>
      <c r="G933" s="307" t="s">
        <v>65</v>
      </c>
      <c r="H933" s="87" t="s">
        <v>66</v>
      </c>
      <c r="I933" s="223">
        <f>I934+I935</f>
        <v>5246275.4800000004</v>
      </c>
      <c r="J933" s="223">
        <f>J934+J935</f>
        <v>4140.71</v>
      </c>
      <c r="K933" s="223">
        <f>K934+K935</f>
        <v>5144</v>
      </c>
    </row>
    <row r="934" spans="1:11" x14ac:dyDescent="0.25">
      <c r="A934" s="310">
        <v>15</v>
      </c>
      <c r="B934" s="308"/>
      <c r="C934" s="317"/>
      <c r="D934" s="319"/>
      <c r="E934" s="319"/>
      <c r="F934" s="331"/>
      <c r="G934" s="308"/>
      <c r="H934" s="87" t="s">
        <v>67</v>
      </c>
      <c r="I934" s="223">
        <v>5136357.43</v>
      </c>
      <c r="J934" s="223">
        <f>I934/D933+0.01</f>
        <v>4053.96</v>
      </c>
      <c r="K934" s="223">
        <v>5036</v>
      </c>
    </row>
    <row r="935" spans="1:11" x14ac:dyDescent="0.25">
      <c r="A935" s="310">
        <v>16</v>
      </c>
      <c r="B935" s="309"/>
      <c r="C935" s="316"/>
      <c r="D935" s="329"/>
      <c r="E935" s="329"/>
      <c r="F935" s="332"/>
      <c r="G935" s="309"/>
      <c r="H935" s="87" t="s">
        <v>69</v>
      </c>
      <c r="I935" s="223">
        <v>109918.05</v>
      </c>
      <c r="J935" s="223">
        <f>I935/D933</f>
        <v>86.75</v>
      </c>
      <c r="K935" s="223">
        <v>108</v>
      </c>
    </row>
    <row r="936" spans="1:11" x14ac:dyDescent="0.25">
      <c r="A936" s="81" t="s">
        <v>32</v>
      </c>
      <c r="B936" s="81"/>
      <c r="C936" s="124"/>
      <c r="D936" s="80">
        <f>D937+D939+D941+D944+D946+D951</f>
        <v>2314.64</v>
      </c>
      <c r="E936" s="80"/>
      <c r="F936" s="80"/>
      <c r="G936" s="151"/>
      <c r="H936" s="92"/>
      <c r="I936" s="223">
        <f>I937+I939+I941+I944+I946+I951</f>
        <v>2506510.5</v>
      </c>
      <c r="J936" s="223"/>
      <c r="K936" s="223"/>
    </row>
    <row r="937" spans="1:11" ht="15.75" customHeight="1" x14ac:dyDescent="0.25">
      <c r="A937" s="307">
        <v>1</v>
      </c>
      <c r="B937" s="307">
        <v>7260</v>
      </c>
      <c r="C937" s="315" t="s">
        <v>450</v>
      </c>
      <c r="D937" s="318">
        <v>335.8</v>
      </c>
      <c r="E937" s="318" t="s">
        <v>167</v>
      </c>
      <c r="F937" s="330">
        <v>2</v>
      </c>
      <c r="G937" s="307" t="s">
        <v>65</v>
      </c>
      <c r="H937" s="87" t="s">
        <v>66</v>
      </c>
      <c r="I937" s="223">
        <f>I938</f>
        <v>64556.85</v>
      </c>
      <c r="J937" s="223">
        <f>J938</f>
        <v>192.25</v>
      </c>
      <c r="K937" s="223">
        <f>K938</f>
        <v>259</v>
      </c>
    </row>
    <row r="938" spans="1:11" ht="63" x14ac:dyDescent="0.25">
      <c r="A938" s="308"/>
      <c r="B938" s="308"/>
      <c r="C938" s="317"/>
      <c r="D938" s="319"/>
      <c r="E938" s="319"/>
      <c r="F938" s="331"/>
      <c r="G938" s="309"/>
      <c r="H938" s="91" t="s">
        <v>178</v>
      </c>
      <c r="I938" s="223">
        <v>64556.85</v>
      </c>
      <c r="J938" s="223">
        <f>I938/D937</f>
        <v>192.25</v>
      </c>
      <c r="K938" s="223">
        <f>163+96</f>
        <v>259</v>
      </c>
    </row>
    <row r="939" spans="1:11" ht="15.75" customHeight="1" x14ac:dyDescent="0.25">
      <c r="A939" s="307">
        <f>A937+1</f>
        <v>2</v>
      </c>
      <c r="B939" s="307">
        <v>7261</v>
      </c>
      <c r="C939" s="315" t="s">
        <v>451</v>
      </c>
      <c r="D939" s="318">
        <v>344.04</v>
      </c>
      <c r="E939" s="318" t="s">
        <v>167</v>
      </c>
      <c r="F939" s="330">
        <v>2</v>
      </c>
      <c r="G939" s="307" t="s">
        <v>65</v>
      </c>
      <c r="H939" s="87" t="s">
        <v>66</v>
      </c>
      <c r="I939" s="223">
        <f>I940</f>
        <v>63331.74</v>
      </c>
      <c r="J939" s="223">
        <f>J940</f>
        <v>184.08</v>
      </c>
      <c r="K939" s="223">
        <f>K940</f>
        <v>259</v>
      </c>
    </row>
    <row r="940" spans="1:11" ht="63" x14ac:dyDescent="0.25">
      <c r="A940" s="308"/>
      <c r="B940" s="308"/>
      <c r="C940" s="317"/>
      <c r="D940" s="319"/>
      <c r="E940" s="319"/>
      <c r="F940" s="331"/>
      <c r="G940" s="309"/>
      <c r="H940" s="91" t="s">
        <v>178</v>
      </c>
      <c r="I940" s="223">
        <v>63331.74</v>
      </c>
      <c r="J940" s="223">
        <f>I940/D939</f>
        <v>184.08</v>
      </c>
      <c r="K940" s="223">
        <f>163+96</f>
        <v>259</v>
      </c>
    </row>
    <row r="941" spans="1:11" ht="15.75" customHeight="1" x14ac:dyDescent="0.25">
      <c r="A941" s="307">
        <v>3</v>
      </c>
      <c r="B941" s="307">
        <v>7275</v>
      </c>
      <c r="C941" s="315" t="s">
        <v>487</v>
      </c>
      <c r="D941" s="318">
        <v>365.5</v>
      </c>
      <c r="E941" s="318" t="s">
        <v>167</v>
      </c>
      <c r="F941" s="330">
        <v>2</v>
      </c>
      <c r="G941" s="310" t="s">
        <v>182</v>
      </c>
      <c r="H941" s="87" t="s">
        <v>66</v>
      </c>
      <c r="I941" s="223">
        <f>I942+I943</f>
        <v>154685.34</v>
      </c>
      <c r="J941" s="223">
        <f>J942+J943</f>
        <v>423.22</v>
      </c>
      <c r="K941" s="223">
        <f>K942+K943</f>
        <v>464</v>
      </c>
    </row>
    <row r="942" spans="1:11" ht="63" x14ac:dyDescent="0.25">
      <c r="A942" s="308"/>
      <c r="B942" s="308"/>
      <c r="C942" s="317"/>
      <c r="D942" s="319"/>
      <c r="E942" s="319"/>
      <c r="F942" s="331"/>
      <c r="G942" s="310"/>
      <c r="H942" s="91" t="s">
        <v>178</v>
      </c>
      <c r="I942" s="223">
        <v>88040.59</v>
      </c>
      <c r="J942" s="223">
        <f>I942/D941</f>
        <v>240.88</v>
      </c>
      <c r="K942" s="223">
        <f>232+27</f>
        <v>259</v>
      </c>
    </row>
    <row r="943" spans="1:11" ht="63" x14ac:dyDescent="0.25">
      <c r="A943" s="308"/>
      <c r="B943" s="308"/>
      <c r="C943" s="317"/>
      <c r="D943" s="319"/>
      <c r="E943" s="319"/>
      <c r="F943" s="331"/>
      <c r="G943" s="310"/>
      <c r="H943" s="87" t="s">
        <v>488</v>
      </c>
      <c r="I943" s="223">
        <v>66644.75</v>
      </c>
      <c r="J943" s="223">
        <f>I943/D941</f>
        <v>182.34</v>
      </c>
      <c r="K943" s="223">
        <f>177+28</f>
        <v>205</v>
      </c>
    </row>
    <row r="944" spans="1:11" ht="15.75" customHeight="1" x14ac:dyDescent="0.25">
      <c r="A944" s="307">
        <v>4</v>
      </c>
      <c r="B944" s="307">
        <v>7317</v>
      </c>
      <c r="C944" s="315" t="s">
        <v>489</v>
      </c>
      <c r="D944" s="318">
        <v>520.9</v>
      </c>
      <c r="E944" s="318" t="s">
        <v>167</v>
      </c>
      <c r="F944" s="330">
        <v>2</v>
      </c>
      <c r="G944" s="310" t="s">
        <v>65</v>
      </c>
      <c r="H944" s="87" t="s">
        <v>66</v>
      </c>
      <c r="I944" s="223">
        <f>I945</f>
        <v>93693.64</v>
      </c>
      <c r="J944" s="223">
        <f>J945</f>
        <v>179.87</v>
      </c>
      <c r="K944" s="223">
        <f>K945</f>
        <v>259</v>
      </c>
    </row>
    <row r="945" spans="1:11" ht="63" x14ac:dyDescent="0.25">
      <c r="A945" s="308"/>
      <c r="B945" s="308"/>
      <c r="C945" s="317"/>
      <c r="D945" s="329"/>
      <c r="E945" s="319"/>
      <c r="F945" s="331"/>
      <c r="G945" s="310"/>
      <c r="H945" s="91" t="s">
        <v>178</v>
      </c>
      <c r="I945" s="223">
        <v>93693.64</v>
      </c>
      <c r="J945" s="223">
        <f>I945/D944</f>
        <v>179.87</v>
      </c>
      <c r="K945" s="223">
        <f>163+96</f>
        <v>259</v>
      </c>
    </row>
    <row r="946" spans="1:11" x14ac:dyDescent="0.25">
      <c r="A946" s="307">
        <f>A944+1</f>
        <v>5</v>
      </c>
      <c r="B946" s="307">
        <v>7343</v>
      </c>
      <c r="C946" s="315" t="s">
        <v>244</v>
      </c>
      <c r="D946" s="318">
        <v>363.2</v>
      </c>
      <c r="E946" s="318" t="s">
        <v>68</v>
      </c>
      <c r="F946" s="330">
        <v>2</v>
      </c>
      <c r="G946" s="308" t="s">
        <v>182</v>
      </c>
      <c r="H946" s="87" t="s">
        <v>66</v>
      </c>
      <c r="I946" s="223">
        <f>I947+I948+I949+I950</f>
        <v>2009044.51</v>
      </c>
      <c r="J946" s="223">
        <f>J947+J948+J949+J950</f>
        <v>5531.51</v>
      </c>
      <c r="K946" s="223">
        <f>K947+K948+K949+K950</f>
        <v>7493</v>
      </c>
    </row>
    <row r="947" spans="1:11" x14ac:dyDescent="0.25">
      <c r="A947" s="308"/>
      <c r="B947" s="308"/>
      <c r="C947" s="317"/>
      <c r="D947" s="319"/>
      <c r="E947" s="319"/>
      <c r="F947" s="331"/>
      <c r="G947" s="308"/>
      <c r="H947" s="87" t="s">
        <v>67</v>
      </c>
      <c r="I947" s="223">
        <v>835645.45</v>
      </c>
      <c r="J947" s="223">
        <f>I947/D946</f>
        <v>2300.79</v>
      </c>
      <c r="K947" s="223">
        <v>2915</v>
      </c>
    </row>
    <row r="948" spans="1:11" x14ac:dyDescent="0.25">
      <c r="A948" s="308"/>
      <c r="B948" s="308"/>
      <c r="C948" s="317"/>
      <c r="D948" s="319"/>
      <c r="E948" s="319"/>
      <c r="F948" s="331"/>
      <c r="G948" s="308"/>
      <c r="H948" s="87" t="s">
        <v>69</v>
      </c>
      <c r="I948" s="223">
        <v>18535.82</v>
      </c>
      <c r="J948" s="223">
        <f>I948/D946</f>
        <v>51.03</v>
      </c>
      <c r="K948" s="223">
        <v>62</v>
      </c>
    </row>
    <row r="949" spans="1:11" x14ac:dyDescent="0.25">
      <c r="A949" s="308"/>
      <c r="B949" s="308"/>
      <c r="C949" s="317"/>
      <c r="D949" s="319"/>
      <c r="E949" s="319"/>
      <c r="F949" s="331"/>
      <c r="G949" s="308"/>
      <c r="H949" s="87" t="s">
        <v>179</v>
      </c>
      <c r="I949" s="223">
        <v>1126066.53</v>
      </c>
      <c r="J949" s="223">
        <f>I949/D946</f>
        <v>3100.4</v>
      </c>
      <c r="K949" s="223">
        <v>4421</v>
      </c>
    </row>
    <row r="950" spans="1:11" x14ac:dyDescent="0.25">
      <c r="A950" s="309"/>
      <c r="B950" s="309"/>
      <c r="C950" s="316"/>
      <c r="D950" s="329"/>
      <c r="E950" s="329"/>
      <c r="F950" s="332"/>
      <c r="G950" s="309"/>
      <c r="H950" s="87" t="s">
        <v>69</v>
      </c>
      <c r="I950" s="223">
        <v>28796.71</v>
      </c>
      <c r="J950" s="223">
        <f>I950/D946</f>
        <v>79.290000000000006</v>
      </c>
      <c r="K950" s="223">
        <v>95</v>
      </c>
    </row>
    <row r="951" spans="1:11" x14ac:dyDescent="0.25">
      <c r="A951" s="307">
        <f>A946+1</f>
        <v>6</v>
      </c>
      <c r="B951" s="307">
        <v>7357</v>
      </c>
      <c r="C951" s="315" t="s">
        <v>490</v>
      </c>
      <c r="D951" s="318">
        <v>385.2</v>
      </c>
      <c r="E951" s="318" t="s">
        <v>68</v>
      </c>
      <c r="F951" s="330">
        <v>2</v>
      </c>
      <c r="G951" s="308" t="s">
        <v>182</v>
      </c>
      <c r="H951" s="87" t="s">
        <v>66</v>
      </c>
      <c r="I951" s="223">
        <f>I952+I953</f>
        <v>121198.42</v>
      </c>
      <c r="J951" s="223">
        <f>J952+J953</f>
        <v>314.64</v>
      </c>
      <c r="K951" s="223">
        <f>K952+K953</f>
        <v>349</v>
      </c>
    </row>
    <row r="952" spans="1:11" ht="63" x14ac:dyDescent="0.25">
      <c r="A952" s="308"/>
      <c r="B952" s="308"/>
      <c r="C952" s="317"/>
      <c r="D952" s="319"/>
      <c r="E952" s="319"/>
      <c r="F952" s="331"/>
      <c r="G952" s="308"/>
      <c r="H952" s="91" t="s">
        <v>178</v>
      </c>
      <c r="I952" s="223">
        <v>52264.68</v>
      </c>
      <c r="J952" s="223">
        <f>I952/D951</f>
        <v>135.68</v>
      </c>
      <c r="K952" s="223">
        <f>117+27</f>
        <v>144</v>
      </c>
    </row>
    <row r="953" spans="1:11" ht="63" x14ac:dyDescent="0.25">
      <c r="A953" s="308"/>
      <c r="B953" s="308"/>
      <c r="C953" s="317"/>
      <c r="D953" s="319"/>
      <c r="E953" s="319"/>
      <c r="F953" s="331"/>
      <c r="G953" s="308"/>
      <c r="H953" s="87" t="s">
        <v>488</v>
      </c>
      <c r="I953" s="223">
        <v>68933.740000000005</v>
      </c>
      <c r="J953" s="223">
        <f>I953/D951</f>
        <v>178.96</v>
      </c>
      <c r="K953" s="223">
        <f>177+28</f>
        <v>205</v>
      </c>
    </row>
    <row r="954" spans="1:11" x14ac:dyDescent="0.25">
      <c r="A954" s="81" t="s">
        <v>34</v>
      </c>
      <c r="B954" s="81"/>
      <c r="C954" s="124"/>
      <c r="D954" s="151">
        <f>D955+D958+D961+D963+D966+D969</f>
        <v>5288.8</v>
      </c>
      <c r="E954" s="151"/>
      <c r="F954" s="151"/>
      <c r="G954" s="151"/>
      <c r="H954" s="92"/>
      <c r="I954" s="223">
        <f>I955+I958+I961+I963+I966+I969</f>
        <v>932223.77</v>
      </c>
      <c r="J954" s="223"/>
      <c r="K954" s="223"/>
    </row>
    <row r="955" spans="1:11" x14ac:dyDescent="0.25">
      <c r="A955" s="310">
        <v>1</v>
      </c>
      <c r="B955" s="310">
        <v>6737</v>
      </c>
      <c r="C955" s="333" t="s">
        <v>290</v>
      </c>
      <c r="D955" s="318">
        <v>699.5</v>
      </c>
      <c r="E955" s="318" t="s">
        <v>68</v>
      </c>
      <c r="F955" s="330">
        <v>3</v>
      </c>
      <c r="G955" s="161"/>
      <c r="H955" s="87" t="s">
        <v>66</v>
      </c>
      <c r="I955" s="223">
        <f>I956+I957</f>
        <v>111911.5</v>
      </c>
      <c r="J955" s="223">
        <f>J956+J957</f>
        <v>159.99</v>
      </c>
      <c r="K955" s="223">
        <f>K956+K957</f>
        <v>179</v>
      </c>
    </row>
    <row r="956" spans="1:11" ht="63" x14ac:dyDescent="0.25">
      <c r="A956" s="310"/>
      <c r="B956" s="310"/>
      <c r="C956" s="333"/>
      <c r="D956" s="319"/>
      <c r="E956" s="319"/>
      <c r="F956" s="331"/>
      <c r="G956" s="148" t="s">
        <v>70</v>
      </c>
      <c r="H956" s="87" t="s">
        <v>168</v>
      </c>
      <c r="I956" s="226">
        <v>93302</v>
      </c>
      <c r="J956" s="223">
        <f>I956/D955+0.01</f>
        <v>133.38999999999999</v>
      </c>
      <c r="K956" s="223">
        <f>116+21</f>
        <v>137</v>
      </c>
    </row>
    <row r="957" spans="1:11" ht="63" x14ac:dyDescent="0.25">
      <c r="A957" s="310"/>
      <c r="B957" s="310"/>
      <c r="C957" s="333"/>
      <c r="D957" s="319"/>
      <c r="E957" s="319"/>
      <c r="F957" s="331"/>
      <c r="G957" s="148" t="s">
        <v>71</v>
      </c>
      <c r="H957" s="87" t="s">
        <v>168</v>
      </c>
      <c r="I957" s="226">
        <v>18609.5</v>
      </c>
      <c r="J957" s="223">
        <f>I957/D955</f>
        <v>26.6</v>
      </c>
      <c r="K957" s="223">
        <f>21+21</f>
        <v>42</v>
      </c>
    </row>
    <row r="958" spans="1:11" x14ac:dyDescent="0.25">
      <c r="A958" s="310">
        <f>A955+1</f>
        <v>2</v>
      </c>
      <c r="B958" s="310">
        <v>6719</v>
      </c>
      <c r="C958" s="333" t="s">
        <v>491</v>
      </c>
      <c r="D958" s="318">
        <v>3419.4</v>
      </c>
      <c r="E958" s="318" t="s">
        <v>64</v>
      </c>
      <c r="F958" s="330">
        <v>5</v>
      </c>
      <c r="G958" s="161"/>
      <c r="H958" s="87" t="s">
        <v>66</v>
      </c>
      <c r="I958" s="223">
        <f>I959+I960</f>
        <v>541273.77</v>
      </c>
      <c r="J958" s="223">
        <f>J959+J960</f>
        <v>158.29</v>
      </c>
      <c r="K958" s="223">
        <f>K959+K960</f>
        <v>407</v>
      </c>
    </row>
    <row r="959" spans="1:11" x14ac:dyDescent="0.25">
      <c r="A959" s="310"/>
      <c r="B959" s="310"/>
      <c r="C959" s="333"/>
      <c r="D959" s="319"/>
      <c r="E959" s="319"/>
      <c r="F959" s="331"/>
      <c r="G959" s="310" t="s">
        <v>74</v>
      </c>
      <c r="H959" s="87" t="s">
        <v>67</v>
      </c>
      <c r="I959" s="223">
        <v>529933.19999999995</v>
      </c>
      <c r="J959" s="223">
        <f>I959/D958-0.01</f>
        <v>154.97</v>
      </c>
      <c r="K959" s="223">
        <v>398</v>
      </c>
    </row>
    <row r="960" spans="1:11" x14ac:dyDescent="0.25">
      <c r="A960" s="310"/>
      <c r="B960" s="310"/>
      <c r="C960" s="333"/>
      <c r="D960" s="329"/>
      <c r="E960" s="329"/>
      <c r="F960" s="332"/>
      <c r="G960" s="310"/>
      <c r="H960" s="87" t="s">
        <v>69</v>
      </c>
      <c r="I960" s="223">
        <v>11340.57</v>
      </c>
      <c r="J960" s="223">
        <f>I960/D958</f>
        <v>3.32</v>
      </c>
      <c r="K960" s="223">
        <v>9</v>
      </c>
    </row>
    <row r="961" spans="1:11" x14ac:dyDescent="0.25">
      <c r="A961" s="310">
        <f>A958+1</f>
        <v>3</v>
      </c>
      <c r="B961" s="310">
        <v>6749</v>
      </c>
      <c r="C961" s="333" t="s">
        <v>291</v>
      </c>
      <c r="D961" s="318">
        <v>288.7</v>
      </c>
      <c r="E961" s="318" t="s">
        <v>68</v>
      </c>
      <c r="F961" s="330">
        <v>2</v>
      </c>
      <c r="G961" s="161"/>
      <c r="H961" s="87" t="s">
        <v>66</v>
      </c>
      <c r="I961" s="223">
        <f>I962</f>
        <v>34355.300000000003</v>
      </c>
      <c r="J961" s="223">
        <f t="shared" ref="J961:K961" si="45">J962</f>
        <v>119</v>
      </c>
      <c r="K961" s="223">
        <f t="shared" si="45"/>
        <v>119</v>
      </c>
    </row>
    <row r="962" spans="1:11" ht="63" x14ac:dyDescent="0.25">
      <c r="A962" s="310"/>
      <c r="B962" s="310"/>
      <c r="C962" s="333"/>
      <c r="D962" s="319"/>
      <c r="E962" s="319"/>
      <c r="F962" s="331"/>
      <c r="G962" s="148" t="s">
        <v>71</v>
      </c>
      <c r="H962" s="87" t="s">
        <v>168</v>
      </c>
      <c r="I962" s="223">
        <f>D961*K962</f>
        <v>34355.300000000003</v>
      </c>
      <c r="J962" s="223">
        <f>I962/D961</f>
        <v>119</v>
      </c>
      <c r="K962" s="223">
        <f>21+98</f>
        <v>119</v>
      </c>
    </row>
    <row r="963" spans="1:11" x14ac:dyDescent="0.25">
      <c r="A963" s="310">
        <f>A961+1</f>
        <v>4</v>
      </c>
      <c r="B963" s="310">
        <v>6727</v>
      </c>
      <c r="C963" s="333" t="s">
        <v>292</v>
      </c>
      <c r="D963" s="318">
        <v>316.60000000000002</v>
      </c>
      <c r="E963" s="318" t="s">
        <v>68</v>
      </c>
      <c r="F963" s="330">
        <v>2</v>
      </c>
      <c r="G963" s="161"/>
      <c r="H963" s="87" t="s">
        <v>66</v>
      </c>
      <c r="I963" s="223">
        <f>I964+I965</f>
        <v>56671.4</v>
      </c>
      <c r="J963" s="223">
        <f>J964+J965</f>
        <v>179</v>
      </c>
      <c r="K963" s="223">
        <f>K964+K965</f>
        <v>179</v>
      </c>
    </row>
    <row r="964" spans="1:11" ht="63" x14ac:dyDescent="0.25">
      <c r="A964" s="310"/>
      <c r="B964" s="310"/>
      <c r="C964" s="333"/>
      <c r="D964" s="319"/>
      <c r="E964" s="319"/>
      <c r="F964" s="331"/>
      <c r="G964" s="148" t="s">
        <v>70</v>
      </c>
      <c r="H964" s="87" t="s">
        <v>168</v>
      </c>
      <c r="I964" s="223">
        <f>D963*K964</f>
        <v>43374.2</v>
      </c>
      <c r="J964" s="223">
        <f>I964/D963</f>
        <v>137</v>
      </c>
      <c r="K964" s="223">
        <f>116+21</f>
        <v>137</v>
      </c>
    </row>
    <row r="965" spans="1:11" ht="63" x14ac:dyDescent="0.25">
      <c r="A965" s="310"/>
      <c r="B965" s="310"/>
      <c r="C965" s="333"/>
      <c r="D965" s="319"/>
      <c r="E965" s="319"/>
      <c r="F965" s="331"/>
      <c r="G965" s="148" t="s">
        <v>71</v>
      </c>
      <c r="H965" s="87" t="s">
        <v>168</v>
      </c>
      <c r="I965" s="223">
        <f>D963*K965</f>
        <v>13297.2</v>
      </c>
      <c r="J965" s="223">
        <f>I965/D963</f>
        <v>42</v>
      </c>
      <c r="K965" s="223">
        <f>21+21</f>
        <v>42</v>
      </c>
    </row>
    <row r="966" spans="1:11" x14ac:dyDescent="0.25">
      <c r="A966" s="310">
        <f>A963+1</f>
        <v>5</v>
      </c>
      <c r="B966" s="310">
        <v>6732</v>
      </c>
      <c r="C966" s="333" t="s">
        <v>293</v>
      </c>
      <c r="D966" s="318">
        <v>291.3</v>
      </c>
      <c r="E966" s="318" t="s">
        <v>68</v>
      </c>
      <c r="F966" s="330">
        <v>2</v>
      </c>
      <c r="G966" s="161"/>
      <c r="H966" s="87" t="s">
        <v>66</v>
      </c>
      <c r="I966" s="223">
        <f>I967+I968</f>
        <v>97002.9</v>
      </c>
      <c r="J966" s="223">
        <f>J967+J968</f>
        <v>333</v>
      </c>
      <c r="K966" s="223">
        <f>K967+K968</f>
        <v>333</v>
      </c>
    </row>
    <row r="967" spans="1:11" ht="63" x14ac:dyDescent="0.25">
      <c r="A967" s="310"/>
      <c r="B967" s="310"/>
      <c r="C967" s="333"/>
      <c r="D967" s="319"/>
      <c r="E967" s="319"/>
      <c r="F967" s="331"/>
      <c r="G967" s="148" t="s">
        <v>70</v>
      </c>
      <c r="H967" s="87" t="s">
        <v>168</v>
      </c>
      <c r="I967" s="223">
        <f>D966*K967</f>
        <v>62338.2</v>
      </c>
      <c r="J967" s="223">
        <f>I967/D966</f>
        <v>214</v>
      </c>
      <c r="K967" s="223">
        <f>116+98</f>
        <v>214</v>
      </c>
    </row>
    <row r="968" spans="1:11" ht="63" x14ac:dyDescent="0.25">
      <c r="A968" s="310"/>
      <c r="B968" s="310"/>
      <c r="C968" s="333"/>
      <c r="D968" s="319"/>
      <c r="E968" s="319"/>
      <c r="F968" s="331"/>
      <c r="G968" s="148" t="s">
        <v>71</v>
      </c>
      <c r="H968" s="87" t="s">
        <v>168</v>
      </c>
      <c r="I968" s="223">
        <f>D966*K968</f>
        <v>34664.699999999997</v>
      </c>
      <c r="J968" s="223">
        <f>I968/D966</f>
        <v>119</v>
      </c>
      <c r="K968" s="223">
        <f>21+98</f>
        <v>119</v>
      </c>
    </row>
    <row r="969" spans="1:11" x14ac:dyDescent="0.25">
      <c r="A969" s="310">
        <f>A966+1</f>
        <v>6</v>
      </c>
      <c r="B969" s="310">
        <v>6733</v>
      </c>
      <c r="C969" s="333" t="s">
        <v>294</v>
      </c>
      <c r="D969" s="318">
        <v>273.3</v>
      </c>
      <c r="E969" s="318" t="s">
        <v>68</v>
      </c>
      <c r="F969" s="330">
        <v>2</v>
      </c>
      <c r="G969" s="161"/>
      <c r="H969" s="87" t="s">
        <v>66</v>
      </c>
      <c r="I969" s="223">
        <f>I970+I971</f>
        <v>91008.9</v>
      </c>
      <c r="J969" s="223">
        <f>J970+J971</f>
        <v>333</v>
      </c>
      <c r="K969" s="223">
        <f>K970+K971</f>
        <v>333</v>
      </c>
    </row>
    <row r="970" spans="1:11" ht="63" x14ac:dyDescent="0.25">
      <c r="A970" s="310"/>
      <c r="B970" s="310"/>
      <c r="C970" s="333"/>
      <c r="D970" s="319"/>
      <c r="E970" s="319"/>
      <c r="F970" s="331"/>
      <c r="G970" s="148" t="s">
        <v>70</v>
      </c>
      <c r="H970" s="87" t="s">
        <v>168</v>
      </c>
      <c r="I970" s="223">
        <f>D969*K970</f>
        <v>58486.2</v>
      </c>
      <c r="J970" s="223">
        <f>I970/D969</f>
        <v>214</v>
      </c>
      <c r="K970" s="223">
        <f>116+98</f>
        <v>214</v>
      </c>
    </row>
    <row r="971" spans="1:11" ht="63" x14ac:dyDescent="0.25">
      <c r="A971" s="310"/>
      <c r="B971" s="310"/>
      <c r="C971" s="333"/>
      <c r="D971" s="319"/>
      <c r="E971" s="319"/>
      <c r="F971" s="331"/>
      <c r="G971" s="148" t="s">
        <v>71</v>
      </c>
      <c r="H971" s="87" t="s">
        <v>168</v>
      </c>
      <c r="I971" s="223">
        <f>D969*K971</f>
        <v>32522.7</v>
      </c>
      <c r="J971" s="223">
        <f>I971/D969</f>
        <v>119</v>
      </c>
      <c r="K971" s="223">
        <f>21+98</f>
        <v>119</v>
      </c>
    </row>
    <row r="972" spans="1:11" x14ac:dyDescent="0.25">
      <c r="A972" s="81" t="s">
        <v>35</v>
      </c>
      <c r="B972" s="81"/>
      <c r="C972" s="124"/>
      <c r="D972" s="80">
        <f>D973+D975+D978+D985+D987+D989+D992+D995+D997+D999+D1001+D1003+D1005+D1007+D1009+D1011+D1013+D1016</f>
        <v>9857</v>
      </c>
      <c r="E972" s="80"/>
      <c r="F972" s="80"/>
      <c r="G972" s="151"/>
      <c r="H972" s="92"/>
      <c r="I972" s="223">
        <f>I973+I975+I978+I985+I987+I989+I992+I995+I997+I999+I1001+I1003+I1005+I1007+I1009+I1011+I1013+I1016</f>
        <v>9671163.1799999997</v>
      </c>
      <c r="J972" s="223"/>
      <c r="K972" s="223"/>
    </row>
    <row r="973" spans="1:11" x14ac:dyDescent="0.25">
      <c r="A973" s="307">
        <v>1</v>
      </c>
      <c r="B973" s="307">
        <v>5672</v>
      </c>
      <c r="C973" s="315" t="s">
        <v>492</v>
      </c>
      <c r="D973" s="318">
        <v>327.60000000000002</v>
      </c>
      <c r="E973" s="318" t="s">
        <v>167</v>
      </c>
      <c r="F973" s="330">
        <v>2</v>
      </c>
      <c r="G973" s="121"/>
      <c r="H973" s="87" t="s">
        <v>66</v>
      </c>
      <c r="I973" s="223">
        <f>SUM(I974)</f>
        <v>235281</v>
      </c>
      <c r="J973" s="223">
        <f t="shared" ref="J973:K973" si="46">SUM(J974)</f>
        <v>718.2</v>
      </c>
      <c r="K973" s="223">
        <f t="shared" si="46"/>
        <v>838</v>
      </c>
    </row>
    <row r="974" spans="1:11" ht="63" x14ac:dyDescent="0.25">
      <c r="A974" s="308"/>
      <c r="B974" s="308"/>
      <c r="C974" s="317"/>
      <c r="D974" s="319"/>
      <c r="E974" s="319"/>
      <c r="F974" s="331"/>
      <c r="G974" s="145" t="s">
        <v>473</v>
      </c>
      <c r="H974" s="93" t="s">
        <v>168</v>
      </c>
      <c r="I974" s="223">
        <v>235281</v>
      </c>
      <c r="J974" s="223">
        <f>I974/D973</f>
        <v>718.2</v>
      </c>
      <c r="K974" s="223">
        <f>790+48</f>
        <v>838</v>
      </c>
    </row>
    <row r="975" spans="1:11" x14ac:dyDescent="0.25">
      <c r="A975" s="307">
        <f>A973+1</f>
        <v>2</v>
      </c>
      <c r="B975" s="307">
        <v>5674</v>
      </c>
      <c r="C975" s="315" t="s">
        <v>493</v>
      </c>
      <c r="D975" s="318">
        <v>519.4</v>
      </c>
      <c r="E975" s="318" t="s">
        <v>167</v>
      </c>
      <c r="F975" s="330">
        <v>2</v>
      </c>
      <c r="G975" s="121"/>
      <c r="H975" s="87" t="s">
        <v>66</v>
      </c>
      <c r="I975" s="223">
        <f>SUM(I976:I977)</f>
        <v>88153.600000000006</v>
      </c>
      <c r="J975" s="223">
        <f>SUM(J976:J977)</f>
        <v>169.72</v>
      </c>
      <c r="K975" s="223">
        <f>SUM(K976:K977)</f>
        <v>186</v>
      </c>
    </row>
    <row r="976" spans="1:11" ht="63" x14ac:dyDescent="0.25">
      <c r="A976" s="308"/>
      <c r="B976" s="308"/>
      <c r="C976" s="317"/>
      <c r="D976" s="319"/>
      <c r="E976" s="319"/>
      <c r="F976" s="331"/>
      <c r="G976" s="145" t="s">
        <v>70</v>
      </c>
      <c r="H976" s="93" t="s">
        <v>168</v>
      </c>
      <c r="I976" s="223">
        <v>66648.600000000006</v>
      </c>
      <c r="J976" s="223">
        <f>I976/D975</f>
        <v>128.32</v>
      </c>
      <c r="K976" s="223">
        <f>119+21</f>
        <v>140</v>
      </c>
    </row>
    <row r="977" spans="1:11" ht="63" x14ac:dyDescent="0.25">
      <c r="A977" s="308"/>
      <c r="B977" s="308"/>
      <c r="C977" s="317"/>
      <c r="D977" s="319"/>
      <c r="E977" s="319"/>
      <c r="F977" s="331"/>
      <c r="G977" s="145" t="s">
        <v>71</v>
      </c>
      <c r="H977" s="87" t="s">
        <v>168</v>
      </c>
      <c r="I977" s="223">
        <v>21505</v>
      </c>
      <c r="J977" s="223">
        <f>I977/D975</f>
        <v>41.4</v>
      </c>
      <c r="K977" s="223">
        <f>25+21</f>
        <v>46</v>
      </c>
    </row>
    <row r="978" spans="1:11" x14ac:dyDescent="0.25">
      <c r="A978" s="404">
        <f>A975+1</f>
        <v>3</v>
      </c>
      <c r="B978" s="404">
        <v>5611</v>
      </c>
      <c r="C978" s="315" t="s">
        <v>433</v>
      </c>
      <c r="D978" s="404">
        <v>458.4</v>
      </c>
      <c r="E978" s="404" t="s">
        <v>167</v>
      </c>
      <c r="F978" s="404">
        <v>2</v>
      </c>
      <c r="G978" s="161"/>
      <c r="H978" s="87" t="s">
        <v>66</v>
      </c>
      <c r="I978" s="223">
        <f>SUM(I979:I984)</f>
        <v>2994926.82</v>
      </c>
      <c r="J978" s="223">
        <f>SUM(J979:J984)</f>
        <v>6533.44</v>
      </c>
      <c r="K978" s="223">
        <f>SUM(K979:K984)</f>
        <v>10911</v>
      </c>
    </row>
    <row r="979" spans="1:11" ht="63" x14ac:dyDescent="0.25">
      <c r="A979" s="405"/>
      <c r="B979" s="405"/>
      <c r="C979" s="317"/>
      <c r="D979" s="405"/>
      <c r="E979" s="405"/>
      <c r="F979" s="405"/>
      <c r="G979" s="308" t="s">
        <v>75</v>
      </c>
      <c r="H979" s="87" t="s">
        <v>168</v>
      </c>
      <c r="I979" s="223">
        <f>102131.35+12376.8</f>
        <v>114508.15</v>
      </c>
      <c r="J979" s="223">
        <f>I979/D978</f>
        <v>249.8</v>
      </c>
      <c r="K979" s="223">
        <f>232+27</f>
        <v>259</v>
      </c>
    </row>
    <row r="980" spans="1:11" x14ac:dyDescent="0.25">
      <c r="A980" s="405"/>
      <c r="B980" s="405"/>
      <c r="C980" s="317"/>
      <c r="D980" s="405"/>
      <c r="E980" s="405"/>
      <c r="F980" s="405"/>
      <c r="G980" s="308"/>
      <c r="H980" s="87" t="s">
        <v>67</v>
      </c>
      <c r="I980" s="223">
        <v>1678665.73</v>
      </c>
      <c r="J980" s="223">
        <f>I980/D978-0.01</f>
        <v>3662</v>
      </c>
      <c r="K980" s="223">
        <v>5807</v>
      </c>
    </row>
    <row r="981" spans="1:11" x14ac:dyDescent="0.25">
      <c r="A981" s="405"/>
      <c r="B981" s="405"/>
      <c r="C981" s="317"/>
      <c r="D981" s="405"/>
      <c r="E981" s="405"/>
      <c r="F981" s="405"/>
      <c r="G981" s="308"/>
      <c r="H981" s="87" t="s">
        <v>69</v>
      </c>
      <c r="I981" s="223">
        <f>I980*0.0214</f>
        <v>35923.449999999997</v>
      </c>
      <c r="J981" s="223">
        <f>I981/D978</f>
        <v>78.37</v>
      </c>
      <c r="K981" s="223">
        <v>124</v>
      </c>
    </row>
    <row r="982" spans="1:11" ht="63" x14ac:dyDescent="0.25">
      <c r="A982" s="405"/>
      <c r="B982" s="405"/>
      <c r="C982" s="317"/>
      <c r="D982" s="405"/>
      <c r="E982" s="405"/>
      <c r="F982" s="405"/>
      <c r="G982" s="308"/>
      <c r="H982" s="87" t="s">
        <v>168</v>
      </c>
      <c r="I982" s="223">
        <f>80731.12+5680</f>
        <v>86411.12</v>
      </c>
      <c r="J982" s="223">
        <f>I982/D978</f>
        <v>188.51</v>
      </c>
      <c r="K982" s="223">
        <f>177+28</f>
        <v>205</v>
      </c>
    </row>
    <row r="983" spans="1:11" x14ac:dyDescent="0.25">
      <c r="A983" s="405"/>
      <c r="B983" s="405"/>
      <c r="C983" s="317"/>
      <c r="D983" s="405"/>
      <c r="E983" s="405"/>
      <c r="F983" s="405"/>
      <c r="G983" s="308"/>
      <c r="H983" s="87" t="s">
        <v>179</v>
      </c>
      <c r="I983" s="223">
        <v>1056802.8</v>
      </c>
      <c r="J983" s="223">
        <f>I983/D978</f>
        <v>2305.42</v>
      </c>
      <c r="K983" s="223">
        <v>4421</v>
      </c>
    </row>
    <row r="984" spans="1:11" x14ac:dyDescent="0.25">
      <c r="A984" s="406"/>
      <c r="B984" s="406"/>
      <c r="C984" s="316"/>
      <c r="D984" s="406"/>
      <c r="E984" s="406"/>
      <c r="F984" s="406"/>
      <c r="G984" s="309"/>
      <c r="H984" s="87" t="s">
        <v>69</v>
      </c>
      <c r="I984" s="268">
        <v>22615.57</v>
      </c>
      <c r="J984" s="223">
        <f>I984/D978</f>
        <v>49.34</v>
      </c>
      <c r="K984" s="223">
        <v>95</v>
      </c>
    </row>
    <row r="985" spans="1:11" x14ac:dyDescent="0.25">
      <c r="A985" s="307">
        <f>A978+1</f>
        <v>4</v>
      </c>
      <c r="B985" s="307">
        <v>5397</v>
      </c>
      <c r="C985" s="315" t="s">
        <v>570</v>
      </c>
      <c r="D985" s="318">
        <v>524.29999999999995</v>
      </c>
      <c r="E985" s="318" t="s">
        <v>167</v>
      </c>
      <c r="F985" s="330">
        <v>2</v>
      </c>
      <c r="G985" s="307" t="s">
        <v>65</v>
      </c>
      <c r="H985" s="87" t="s">
        <v>66</v>
      </c>
      <c r="I985" s="223">
        <f>SUM(I986:I986)</f>
        <v>87802.95</v>
      </c>
      <c r="J985" s="223">
        <f>SUM(J986:J986)</f>
        <v>167.47</v>
      </c>
      <c r="K985" s="223">
        <f>SUM(K986:K986)</f>
        <v>259</v>
      </c>
    </row>
    <row r="986" spans="1:11" ht="63" x14ac:dyDescent="0.25">
      <c r="A986" s="308"/>
      <c r="B986" s="308"/>
      <c r="C986" s="317"/>
      <c r="D986" s="319"/>
      <c r="E986" s="319"/>
      <c r="F986" s="331"/>
      <c r="G986" s="309"/>
      <c r="H986" s="93" t="s">
        <v>178</v>
      </c>
      <c r="I986" s="223">
        <v>87802.95</v>
      </c>
      <c r="J986" s="223">
        <f>I986/D985</f>
        <v>167.47</v>
      </c>
      <c r="K986" s="223">
        <f>163+96</f>
        <v>259</v>
      </c>
    </row>
    <row r="987" spans="1:11" x14ac:dyDescent="0.25">
      <c r="A987" s="307">
        <f>A985+1</f>
        <v>5</v>
      </c>
      <c r="B987" s="307">
        <v>5623</v>
      </c>
      <c r="C987" s="315" t="s">
        <v>496</v>
      </c>
      <c r="D987" s="318">
        <v>705.5</v>
      </c>
      <c r="E987" s="318" t="s">
        <v>167</v>
      </c>
      <c r="F987" s="330">
        <v>2</v>
      </c>
      <c r="G987" s="121"/>
      <c r="H987" s="87" t="s">
        <v>66</v>
      </c>
      <c r="I987" s="223">
        <f>SUM(I988:I988)</f>
        <v>290592</v>
      </c>
      <c r="J987" s="223">
        <f>SUM(J988:J988)</f>
        <v>411.9</v>
      </c>
      <c r="K987" s="223">
        <f>SUM(K988:K988)</f>
        <v>838</v>
      </c>
    </row>
    <row r="988" spans="1:11" ht="63" x14ac:dyDescent="0.25">
      <c r="A988" s="308"/>
      <c r="B988" s="308"/>
      <c r="C988" s="317"/>
      <c r="D988" s="319"/>
      <c r="E988" s="319"/>
      <c r="F988" s="331"/>
      <c r="G988" s="145" t="s">
        <v>473</v>
      </c>
      <c r="H988" s="93" t="s">
        <v>168</v>
      </c>
      <c r="I988" s="223">
        <f>8080+282512</f>
        <v>290592</v>
      </c>
      <c r="J988" s="223">
        <f>I988/D987</f>
        <v>411.9</v>
      </c>
      <c r="K988" s="223">
        <f>790+48</f>
        <v>838</v>
      </c>
    </row>
    <row r="989" spans="1:11" x14ac:dyDescent="0.25">
      <c r="A989" s="307">
        <f>A987+1</f>
        <v>6</v>
      </c>
      <c r="B989" s="307">
        <v>5464</v>
      </c>
      <c r="C989" s="315" t="s">
        <v>159</v>
      </c>
      <c r="D989" s="318">
        <v>381.8</v>
      </c>
      <c r="E989" s="318" t="s">
        <v>167</v>
      </c>
      <c r="F989" s="330">
        <v>2</v>
      </c>
      <c r="G989" s="161"/>
      <c r="H989" s="87" t="s">
        <v>66</v>
      </c>
      <c r="I989" s="223">
        <f>I990+I991</f>
        <v>1984973.45</v>
      </c>
      <c r="J989" s="223">
        <f t="shared" ref="J989:K989" si="47">J990+J991</f>
        <v>5198.99</v>
      </c>
      <c r="K989" s="223">
        <f t="shared" si="47"/>
        <v>8203</v>
      </c>
    </row>
    <row r="990" spans="1:11" x14ac:dyDescent="0.25">
      <c r="A990" s="308"/>
      <c r="B990" s="308"/>
      <c r="C990" s="317"/>
      <c r="D990" s="319"/>
      <c r="E990" s="319"/>
      <c r="F990" s="331"/>
      <c r="G990" s="310" t="s">
        <v>65</v>
      </c>
      <c r="H990" s="87" t="s">
        <v>67</v>
      </c>
      <c r="I990" s="223">
        <v>1943385.01</v>
      </c>
      <c r="J990" s="223">
        <f>I990/D989</f>
        <v>5090.0600000000004</v>
      </c>
      <c r="K990" s="223">
        <v>8031</v>
      </c>
    </row>
    <row r="991" spans="1:11" x14ac:dyDescent="0.25">
      <c r="A991" s="308"/>
      <c r="B991" s="308"/>
      <c r="C991" s="317"/>
      <c r="D991" s="319"/>
      <c r="E991" s="319"/>
      <c r="F991" s="331"/>
      <c r="G991" s="310"/>
      <c r="H991" s="87" t="s">
        <v>69</v>
      </c>
      <c r="I991" s="223">
        <v>41588.44</v>
      </c>
      <c r="J991" s="223">
        <f>I991/D989</f>
        <v>108.93</v>
      </c>
      <c r="K991" s="223">
        <v>172</v>
      </c>
    </row>
    <row r="992" spans="1:11" x14ac:dyDescent="0.25">
      <c r="A992" s="307">
        <f>A989+1</f>
        <v>7</v>
      </c>
      <c r="B992" s="307">
        <v>5468</v>
      </c>
      <c r="C992" s="315" t="s">
        <v>420</v>
      </c>
      <c r="D992" s="318">
        <v>404</v>
      </c>
      <c r="E992" s="318" t="s">
        <v>167</v>
      </c>
      <c r="F992" s="330">
        <v>2</v>
      </c>
      <c r="G992" s="359" t="s">
        <v>75</v>
      </c>
      <c r="H992" s="87" t="s">
        <v>66</v>
      </c>
      <c r="I992" s="223">
        <f>SUM(I993:I994)</f>
        <v>170319.27</v>
      </c>
      <c r="J992" s="223">
        <f>SUM(J993:J994)</f>
        <v>421.58</v>
      </c>
      <c r="K992" s="223">
        <f>SUM(K993:K994)</f>
        <v>464</v>
      </c>
    </row>
    <row r="993" spans="1:11" ht="63" x14ac:dyDescent="0.25">
      <c r="A993" s="308"/>
      <c r="B993" s="308"/>
      <c r="C993" s="317"/>
      <c r="D993" s="319"/>
      <c r="E993" s="319"/>
      <c r="F993" s="331"/>
      <c r="G993" s="360"/>
      <c r="H993" s="93" t="s">
        <v>178</v>
      </c>
      <c r="I993" s="223">
        <v>95088.81</v>
      </c>
      <c r="J993" s="223">
        <f>I993/D992</f>
        <v>235.37</v>
      </c>
      <c r="K993" s="223">
        <f>232+27</f>
        <v>259</v>
      </c>
    </row>
    <row r="994" spans="1:11" ht="63" x14ac:dyDescent="0.25">
      <c r="A994" s="308"/>
      <c r="B994" s="308"/>
      <c r="C994" s="317"/>
      <c r="D994" s="319"/>
      <c r="E994" s="319"/>
      <c r="F994" s="331"/>
      <c r="G994" s="368"/>
      <c r="H994" s="87" t="s">
        <v>488</v>
      </c>
      <c r="I994" s="223">
        <v>75230.460000000006</v>
      </c>
      <c r="J994" s="223">
        <f>I994/D992</f>
        <v>186.21</v>
      </c>
      <c r="K994" s="223">
        <f>177+28</f>
        <v>205</v>
      </c>
    </row>
    <row r="995" spans="1:11" x14ac:dyDescent="0.25">
      <c r="A995" s="307">
        <f>A992+1</f>
        <v>8</v>
      </c>
      <c r="B995" s="307">
        <v>5469</v>
      </c>
      <c r="C995" s="315" t="s">
        <v>421</v>
      </c>
      <c r="D995" s="318">
        <v>327.9</v>
      </c>
      <c r="E995" s="318" t="s">
        <v>167</v>
      </c>
      <c r="F995" s="330">
        <v>2</v>
      </c>
      <c r="G995" s="307" t="s">
        <v>473</v>
      </c>
      <c r="H995" s="87" t="s">
        <v>66</v>
      </c>
      <c r="I995" s="223">
        <f>SUM(I996:I996)</f>
        <v>245104</v>
      </c>
      <c r="J995" s="223">
        <f>SUM(J996:J996)</f>
        <v>747.5</v>
      </c>
      <c r="K995" s="223">
        <f>SUM(K996:K996)</f>
        <v>838</v>
      </c>
    </row>
    <row r="996" spans="1:11" ht="63" x14ac:dyDescent="0.25">
      <c r="A996" s="308"/>
      <c r="B996" s="308"/>
      <c r="C996" s="317"/>
      <c r="D996" s="319"/>
      <c r="E996" s="319"/>
      <c r="F996" s="331"/>
      <c r="G996" s="309"/>
      <c r="H996" s="93" t="s">
        <v>168</v>
      </c>
      <c r="I996" s="223">
        <v>245104</v>
      </c>
      <c r="J996" s="223">
        <f>I996/D995</f>
        <v>747.5</v>
      </c>
      <c r="K996" s="223">
        <f>790+48</f>
        <v>838</v>
      </c>
    </row>
    <row r="997" spans="1:11" x14ac:dyDescent="0.25">
      <c r="A997" s="307">
        <f>A995+1</f>
        <v>9</v>
      </c>
      <c r="B997" s="307">
        <v>5470</v>
      </c>
      <c r="C997" s="315" t="s">
        <v>422</v>
      </c>
      <c r="D997" s="318">
        <v>321.39999999999998</v>
      </c>
      <c r="E997" s="318" t="s">
        <v>167</v>
      </c>
      <c r="F997" s="330">
        <v>2</v>
      </c>
      <c r="G997" s="307" t="s">
        <v>65</v>
      </c>
      <c r="H997" s="87" t="s">
        <v>66</v>
      </c>
      <c r="I997" s="223">
        <f>SUM(I998:I998)</f>
        <v>64926.26</v>
      </c>
      <c r="J997" s="223">
        <f>SUM(J998:J998)</f>
        <v>202.01</v>
      </c>
      <c r="K997" s="223">
        <f>SUM(K998:K998)</f>
        <v>259</v>
      </c>
    </row>
    <row r="998" spans="1:11" ht="63" x14ac:dyDescent="0.25">
      <c r="A998" s="308"/>
      <c r="B998" s="308"/>
      <c r="C998" s="317"/>
      <c r="D998" s="319"/>
      <c r="E998" s="319"/>
      <c r="F998" s="331"/>
      <c r="G998" s="309"/>
      <c r="H998" s="93" t="s">
        <v>178</v>
      </c>
      <c r="I998" s="223">
        <v>64926.26</v>
      </c>
      <c r="J998" s="223">
        <f>I998/D997</f>
        <v>202.01</v>
      </c>
      <c r="K998" s="223">
        <f>163+96</f>
        <v>259</v>
      </c>
    </row>
    <row r="999" spans="1:11" x14ac:dyDescent="0.25">
      <c r="A999" s="307">
        <f>A997+1</f>
        <v>10</v>
      </c>
      <c r="B999" s="307">
        <v>5473</v>
      </c>
      <c r="C999" s="315" t="s">
        <v>423</v>
      </c>
      <c r="D999" s="318">
        <v>403.1</v>
      </c>
      <c r="E999" s="318" t="s">
        <v>167</v>
      </c>
      <c r="F999" s="330">
        <v>2</v>
      </c>
      <c r="G999" s="307" t="s">
        <v>65</v>
      </c>
      <c r="H999" s="87" t="s">
        <v>66</v>
      </c>
      <c r="I999" s="223">
        <f>SUM(I1000:I1000)</f>
        <v>77216.77</v>
      </c>
      <c r="J999" s="223">
        <f>SUM(J1000:J1000)</f>
        <v>191.56</v>
      </c>
      <c r="K999" s="223">
        <f>SUM(K1000:K1000)</f>
        <v>259</v>
      </c>
    </row>
    <row r="1000" spans="1:11" ht="63" x14ac:dyDescent="0.25">
      <c r="A1000" s="308"/>
      <c r="B1000" s="308"/>
      <c r="C1000" s="317"/>
      <c r="D1000" s="319"/>
      <c r="E1000" s="319"/>
      <c r="F1000" s="331"/>
      <c r="G1000" s="309"/>
      <c r="H1000" s="93" t="s">
        <v>178</v>
      </c>
      <c r="I1000" s="223">
        <v>77216.77</v>
      </c>
      <c r="J1000" s="223">
        <f>I1000/D999</f>
        <v>191.56</v>
      </c>
      <c r="K1000" s="223">
        <f>163+96</f>
        <v>259</v>
      </c>
    </row>
    <row r="1001" spans="1:11" x14ac:dyDescent="0.25">
      <c r="A1001" s="307">
        <f>A999+1</f>
        <v>11</v>
      </c>
      <c r="B1001" s="307">
        <v>5491</v>
      </c>
      <c r="C1001" s="315" t="s">
        <v>504</v>
      </c>
      <c r="D1001" s="318">
        <v>639.5</v>
      </c>
      <c r="E1001" s="318" t="s">
        <v>68</v>
      </c>
      <c r="F1001" s="330">
        <v>2</v>
      </c>
      <c r="G1001" s="307" t="s">
        <v>65</v>
      </c>
      <c r="H1001" s="87" t="s">
        <v>66</v>
      </c>
      <c r="I1001" s="223">
        <f>I1002</f>
        <v>105167.7</v>
      </c>
      <c r="J1001" s="223">
        <f>J1002</f>
        <v>164.45</v>
      </c>
      <c r="K1001" s="223">
        <f>K1002</f>
        <v>250</v>
      </c>
    </row>
    <row r="1002" spans="1:11" ht="63" x14ac:dyDescent="0.25">
      <c r="A1002" s="309"/>
      <c r="B1002" s="309"/>
      <c r="C1002" s="316"/>
      <c r="D1002" s="329"/>
      <c r="E1002" s="329"/>
      <c r="F1002" s="332"/>
      <c r="G1002" s="309"/>
      <c r="H1002" s="93" t="s">
        <v>168</v>
      </c>
      <c r="I1002" s="223">
        <v>105167.7</v>
      </c>
      <c r="J1002" s="223">
        <f>I1002/D1001</f>
        <v>164.45</v>
      </c>
      <c r="K1002" s="223">
        <f>154+96</f>
        <v>250</v>
      </c>
    </row>
    <row r="1003" spans="1:11" x14ac:dyDescent="0.25">
      <c r="A1003" s="307">
        <f>A1001+1</f>
        <v>12</v>
      </c>
      <c r="B1003" s="307">
        <v>5493</v>
      </c>
      <c r="C1003" s="315" t="s">
        <v>424</v>
      </c>
      <c r="D1003" s="318">
        <v>1503.6</v>
      </c>
      <c r="E1003" s="318" t="s">
        <v>68</v>
      </c>
      <c r="F1003" s="330">
        <v>3</v>
      </c>
      <c r="G1003" s="307" t="s">
        <v>65</v>
      </c>
      <c r="H1003" s="87" t="s">
        <v>66</v>
      </c>
      <c r="I1003" s="223">
        <f>I1004</f>
        <v>150488.22</v>
      </c>
      <c r="J1003" s="223">
        <f>J1004</f>
        <v>100.09</v>
      </c>
      <c r="K1003" s="223">
        <f>K1004</f>
        <v>242</v>
      </c>
    </row>
    <row r="1004" spans="1:11" ht="63" x14ac:dyDescent="0.25">
      <c r="A1004" s="309"/>
      <c r="B1004" s="309"/>
      <c r="C1004" s="316"/>
      <c r="D1004" s="329"/>
      <c r="E1004" s="329"/>
      <c r="F1004" s="332"/>
      <c r="G1004" s="309"/>
      <c r="H1004" s="93" t="s">
        <v>168</v>
      </c>
      <c r="I1004" s="223">
        <v>150488.22</v>
      </c>
      <c r="J1004" s="223">
        <f>I1004/D1003</f>
        <v>100.09</v>
      </c>
      <c r="K1004" s="223">
        <f>154+88</f>
        <v>242</v>
      </c>
    </row>
    <row r="1005" spans="1:11" x14ac:dyDescent="0.25">
      <c r="A1005" s="307">
        <f>A1003+1</f>
        <v>13</v>
      </c>
      <c r="B1005" s="307">
        <v>5494</v>
      </c>
      <c r="C1005" s="315" t="s">
        <v>500</v>
      </c>
      <c r="D1005" s="318">
        <v>1504.3</v>
      </c>
      <c r="E1005" s="318" t="s">
        <v>68</v>
      </c>
      <c r="F1005" s="330">
        <v>3</v>
      </c>
      <c r="G1005" s="307" t="s">
        <v>65</v>
      </c>
      <c r="H1005" s="87" t="s">
        <v>66</v>
      </c>
      <c r="I1005" s="223">
        <f>SUM(I1006:I1006)</f>
        <v>148948.17000000001</v>
      </c>
      <c r="J1005" s="223">
        <f>SUM(J1006:J1006)</f>
        <v>99.01</v>
      </c>
      <c r="K1005" s="223">
        <f>SUM(K1006:K1006)</f>
        <v>242</v>
      </c>
    </row>
    <row r="1006" spans="1:11" ht="63" x14ac:dyDescent="0.25">
      <c r="A1006" s="308"/>
      <c r="B1006" s="308"/>
      <c r="C1006" s="317"/>
      <c r="D1006" s="319"/>
      <c r="E1006" s="319"/>
      <c r="F1006" s="331"/>
      <c r="G1006" s="309"/>
      <c r="H1006" s="93" t="s">
        <v>168</v>
      </c>
      <c r="I1006" s="223">
        <v>148948.17000000001</v>
      </c>
      <c r="J1006" s="223">
        <f>I1006/D1005</f>
        <v>99.01</v>
      </c>
      <c r="K1006" s="223">
        <f>154+88</f>
        <v>242</v>
      </c>
    </row>
    <row r="1007" spans="1:11" x14ac:dyDescent="0.25">
      <c r="A1007" s="307">
        <f>A1005+1</f>
        <v>14</v>
      </c>
      <c r="B1007" s="307">
        <v>5482</v>
      </c>
      <c r="C1007" s="315" t="s">
        <v>425</v>
      </c>
      <c r="D1007" s="318">
        <v>323.60000000000002</v>
      </c>
      <c r="E1007" s="318" t="s">
        <v>167</v>
      </c>
      <c r="F1007" s="330">
        <v>2</v>
      </c>
      <c r="G1007" s="307" t="s">
        <v>65</v>
      </c>
      <c r="H1007" s="87" t="s">
        <v>66</v>
      </c>
      <c r="I1007" s="223">
        <f>SUM(I1008:I1008)</f>
        <v>63116.7</v>
      </c>
      <c r="J1007" s="223">
        <f>SUM(J1008:J1008)</f>
        <v>195.05</v>
      </c>
      <c r="K1007" s="223">
        <f>SUM(K1008:K1008)</f>
        <v>259</v>
      </c>
    </row>
    <row r="1008" spans="1:11" ht="63" x14ac:dyDescent="0.25">
      <c r="A1008" s="308"/>
      <c r="B1008" s="308"/>
      <c r="C1008" s="317"/>
      <c r="D1008" s="319"/>
      <c r="E1008" s="319"/>
      <c r="F1008" s="331"/>
      <c r="G1008" s="309"/>
      <c r="H1008" s="93" t="s">
        <v>168</v>
      </c>
      <c r="I1008" s="223">
        <v>63116.7</v>
      </c>
      <c r="J1008" s="223">
        <f>I1008/D1007</f>
        <v>195.05</v>
      </c>
      <c r="K1008" s="223">
        <f>163+96</f>
        <v>259</v>
      </c>
    </row>
    <row r="1009" spans="1:11" x14ac:dyDescent="0.25">
      <c r="A1009" s="307">
        <f>A1007+1</f>
        <v>15</v>
      </c>
      <c r="B1009" s="307">
        <v>5485</v>
      </c>
      <c r="C1009" s="315" t="s">
        <v>503</v>
      </c>
      <c r="D1009" s="318">
        <v>394.2</v>
      </c>
      <c r="E1009" s="318" t="s">
        <v>167</v>
      </c>
      <c r="F1009" s="330">
        <v>2</v>
      </c>
      <c r="G1009" s="121"/>
      <c r="H1009" s="87" t="s">
        <v>66</v>
      </c>
      <c r="I1009" s="223">
        <f>SUM(I1010:I1010)</f>
        <v>18133.2</v>
      </c>
      <c r="J1009" s="223">
        <f>SUM(J1010:J1010)</f>
        <v>46</v>
      </c>
      <c r="K1009" s="223">
        <f>SUM(K1010:K1010)</f>
        <v>46</v>
      </c>
    </row>
    <row r="1010" spans="1:11" ht="63" x14ac:dyDescent="0.25">
      <c r="A1010" s="308"/>
      <c r="B1010" s="308"/>
      <c r="C1010" s="317"/>
      <c r="D1010" s="319"/>
      <c r="E1010" s="319"/>
      <c r="F1010" s="331"/>
      <c r="G1010" s="145" t="s">
        <v>71</v>
      </c>
      <c r="H1010" s="93" t="s">
        <v>168</v>
      </c>
      <c r="I1010" s="223">
        <f>D1009*K1010</f>
        <v>18133.2</v>
      </c>
      <c r="J1010" s="223">
        <f>I1010/D1009</f>
        <v>46</v>
      </c>
      <c r="K1010" s="223">
        <f>25+21</f>
        <v>46</v>
      </c>
    </row>
    <row r="1011" spans="1:11" x14ac:dyDescent="0.25">
      <c r="A1011" s="310">
        <f>A1009+1</f>
        <v>16</v>
      </c>
      <c r="B1011" s="310">
        <v>5545</v>
      </c>
      <c r="C1011" s="333" t="s">
        <v>497</v>
      </c>
      <c r="D1011" s="312">
        <v>356.8</v>
      </c>
      <c r="E1011" s="318" t="s">
        <v>68</v>
      </c>
      <c r="F1011" s="330">
        <v>2</v>
      </c>
      <c r="G1011" s="307" t="s">
        <v>65</v>
      </c>
      <c r="H1011" s="87" t="s">
        <v>66</v>
      </c>
      <c r="I1011" s="223">
        <f>I1012</f>
        <v>69872.460000000006</v>
      </c>
      <c r="J1011" s="223">
        <f>J1012</f>
        <v>195.83</v>
      </c>
      <c r="K1011" s="223">
        <f>K1012</f>
        <v>250</v>
      </c>
    </row>
    <row r="1012" spans="1:11" ht="63" x14ac:dyDescent="0.25">
      <c r="A1012" s="310"/>
      <c r="B1012" s="310"/>
      <c r="C1012" s="333"/>
      <c r="D1012" s="312"/>
      <c r="E1012" s="319"/>
      <c r="F1012" s="331"/>
      <c r="G1012" s="309"/>
      <c r="H1012" s="93" t="s">
        <v>168</v>
      </c>
      <c r="I1012" s="223">
        <v>69872.460000000006</v>
      </c>
      <c r="J1012" s="223">
        <f>I1012/D1011</f>
        <v>195.83</v>
      </c>
      <c r="K1012" s="223">
        <f>154+96</f>
        <v>250</v>
      </c>
    </row>
    <row r="1013" spans="1:11" x14ac:dyDescent="0.25">
      <c r="A1013" s="307">
        <f>A1011+1</f>
        <v>17</v>
      </c>
      <c r="B1013" s="307">
        <v>5820</v>
      </c>
      <c r="C1013" s="315" t="s">
        <v>160</v>
      </c>
      <c r="D1013" s="318">
        <v>409.2</v>
      </c>
      <c r="E1013" s="318" t="s">
        <v>167</v>
      </c>
      <c r="F1013" s="330">
        <v>2</v>
      </c>
      <c r="G1013" s="121"/>
      <c r="H1013" s="87" t="s">
        <v>66</v>
      </c>
      <c r="I1013" s="223">
        <f>I1014+I1015</f>
        <v>2808351.01</v>
      </c>
      <c r="J1013" s="223">
        <f>J1014+J1015</f>
        <v>6863.03</v>
      </c>
      <c r="K1013" s="223">
        <f>K1014+K1015</f>
        <v>8203</v>
      </c>
    </row>
    <row r="1014" spans="1:11" x14ac:dyDescent="0.25">
      <c r="A1014" s="308"/>
      <c r="B1014" s="308"/>
      <c r="C1014" s="317"/>
      <c r="D1014" s="319"/>
      <c r="E1014" s="319"/>
      <c r="F1014" s="331"/>
      <c r="G1014" s="310" t="s">
        <v>65</v>
      </c>
      <c r="H1014" s="87" t="s">
        <v>67</v>
      </c>
      <c r="I1014" s="223">
        <v>2749511.46</v>
      </c>
      <c r="J1014" s="223">
        <f>I1014/D1013</f>
        <v>6719.24</v>
      </c>
      <c r="K1014" s="223">
        <v>8031</v>
      </c>
    </row>
    <row r="1015" spans="1:11" x14ac:dyDescent="0.25">
      <c r="A1015" s="309"/>
      <c r="B1015" s="309"/>
      <c r="C1015" s="316"/>
      <c r="D1015" s="329"/>
      <c r="E1015" s="329"/>
      <c r="F1015" s="332"/>
      <c r="G1015" s="310"/>
      <c r="H1015" s="87" t="s">
        <v>69</v>
      </c>
      <c r="I1015" s="223">
        <v>58839.55</v>
      </c>
      <c r="J1015" s="223">
        <f>I1015/D1013</f>
        <v>143.79</v>
      </c>
      <c r="K1015" s="223">
        <v>172</v>
      </c>
    </row>
    <row r="1016" spans="1:11" x14ac:dyDescent="0.25">
      <c r="A1016" s="310">
        <f>A1013+1</f>
        <v>18</v>
      </c>
      <c r="B1016" s="310">
        <v>5799</v>
      </c>
      <c r="C1016" s="333" t="s">
        <v>499</v>
      </c>
      <c r="D1016" s="312">
        <v>352.4</v>
      </c>
      <c r="E1016" s="318" t="s">
        <v>68</v>
      </c>
      <c r="F1016" s="330">
        <v>2</v>
      </c>
      <c r="G1016" s="121"/>
      <c r="H1016" s="87" t="s">
        <v>66</v>
      </c>
      <c r="I1016" s="223">
        <f>I1017</f>
        <v>67789.600000000006</v>
      </c>
      <c r="J1016" s="223">
        <f>J1017</f>
        <v>192.37</v>
      </c>
      <c r="K1016" s="223">
        <f>K1017</f>
        <v>250</v>
      </c>
    </row>
    <row r="1017" spans="1:11" ht="63" x14ac:dyDescent="0.25">
      <c r="A1017" s="310"/>
      <c r="B1017" s="310"/>
      <c r="C1017" s="333"/>
      <c r="D1017" s="312"/>
      <c r="E1017" s="319"/>
      <c r="F1017" s="331"/>
      <c r="G1017" s="145" t="s">
        <v>65</v>
      </c>
      <c r="H1017" s="93" t="s">
        <v>168</v>
      </c>
      <c r="I1017" s="223">
        <v>67789.600000000006</v>
      </c>
      <c r="J1017" s="223">
        <f>I1017/D1016</f>
        <v>192.37</v>
      </c>
      <c r="K1017" s="223">
        <f>154+96</f>
        <v>250</v>
      </c>
    </row>
    <row r="1018" spans="1:11" ht="15" customHeight="1" x14ac:dyDescent="0.25">
      <c r="A1018" s="81" t="s">
        <v>36</v>
      </c>
      <c r="B1018" s="81"/>
      <c r="C1018" s="124"/>
      <c r="D1018" s="80">
        <f>D1019+D1022+D1027+D1032+D1035</f>
        <v>3139.9</v>
      </c>
      <c r="E1018" s="80"/>
      <c r="F1018" s="80"/>
      <c r="G1018" s="151"/>
      <c r="H1018" s="92"/>
      <c r="I1018" s="223">
        <f>I1019+I1022+I1027+I1032+I1035</f>
        <v>3171446.73</v>
      </c>
      <c r="J1018" s="223"/>
      <c r="K1018" s="223"/>
    </row>
    <row r="1019" spans="1:11" x14ac:dyDescent="0.25">
      <c r="A1019" s="403">
        <v>1</v>
      </c>
      <c r="B1019" s="310">
        <v>4905</v>
      </c>
      <c r="C1019" s="333" t="s">
        <v>296</v>
      </c>
      <c r="D1019" s="312">
        <v>1060.7</v>
      </c>
      <c r="E1019" s="313" t="s">
        <v>68</v>
      </c>
      <c r="F1019" s="313">
        <v>3</v>
      </c>
      <c r="G1019" s="121"/>
      <c r="H1019" s="87" t="s">
        <v>66</v>
      </c>
      <c r="I1019" s="223">
        <f>I1020+I1021</f>
        <v>140593.84</v>
      </c>
      <c r="J1019" s="223">
        <f>J1020+J1021</f>
        <v>132.55000000000001</v>
      </c>
      <c r="K1019" s="223">
        <f>K1020+K1021</f>
        <v>180</v>
      </c>
    </row>
    <row r="1020" spans="1:11" ht="63" x14ac:dyDescent="0.25">
      <c r="A1020" s="403"/>
      <c r="B1020" s="310"/>
      <c r="C1020" s="333"/>
      <c r="D1020" s="312"/>
      <c r="E1020" s="313"/>
      <c r="F1020" s="313"/>
      <c r="G1020" s="145" t="s">
        <v>70</v>
      </c>
      <c r="H1020" s="87" t="s">
        <v>231</v>
      </c>
      <c r="I1020" s="226">
        <v>110751.24</v>
      </c>
      <c r="J1020" s="223">
        <f>I1020/D1019+0.01</f>
        <v>104.42</v>
      </c>
      <c r="K1020" s="223">
        <f>119+21</f>
        <v>140</v>
      </c>
    </row>
    <row r="1021" spans="1:11" ht="63" x14ac:dyDescent="0.25">
      <c r="A1021" s="403"/>
      <c r="B1021" s="310"/>
      <c r="C1021" s="333"/>
      <c r="D1021" s="312"/>
      <c r="E1021" s="313"/>
      <c r="F1021" s="313"/>
      <c r="G1021" s="145" t="s">
        <v>71</v>
      </c>
      <c r="H1021" s="87" t="s">
        <v>231</v>
      </c>
      <c r="I1021" s="226">
        <v>29842.6</v>
      </c>
      <c r="J1021" s="223">
        <f>I1021/D1019</f>
        <v>28.13</v>
      </c>
      <c r="K1021" s="223">
        <f>31+9</f>
        <v>40</v>
      </c>
    </row>
    <row r="1022" spans="1:11" x14ac:dyDescent="0.25">
      <c r="A1022" s="403">
        <f>A1019+1</f>
        <v>2</v>
      </c>
      <c r="B1022" s="310">
        <v>4915</v>
      </c>
      <c r="C1022" s="333" t="s">
        <v>267</v>
      </c>
      <c r="D1022" s="312">
        <v>713.5</v>
      </c>
      <c r="E1022" s="313" t="s">
        <v>68</v>
      </c>
      <c r="F1022" s="313">
        <v>2</v>
      </c>
      <c r="G1022" s="161"/>
      <c r="H1022" s="87" t="s">
        <v>66</v>
      </c>
      <c r="I1022" s="226">
        <f>I1023+I1024+I1025+I1026</f>
        <v>448421.37</v>
      </c>
      <c r="J1022" s="223">
        <f>J1023+J1024+J1025+J1026</f>
        <v>628.48</v>
      </c>
      <c r="K1022" s="223">
        <f>K1023+K1024+K1025+K1026</f>
        <v>1169</v>
      </c>
    </row>
    <row r="1023" spans="1:11" x14ac:dyDescent="0.25">
      <c r="A1023" s="403"/>
      <c r="B1023" s="310"/>
      <c r="C1023" s="333"/>
      <c r="D1023" s="312"/>
      <c r="E1023" s="313"/>
      <c r="F1023" s="313"/>
      <c r="G1023" s="307" t="s">
        <v>78</v>
      </c>
      <c r="H1023" s="87" t="s">
        <v>67</v>
      </c>
      <c r="I1023" s="226">
        <v>199969.49</v>
      </c>
      <c r="J1023" s="223">
        <f>I1023/D1022</f>
        <v>280.27</v>
      </c>
      <c r="K1023" s="223">
        <v>527</v>
      </c>
    </row>
    <row r="1024" spans="1:11" x14ac:dyDescent="0.25">
      <c r="A1024" s="403"/>
      <c r="B1024" s="310"/>
      <c r="C1024" s="333"/>
      <c r="D1024" s="312"/>
      <c r="E1024" s="313"/>
      <c r="F1024" s="313"/>
      <c r="G1024" s="309"/>
      <c r="H1024" s="87" t="s">
        <v>69</v>
      </c>
      <c r="I1024" s="226">
        <v>4279.3500000000004</v>
      </c>
      <c r="J1024" s="223">
        <f>I1024/D1022</f>
        <v>6</v>
      </c>
      <c r="K1024" s="223">
        <v>11</v>
      </c>
    </row>
    <row r="1025" spans="1:143" x14ac:dyDescent="0.25">
      <c r="A1025" s="403"/>
      <c r="B1025" s="310"/>
      <c r="C1025" s="333"/>
      <c r="D1025" s="312"/>
      <c r="E1025" s="313"/>
      <c r="F1025" s="313"/>
      <c r="G1025" s="308" t="s">
        <v>71</v>
      </c>
      <c r="H1025" s="87" t="s">
        <v>67</v>
      </c>
      <c r="I1025" s="226">
        <v>239056.72</v>
      </c>
      <c r="J1025" s="223">
        <f>I1025/D1022-0.01</f>
        <v>335.04</v>
      </c>
      <c r="K1025" s="223">
        <v>618</v>
      </c>
    </row>
    <row r="1026" spans="1:143" x14ac:dyDescent="0.25">
      <c r="A1026" s="403"/>
      <c r="B1026" s="310"/>
      <c r="C1026" s="333"/>
      <c r="D1026" s="312"/>
      <c r="E1026" s="313"/>
      <c r="F1026" s="313"/>
      <c r="G1026" s="309"/>
      <c r="H1026" s="87" t="s">
        <v>69</v>
      </c>
      <c r="I1026" s="226">
        <v>5115.8100000000004</v>
      </c>
      <c r="J1026" s="223">
        <f>I1026/D1022</f>
        <v>7.17</v>
      </c>
      <c r="K1026" s="223">
        <v>13</v>
      </c>
    </row>
    <row r="1027" spans="1:143" x14ac:dyDescent="0.25">
      <c r="A1027" s="403">
        <f>A1022+1</f>
        <v>3</v>
      </c>
      <c r="B1027" s="310">
        <v>4916</v>
      </c>
      <c r="C1027" s="333" t="s">
        <v>268</v>
      </c>
      <c r="D1027" s="312">
        <v>338.2</v>
      </c>
      <c r="E1027" s="313" t="s">
        <v>68</v>
      </c>
      <c r="F1027" s="313">
        <v>2</v>
      </c>
      <c r="G1027" s="161"/>
      <c r="H1027" s="87" t="s">
        <v>66</v>
      </c>
      <c r="I1027" s="226">
        <f>I1028+I1029+I1030+I1031</f>
        <v>840464.25</v>
      </c>
      <c r="J1027" s="223">
        <f>J1028+J1029+J1030+J1031</f>
        <v>2485.11</v>
      </c>
      <c r="K1027" s="223">
        <f>K1028+K1029+K1030+K1031</f>
        <v>3661</v>
      </c>
    </row>
    <row r="1028" spans="1:143" x14ac:dyDescent="0.25">
      <c r="A1028" s="403"/>
      <c r="B1028" s="310"/>
      <c r="C1028" s="333"/>
      <c r="D1028" s="312"/>
      <c r="E1028" s="313"/>
      <c r="F1028" s="313"/>
      <c r="G1028" s="307" t="s">
        <v>70</v>
      </c>
      <c r="H1028" s="87" t="s">
        <v>67</v>
      </c>
      <c r="I1028" s="226">
        <v>672810.64</v>
      </c>
      <c r="J1028" s="223">
        <f>I1028/D1027</f>
        <v>1989.39</v>
      </c>
      <c r="K1028" s="223">
        <v>2967</v>
      </c>
    </row>
    <row r="1029" spans="1:143" x14ac:dyDescent="0.25">
      <c r="A1029" s="403"/>
      <c r="B1029" s="310"/>
      <c r="C1029" s="333"/>
      <c r="D1029" s="312"/>
      <c r="E1029" s="313"/>
      <c r="F1029" s="313"/>
      <c r="G1029" s="309"/>
      <c r="H1029" s="87" t="s">
        <v>69</v>
      </c>
      <c r="I1029" s="226">
        <v>14398.15</v>
      </c>
      <c r="J1029" s="223">
        <f>I1029/D1027</f>
        <v>42.57</v>
      </c>
      <c r="K1029" s="223">
        <v>63</v>
      </c>
    </row>
    <row r="1030" spans="1:143" x14ac:dyDescent="0.25">
      <c r="A1030" s="403"/>
      <c r="B1030" s="310"/>
      <c r="C1030" s="333"/>
      <c r="D1030" s="312"/>
      <c r="E1030" s="313"/>
      <c r="F1030" s="313"/>
      <c r="G1030" s="308" t="s">
        <v>71</v>
      </c>
      <c r="H1030" s="87" t="s">
        <v>67</v>
      </c>
      <c r="I1030" s="226">
        <v>150044.51</v>
      </c>
      <c r="J1030" s="223">
        <f>I1030/D1027</f>
        <v>443.66</v>
      </c>
      <c r="K1030" s="223">
        <v>618</v>
      </c>
    </row>
    <row r="1031" spans="1:143" x14ac:dyDescent="0.25">
      <c r="A1031" s="403"/>
      <c r="B1031" s="310"/>
      <c r="C1031" s="333"/>
      <c r="D1031" s="312"/>
      <c r="E1031" s="313"/>
      <c r="F1031" s="313"/>
      <c r="G1031" s="309"/>
      <c r="H1031" s="87" t="s">
        <v>69</v>
      </c>
      <c r="I1031" s="226">
        <v>3210.95</v>
      </c>
      <c r="J1031" s="223">
        <f>I1031/D1027</f>
        <v>9.49</v>
      </c>
      <c r="K1031" s="223">
        <v>13</v>
      </c>
    </row>
    <row r="1032" spans="1:143" x14ac:dyDescent="0.25">
      <c r="A1032" s="403">
        <f>A1027+1</f>
        <v>4</v>
      </c>
      <c r="B1032" s="310">
        <v>4918</v>
      </c>
      <c r="C1032" s="333" t="s">
        <v>269</v>
      </c>
      <c r="D1032" s="312">
        <v>324.2</v>
      </c>
      <c r="E1032" s="313" t="s">
        <v>68</v>
      </c>
      <c r="F1032" s="313">
        <v>2</v>
      </c>
      <c r="G1032" s="161"/>
      <c r="H1032" s="87" t="s">
        <v>66</v>
      </c>
      <c r="I1032" s="226">
        <f>I1033+I1034</f>
        <v>692482.13</v>
      </c>
      <c r="J1032" s="223">
        <f t="shared" ref="J1032:K1032" si="48">J1033+J1034</f>
        <v>2135.9699999999998</v>
      </c>
      <c r="K1032" s="223">
        <f t="shared" si="48"/>
        <v>3030</v>
      </c>
    </row>
    <row r="1033" spans="1:143" x14ac:dyDescent="0.25">
      <c r="A1033" s="403"/>
      <c r="B1033" s="310"/>
      <c r="C1033" s="333"/>
      <c r="D1033" s="312"/>
      <c r="E1033" s="313"/>
      <c r="F1033" s="313"/>
      <c r="G1033" s="307" t="s">
        <v>70</v>
      </c>
      <c r="H1033" s="87" t="s">
        <v>67</v>
      </c>
      <c r="I1033" s="226">
        <v>677973.5</v>
      </c>
      <c r="J1033" s="223">
        <f>I1033/D1032</f>
        <v>2091.2199999999998</v>
      </c>
      <c r="K1033" s="223">
        <v>2967</v>
      </c>
    </row>
    <row r="1034" spans="1:143" x14ac:dyDescent="0.25">
      <c r="A1034" s="403"/>
      <c r="B1034" s="310"/>
      <c r="C1034" s="333"/>
      <c r="D1034" s="312"/>
      <c r="E1034" s="313"/>
      <c r="F1034" s="313"/>
      <c r="G1034" s="309"/>
      <c r="H1034" s="87" t="s">
        <v>69</v>
      </c>
      <c r="I1034" s="226">
        <v>14508.63</v>
      </c>
      <c r="J1034" s="223">
        <f>I1034/D1032</f>
        <v>44.75</v>
      </c>
      <c r="K1034" s="223">
        <v>63</v>
      </c>
    </row>
    <row r="1035" spans="1:143" ht="15.75" customHeight="1" x14ac:dyDescent="0.25">
      <c r="A1035" s="403">
        <f>A1032+1</f>
        <v>5</v>
      </c>
      <c r="B1035" s="310">
        <v>4927</v>
      </c>
      <c r="C1035" s="333" t="s">
        <v>270</v>
      </c>
      <c r="D1035" s="312">
        <v>703.3</v>
      </c>
      <c r="E1035" s="313" t="s">
        <v>68</v>
      </c>
      <c r="F1035" s="313">
        <v>2</v>
      </c>
      <c r="G1035" s="161"/>
      <c r="H1035" s="87" t="s">
        <v>66</v>
      </c>
      <c r="I1035" s="226">
        <f>I1036+I1037</f>
        <v>1049485.1399999999</v>
      </c>
      <c r="J1035" s="223">
        <f t="shared" ref="J1035:K1035" si="49">J1036+J1037</f>
        <v>1492.23</v>
      </c>
      <c r="K1035" s="223">
        <f t="shared" si="49"/>
        <v>3030</v>
      </c>
    </row>
    <row r="1036" spans="1:143" x14ac:dyDescent="0.25">
      <c r="A1036" s="403"/>
      <c r="B1036" s="310"/>
      <c r="C1036" s="333"/>
      <c r="D1036" s="312"/>
      <c r="E1036" s="313"/>
      <c r="F1036" s="313"/>
      <c r="G1036" s="307" t="s">
        <v>70</v>
      </c>
      <c r="H1036" s="87" t="s">
        <v>67</v>
      </c>
      <c r="I1036" s="266">
        <v>1027496.71</v>
      </c>
      <c r="J1036" s="223">
        <f>I1036/D1035</f>
        <v>1460.97</v>
      </c>
      <c r="K1036" s="223">
        <v>2967</v>
      </c>
    </row>
    <row r="1037" spans="1:143" x14ac:dyDescent="0.25">
      <c r="A1037" s="403"/>
      <c r="B1037" s="310"/>
      <c r="C1037" s="333"/>
      <c r="D1037" s="312"/>
      <c r="E1037" s="313"/>
      <c r="F1037" s="313"/>
      <c r="G1037" s="309"/>
      <c r="H1037" s="87" t="s">
        <v>69</v>
      </c>
      <c r="I1037" s="226">
        <f>I1036*0.0214</f>
        <v>21988.43</v>
      </c>
      <c r="J1037" s="223">
        <f>I1037/D1035</f>
        <v>31.26</v>
      </c>
      <c r="K1037" s="223">
        <v>63</v>
      </c>
    </row>
    <row r="1038" spans="1:143" s="71" customFormat="1" x14ac:dyDescent="0.25">
      <c r="A1038" s="81" t="s">
        <v>37</v>
      </c>
      <c r="B1038" s="81"/>
      <c r="C1038" s="124"/>
      <c r="D1038" s="80">
        <f>D1039+D1042+D1045</f>
        <v>992.9</v>
      </c>
      <c r="E1038" s="80"/>
      <c r="F1038" s="80"/>
      <c r="G1038" s="151"/>
      <c r="H1038" s="92"/>
      <c r="I1038" s="223">
        <f>I1039+I1042+I1045</f>
        <v>2859115.75</v>
      </c>
      <c r="J1038" s="223"/>
      <c r="K1038" s="223"/>
      <c r="L1038" s="72"/>
      <c r="M1038" s="72"/>
      <c r="N1038" s="72"/>
      <c r="O1038" s="72"/>
      <c r="P1038" s="72"/>
      <c r="Q1038" s="72"/>
      <c r="R1038" s="72"/>
      <c r="S1038" s="72"/>
      <c r="T1038" s="72"/>
      <c r="U1038" s="72"/>
      <c r="V1038" s="72"/>
      <c r="W1038" s="72"/>
      <c r="X1038" s="72"/>
      <c r="Y1038" s="72"/>
      <c r="Z1038" s="72"/>
      <c r="AA1038" s="72"/>
      <c r="AB1038" s="72"/>
      <c r="AC1038" s="72"/>
      <c r="AD1038" s="72"/>
      <c r="AE1038" s="72"/>
      <c r="AF1038" s="72"/>
      <c r="AG1038" s="72"/>
      <c r="AH1038" s="72"/>
      <c r="AI1038" s="72"/>
      <c r="AJ1038" s="72"/>
      <c r="AK1038" s="72"/>
      <c r="AL1038" s="72"/>
      <c r="AM1038" s="72"/>
      <c r="AN1038" s="72"/>
      <c r="AO1038" s="72"/>
      <c r="AP1038" s="72"/>
      <c r="AQ1038" s="72"/>
      <c r="AR1038" s="72"/>
      <c r="AS1038" s="72"/>
      <c r="AT1038" s="72"/>
      <c r="AU1038" s="72"/>
      <c r="AV1038" s="72"/>
      <c r="AW1038" s="72"/>
      <c r="AX1038" s="72"/>
      <c r="AY1038" s="72"/>
      <c r="AZ1038" s="72"/>
      <c r="BA1038" s="72"/>
      <c r="BB1038" s="72"/>
      <c r="BC1038" s="72"/>
      <c r="BD1038" s="72"/>
      <c r="BE1038" s="72"/>
      <c r="BF1038" s="72"/>
      <c r="BG1038" s="72"/>
      <c r="BH1038" s="72"/>
      <c r="BI1038" s="72"/>
      <c r="BJ1038" s="72"/>
      <c r="BK1038" s="72"/>
      <c r="BL1038" s="72"/>
      <c r="BM1038" s="72"/>
      <c r="BN1038" s="72"/>
      <c r="BO1038" s="72"/>
      <c r="BP1038" s="72"/>
      <c r="BQ1038" s="72"/>
      <c r="BR1038" s="72"/>
      <c r="BS1038" s="72"/>
      <c r="BT1038" s="72"/>
      <c r="BU1038" s="72"/>
      <c r="BV1038" s="72"/>
      <c r="BW1038" s="72"/>
      <c r="BX1038" s="72"/>
      <c r="BY1038" s="72"/>
      <c r="BZ1038" s="72"/>
      <c r="CA1038" s="72"/>
      <c r="CB1038" s="72"/>
      <c r="CC1038" s="72"/>
      <c r="CD1038" s="72"/>
      <c r="CE1038" s="72"/>
      <c r="CF1038" s="72"/>
      <c r="CG1038" s="72"/>
      <c r="CH1038" s="72"/>
      <c r="CI1038" s="72"/>
      <c r="CJ1038" s="72"/>
      <c r="CK1038" s="72"/>
      <c r="CL1038" s="72"/>
      <c r="CM1038" s="72"/>
      <c r="CN1038" s="72"/>
      <c r="CO1038" s="72"/>
      <c r="CP1038" s="72"/>
      <c r="CQ1038" s="72"/>
      <c r="CR1038" s="72"/>
      <c r="CS1038" s="72"/>
      <c r="CT1038" s="72"/>
      <c r="CU1038" s="72"/>
      <c r="CV1038" s="72"/>
      <c r="CW1038" s="72"/>
      <c r="CX1038" s="72"/>
      <c r="CY1038" s="72"/>
      <c r="CZ1038" s="72"/>
      <c r="DA1038" s="72"/>
      <c r="DB1038" s="72"/>
      <c r="DC1038" s="72"/>
      <c r="DD1038" s="72"/>
      <c r="DE1038" s="72"/>
      <c r="DF1038" s="72"/>
      <c r="DG1038" s="72"/>
      <c r="DH1038" s="72"/>
      <c r="DI1038" s="72"/>
      <c r="DJ1038" s="72"/>
      <c r="DK1038" s="72"/>
      <c r="DL1038" s="72"/>
      <c r="DM1038" s="72"/>
      <c r="DN1038" s="72"/>
      <c r="DO1038" s="72"/>
      <c r="DP1038" s="72"/>
      <c r="DQ1038" s="72"/>
      <c r="DR1038" s="72"/>
      <c r="DS1038" s="72"/>
      <c r="DT1038" s="72"/>
      <c r="DU1038" s="72"/>
      <c r="DV1038" s="72"/>
      <c r="DW1038" s="72"/>
      <c r="DX1038" s="72"/>
      <c r="DY1038" s="72"/>
      <c r="DZ1038" s="72"/>
      <c r="EA1038" s="72"/>
      <c r="EB1038" s="72"/>
      <c r="EC1038" s="72"/>
      <c r="ED1038" s="72"/>
      <c r="EE1038" s="72"/>
      <c r="EF1038" s="72"/>
      <c r="EG1038" s="72"/>
      <c r="EH1038" s="72"/>
      <c r="EI1038" s="72"/>
      <c r="EJ1038" s="72"/>
      <c r="EK1038" s="72"/>
      <c r="EL1038" s="72"/>
      <c r="EM1038" s="72"/>
    </row>
    <row r="1039" spans="1:143" s="71" customFormat="1" x14ac:dyDescent="0.25">
      <c r="A1039" s="307">
        <v>1</v>
      </c>
      <c r="B1039" s="307">
        <v>6786</v>
      </c>
      <c r="C1039" s="315" t="s">
        <v>299</v>
      </c>
      <c r="D1039" s="318">
        <v>229.4</v>
      </c>
      <c r="E1039" s="330" t="s">
        <v>68</v>
      </c>
      <c r="F1039" s="330">
        <v>2</v>
      </c>
      <c r="G1039" s="161"/>
      <c r="H1039" s="87" t="s">
        <v>66</v>
      </c>
      <c r="I1039" s="223">
        <f>I1040+I1041</f>
        <v>42502.8</v>
      </c>
      <c r="J1039" s="223">
        <f>J1040+J1041</f>
        <v>185.28</v>
      </c>
      <c r="K1039" s="223">
        <f>K1040+K1041</f>
        <v>340</v>
      </c>
      <c r="L1039" s="72"/>
      <c r="M1039" s="72"/>
      <c r="N1039" s="72"/>
      <c r="O1039" s="72"/>
      <c r="P1039" s="72"/>
      <c r="Q1039" s="72"/>
      <c r="R1039" s="72"/>
      <c r="S1039" s="72"/>
      <c r="T1039" s="72"/>
      <c r="U1039" s="72"/>
      <c r="V1039" s="72"/>
      <c r="W1039" s="72"/>
      <c r="X1039" s="72"/>
      <c r="Y1039" s="72"/>
      <c r="Z1039" s="72"/>
      <c r="AA1039" s="72"/>
      <c r="AB1039" s="72"/>
      <c r="AC1039" s="72"/>
      <c r="AD1039" s="72"/>
      <c r="AE1039" s="72"/>
      <c r="AF1039" s="72"/>
      <c r="AG1039" s="72"/>
      <c r="AH1039" s="72"/>
      <c r="AI1039" s="72"/>
      <c r="AJ1039" s="72"/>
      <c r="AK1039" s="72"/>
      <c r="AL1039" s="72"/>
      <c r="AM1039" s="72"/>
      <c r="AN1039" s="72"/>
      <c r="AO1039" s="72"/>
      <c r="AP1039" s="72"/>
      <c r="AQ1039" s="72"/>
      <c r="AR1039" s="72"/>
      <c r="AS1039" s="72"/>
      <c r="AT1039" s="72"/>
      <c r="AU1039" s="72"/>
      <c r="AV1039" s="72"/>
      <c r="AW1039" s="72"/>
      <c r="AX1039" s="72"/>
      <c r="AY1039" s="72"/>
      <c r="AZ1039" s="72"/>
      <c r="BA1039" s="72"/>
      <c r="BB1039" s="72"/>
      <c r="BC1039" s="72"/>
      <c r="BD1039" s="72"/>
      <c r="BE1039" s="72"/>
      <c r="BF1039" s="72"/>
      <c r="BG1039" s="72"/>
      <c r="BH1039" s="72"/>
      <c r="BI1039" s="72"/>
      <c r="BJ1039" s="72"/>
      <c r="BK1039" s="72"/>
      <c r="BL1039" s="72"/>
      <c r="BM1039" s="72"/>
      <c r="BN1039" s="72"/>
      <c r="BO1039" s="72"/>
      <c r="BP1039" s="72"/>
      <c r="BQ1039" s="72"/>
      <c r="BR1039" s="72"/>
      <c r="BS1039" s="72"/>
      <c r="BT1039" s="72"/>
      <c r="BU1039" s="72"/>
      <c r="BV1039" s="72"/>
      <c r="BW1039" s="72"/>
      <c r="BX1039" s="72"/>
      <c r="BY1039" s="72"/>
      <c r="BZ1039" s="72"/>
      <c r="CA1039" s="72"/>
      <c r="CB1039" s="72"/>
      <c r="CC1039" s="72"/>
      <c r="CD1039" s="72"/>
      <c r="CE1039" s="72"/>
      <c r="CF1039" s="72"/>
      <c r="CG1039" s="72"/>
      <c r="CH1039" s="72"/>
      <c r="CI1039" s="72"/>
      <c r="CJ1039" s="72"/>
      <c r="CK1039" s="72"/>
      <c r="CL1039" s="72"/>
      <c r="CM1039" s="72"/>
      <c r="CN1039" s="72"/>
      <c r="CO1039" s="72"/>
      <c r="CP1039" s="72"/>
      <c r="CQ1039" s="72"/>
      <c r="CR1039" s="72"/>
      <c r="CS1039" s="72"/>
      <c r="CT1039" s="72"/>
      <c r="CU1039" s="72"/>
      <c r="CV1039" s="72"/>
      <c r="CW1039" s="72"/>
      <c r="CX1039" s="72"/>
      <c r="CY1039" s="72"/>
      <c r="CZ1039" s="72"/>
      <c r="DA1039" s="72"/>
      <c r="DB1039" s="72"/>
      <c r="DC1039" s="72"/>
      <c r="DD1039" s="72"/>
      <c r="DE1039" s="72"/>
      <c r="DF1039" s="72"/>
      <c r="DG1039" s="72"/>
      <c r="DH1039" s="72"/>
      <c r="DI1039" s="72"/>
      <c r="DJ1039" s="72"/>
      <c r="DK1039" s="72"/>
      <c r="DL1039" s="72"/>
      <c r="DM1039" s="72"/>
      <c r="DN1039" s="72"/>
      <c r="DO1039" s="72"/>
      <c r="DP1039" s="72"/>
      <c r="DQ1039" s="72"/>
      <c r="DR1039" s="72"/>
      <c r="DS1039" s="72"/>
      <c r="DT1039" s="72"/>
      <c r="DU1039" s="72"/>
      <c r="DV1039" s="72"/>
      <c r="DW1039" s="72"/>
      <c r="DX1039" s="72"/>
      <c r="DY1039" s="72"/>
      <c r="DZ1039" s="72"/>
      <c r="EA1039" s="72"/>
      <c r="EB1039" s="72"/>
      <c r="EC1039" s="72"/>
      <c r="ED1039" s="72"/>
      <c r="EE1039" s="72"/>
      <c r="EF1039" s="72"/>
      <c r="EG1039" s="72"/>
      <c r="EH1039" s="72"/>
      <c r="EI1039" s="72"/>
      <c r="EJ1039" s="72"/>
      <c r="EK1039" s="72"/>
      <c r="EL1039" s="72"/>
      <c r="EM1039" s="72"/>
    </row>
    <row r="1040" spans="1:143" s="71" customFormat="1" ht="63" x14ac:dyDescent="0.25">
      <c r="A1040" s="308"/>
      <c r="B1040" s="308"/>
      <c r="C1040" s="317"/>
      <c r="D1040" s="319"/>
      <c r="E1040" s="331"/>
      <c r="F1040" s="331"/>
      <c r="G1040" s="145" t="s">
        <v>70</v>
      </c>
      <c r="H1040" s="87" t="s">
        <v>168</v>
      </c>
      <c r="I1040" s="223">
        <v>31207.18</v>
      </c>
      <c r="J1040" s="223">
        <f>I1040/D1039</f>
        <v>136.04</v>
      </c>
      <c r="K1040" s="223">
        <f>119+98</f>
        <v>217</v>
      </c>
      <c r="L1040" s="72"/>
      <c r="M1040" s="72"/>
      <c r="N1040" s="72"/>
      <c r="O1040" s="72"/>
      <c r="P1040" s="72"/>
      <c r="Q1040" s="72"/>
      <c r="R1040" s="72"/>
      <c r="S1040" s="72"/>
      <c r="T1040" s="72"/>
      <c r="U1040" s="72"/>
      <c r="V1040" s="72"/>
      <c r="W1040" s="72"/>
      <c r="X1040" s="72"/>
      <c r="Y1040" s="72"/>
      <c r="Z1040" s="72"/>
      <c r="AA1040" s="72"/>
      <c r="AB1040" s="72"/>
      <c r="AC1040" s="72"/>
      <c r="AD1040" s="72"/>
      <c r="AE1040" s="72"/>
      <c r="AF1040" s="72"/>
      <c r="AG1040" s="72"/>
      <c r="AH1040" s="72"/>
      <c r="AI1040" s="72"/>
      <c r="AJ1040" s="72"/>
      <c r="AK1040" s="72"/>
      <c r="AL1040" s="72"/>
      <c r="AM1040" s="72"/>
      <c r="AN1040" s="72"/>
      <c r="AO1040" s="72"/>
      <c r="AP1040" s="72"/>
      <c r="AQ1040" s="72"/>
      <c r="AR1040" s="72"/>
      <c r="AS1040" s="72"/>
      <c r="AT1040" s="72"/>
      <c r="AU1040" s="72"/>
      <c r="AV1040" s="72"/>
      <c r="AW1040" s="72"/>
      <c r="AX1040" s="72"/>
      <c r="AY1040" s="72"/>
      <c r="AZ1040" s="72"/>
      <c r="BA1040" s="72"/>
      <c r="BB1040" s="72"/>
      <c r="BC1040" s="72"/>
      <c r="BD1040" s="72"/>
      <c r="BE1040" s="72"/>
      <c r="BF1040" s="72"/>
      <c r="BG1040" s="72"/>
      <c r="BH1040" s="72"/>
      <c r="BI1040" s="72"/>
      <c r="BJ1040" s="72"/>
      <c r="BK1040" s="72"/>
      <c r="BL1040" s="72"/>
      <c r="BM1040" s="72"/>
      <c r="BN1040" s="72"/>
      <c r="BO1040" s="72"/>
      <c r="BP1040" s="72"/>
      <c r="BQ1040" s="72"/>
      <c r="BR1040" s="72"/>
      <c r="BS1040" s="72"/>
      <c r="BT1040" s="72"/>
      <c r="BU1040" s="72"/>
      <c r="BV1040" s="72"/>
      <c r="BW1040" s="72"/>
      <c r="BX1040" s="72"/>
      <c r="BY1040" s="72"/>
      <c r="BZ1040" s="72"/>
      <c r="CA1040" s="72"/>
      <c r="CB1040" s="72"/>
      <c r="CC1040" s="72"/>
      <c r="CD1040" s="72"/>
      <c r="CE1040" s="72"/>
      <c r="CF1040" s="72"/>
      <c r="CG1040" s="72"/>
      <c r="CH1040" s="72"/>
      <c r="CI1040" s="72"/>
      <c r="CJ1040" s="72"/>
      <c r="CK1040" s="72"/>
      <c r="CL1040" s="72"/>
      <c r="CM1040" s="72"/>
      <c r="CN1040" s="72"/>
      <c r="CO1040" s="72"/>
      <c r="CP1040" s="72"/>
      <c r="CQ1040" s="72"/>
      <c r="CR1040" s="72"/>
      <c r="CS1040" s="72"/>
      <c r="CT1040" s="72"/>
      <c r="CU1040" s="72"/>
      <c r="CV1040" s="72"/>
      <c r="CW1040" s="72"/>
      <c r="CX1040" s="72"/>
      <c r="CY1040" s="72"/>
      <c r="CZ1040" s="72"/>
      <c r="DA1040" s="72"/>
      <c r="DB1040" s="72"/>
      <c r="DC1040" s="72"/>
      <c r="DD1040" s="72"/>
      <c r="DE1040" s="72"/>
      <c r="DF1040" s="72"/>
      <c r="DG1040" s="72"/>
      <c r="DH1040" s="72"/>
      <c r="DI1040" s="72"/>
      <c r="DJ1040" s="72"/>
      <c r="DK1040" s="72"/>
      <c r="DL1040" s="72"/>
      <c r="DM1040" s="72"/>
      <c r="DN1040" s="72"/>
      <c r="DO1040" s="72"/>
      <c r="DP1040" s="72"/>
      <c r="DQ1040" s="72"/>
      <c r="DR1040" s="72"/>
      <c r="DS1040" s="72"/>
      <c r="DT1040" s="72"/>
      <c r="DU1040" s="72"/>
      <c r="DV1040" s="72"/>
      <c r="DW1040" s="72"/>
      <c r="DX1040" s="72"/>
      <c r="DY1040" s="72"/>
      <c r="DZ1040" s="72"/>
      <c r="EA1040" s="72"/>
      <c r="EB1040" s="72"/>
      <c r="EC1040" s="72"/>
      <c r="ED1040" s="72"/>
      <c r="EE1040" s="72"/>
      <c r="EF1040" s="72"/>
      <c r="EG1040" s="72"/>
      <c r="EH1040" s="72"/>
      <c r="EI1040" s="72"/>
      <c r="EJ1040" s="72"/>
      <c r="EK1040" s="72"/>
      <c r="EL1040" s="72"/>
      <c r="EM1040" s="72"/>
    </row>
    <row r="1041" spans="1:143" s="71" customFormat="1" ht="63" x14ac:dyDescent="0.25">
      <c r="A1041" s="308"/>
      <c r="B1041" s="308"/>
      <c r="C1041" s="317"/>
      <c r="D1041" s="319"/>
      <c r="E1041" s="331"/>
      <c r="F1041" s="331"/>
      <c r="G1041" s="145" t="s">
        <v>71</v>
      </c>
      <c r="H1041" s="87" t="s">
        <v>168</v>
      </c>
      <c r="I1041" s="223">
        <v>11295.62</v>
      </c>
      <c r="J1041" s="223">
        <f>I1041/D1039</f>
        <v>49.24</v>
      </c>
      <c r="K1041" s="223">
        <f>25+98</f>
        <v>123</v>
      </c>
      <c r="L1041" s="72"/>
      <c r="M1041" s="72"/>
      <c r="N1041" s="72"/>
      <c r="O1041" s="72"/>
      <c r="P1041" s="72"/>
      <c r="Q1041" s="72"/>
      <c r="R1041" s="72"/>
      <c r="S1041" s="72"/>
      <c r="T1041" s="72"/>
      <c r="U1041" s="72"/>
      <c r="V1041" s="72"/>
      <c r="W1041" s="72"/>
      <c r="X1041" s="72"/>
      <c r="Y1041" s="72"/>
      <c r="Z1041" s="72"/>
      <c r="AA1041" s="72"/>
      <c r="AB1041" s="72"/>
      <c r="AC1041" s="72"/>
      <c r="AD1041" s="72"/>
      <c r="AE1041" s="72"/>
      <c r="AF1041" s="72"/>
      <c r="AG1041" s="72"/>
      <c r="AH1041" s="72"/>
      <c r="AI1041" s="72"/>
      <c r="AJ1041" s="72"/>
      <c r="AK1041" s="72"/>
      <c r="AL1041" s="72"/>
      <c r="AM1041" s="72"/>
      <c r="AN1041" s="72"/>
      <c r="AO1041" s="72"/>
      <c r="AP1041" s="72"/>
      <c r="AQ1041" s="72"/>
      <c r="AR1041" s="72"/>
      <c r="AS1041" s="72"/>
      <c r="AT1041" s="72"/>
      <c r="AU1041" s="72"/>
      <c r="AV1041" s="72"/>
      <c r="AW1041" s="72"/>
      <c r="AX1041" s="72"/>
      <c r="AY1041" s="72"/>
      <c r="AZ1041" s="72"/>
      <c r="BA1041" s="72"/>
      <c r="BB1041" s="72"/>
      <c r="BC1041" s="72"/>
      <c r="BD1041" s="72"/>
      <c r="BE1041" s="72"/>
      <c r="BF1041" s="72"/>
      <c r="BG1041" s="72"/>
      <c r="BH1041" s="72"/>
      <c r="BI1041" s="72"/>
      <c r="BJ1041" s="72"/>
      <c r="BK1041" s="72"/>
      <c r="BL1041" s="72"/>
      <c r="BM1041" s="72"/>
      <c r="BN1041" s="72"/>
      <c r="BO1041" s="72"/>
      <c r="BP1041" s="72"/>
      <c r="BQ1041" s="72"/>
      <c r="BR1041" s="72"/>
      <c r="BS1041" s="72"/>
      <c r="BT1041" s="72"/>
      <c r="BU1041" s="72"/>
      <c r="BV1041" s="72"/>
      <c r="BW1041" s="72"/>
      <c r="BX1041" s="72"/>
      <c r="BY1041" s="72"/>
      <c r="BZ1041" s="72"/>
      <c r="CA1041" s="72"/>
      <c r="CB1041" s="72"/>
      <c r="CC1041" s="72"/>
      <c r="CD1041" s="72"/>
      <c r="CE1041" s="72"/>
      <c r="CF1041" s="72"/>
      <c r="CG1041" s="72"/>
      <c r="CH1041" s="72"/>
      <c r="CI1041" s="72"/>
      <c r="CJ1041" s="72"/>
      <c r="CK1041" s="72"/>
      <c r="CL1041" s="72"/>
      <c r="CM1041" s="72"/>
      <c r="CN1041" s="72"/>
      <c r="CO1041" s="72"/>
      <c r="CP1041" s="72"/>
      <c r="CQ1041" s="72"/>
      <c r="CR1041" s="72"/>
      <c r="CS1041" s="72"/>
      <c r="CT1041" s="72"/>
      <c r="CU1041" s="72"/>
      <c r="CV1041" s="72"/>
      <c r="CW1041" s="72"/>
      <c r="CX1041" s="72"/>
      <c r="CY1041" s="72"/>
      <c r="CZ1041" s="72"/>
      <c r="DA1041" s="72"/>
      <c r="DB1041" s="72"/>
      <c r="DC1041" s="72"/>
      <c r="DD1041" s="72"/>
      <c r="DE1041" s="72"/>
      <c r="DF1041" s="72"/>
      <c r="DG1041" s="72"/>
      <c r="DH1041" s="72"/>
      <c r="DI1041" s="72"/>
      <c r="DJ1041" s="72"/>
      <c r="DK1041" s="72"/>
      <c r="DL1041" s="72"/>
      <c r="DM1041" s="72"/>
      <c r="DN1041" s="72"/>
      <c r="DO1041" s="72"/>
      <c r="DP1041" s="72"/>
      <c r="DQ1041" s="72"/>
      <c r="DR1041" s="72"/>
      <c r="DS1041" s="72"/>
      <c r="DT1041" s="72"/>
      <c r="DU1041" s="72"/>
      <c r="DV1041" s="72"/>
      <c r="DW1041" s="72"/>
      <c r="DX1041" s="72"/>
      <c r="DY1041" s="72"/>
      <c r="DZ1041" s="72"/>
      <c r="EA1041" s="72"/>
      <c r="EB1041" s="72"/>
      <c r="EC1041" s="72"/>
      <c r="ED1041" s="72"/>
      <c r="EE1041" s="72"/>
      <c r="EF1041" s="72"/>
      <c r="EG1041" s="72"/>
      <c r="EH1041" s="72"/>
      <c r="EI1041" s="72"/>
      <c r="EJ1041" s="72"/>
      <c r="EK1041" s="72"/>
      <c r="EL1041" s="72"/>
      <c r="EM1041" s="72"/>
    </row>
    <row r="1042" spans="1:143" ht="15.75" customHeight="1" x14ac:dyDescent="0.25">
      <c r="A1042" s="307">
        <f>A1039+1</f>
        <v>2</v>
      </c>
      <c r="B1042" s="307">
        <v>6789</v>
      </c>
      <c r="C1042" s="315" t="s">
        <v>297</v>
      </c>
      <c r="D1042" s="318">
        <v>417.5</v>
      </c>
      <c r="E1042" s="330" t="s">
        <v>167</v>
      </c>
      <c r="F1042" s="330">
        <v>2</v>
      </c>
      <c r="G1042" s="307" t="s">
        <v>65</v>
      </c>
      <c r="H1042" s="87" t="s">
        <v>66</v>
      </c>
      <c r="I1042" s="223">
        <f>I1043+I1044</f>
        <v>2754808.95</v>
      </c>
      <c r="J1042" s="223">
        <f t="shared" ref="J1042:K1042" si="50">J1043+J1044</f>
        <v>6598.34</v>
      </c>
      <c r="K1042" s="223">
        <f t="shared" si="50"/>
        <v>8203</v>
      </c>
    </row>
    <row r="1043" spans="1:143" x14ac:dyDescent="0.25">
      <c r="A1043" s="308"/>
      <c r="B1043" s="308"/>
      <c r="C1043" s="317"/>
      <c r="D1043" s="319"/>
      <c r="E1043" s="331"/>
      <c r="F1043" s="331"/>
      <c r="G1043" s="308"/>
      <c r="H1043" s="87" t="s">
        <v>67</v>
      </c>
      <c r="I1043" s="223">
        <v>2697091.2</v>
      </c>
      <c r="J1043" s="223">
        <f>I1043/D1042-0.01</f>
        <v>6460.09</v>
      </c>
      <c r="K1043" s="223">
        <v>8031</v>
      </c>
    </row>
    <row r="1044" spans="1:143" x14ac:dyDescent="0.25">
      <c r="A1044" s="308"/>
      <c r="B1044" s="308"/>
      <c r="C1044" s="317"/>
      <c r="D1044" s="319"/>
      <c r="E1044" s="331"/>
      <c r="F1044" s="331"/>
      <c r="G1044" s="309"/>
      <c r="H1044" s="87" t="s">
        <v>69</v>
      </c>
      <c r="I1044" s="223">
        <v>57717.75</v>
      </c>
      <c r="J1044" s="223">
        <f>I1044/D1042</f>
        <v>138.25</v>
      </c>
      <c r="K1044" s="223">
        <v>172</v>
      </c>
    </row>
    <row r="1045" spans="1:143" x14ac:dyDescent="0.25">
      <c r="A1045" s="307">
        <f>A1042+1</f>
        <v>3</v>
      </c>
      <c r="B1045" s="307">
        <v>6770</v>
      </c>
      <c r="C1045" s="315" t="s">
        <v>298</v>
      </c>
      <c r="D1045" s="318">
        <v>346</v>
      </c>
      <c r="E1045" s="330" t="s">
        <v>68</v>
      </c>
      <c r="F1045" s="330">
        <v>2</v>
      </c>
      <c r="G1045" s="161"/>
      <c r="H1045" s="87" t="s">
        <v>66</v>
      </c>
      <c r="I1045" s="223">
        <f>I1046+I1047</f>
        <v>61804</v>
      </c>
      <c r="J1045" s="223">
        <f>J1046+J1047</f>
        <v>178.62</v>
      </c>
      <c r="K1045" s="223">
        <f>K1046+K1047</f>
        <v>186</v>
      </c>
    </row>
    <row r="1046" spans="1:143" ht="63" x14ac:dyDescent="0.25">
      <c r="A1046" s="308"/>
      <c r="B1046" s="308"/>
      <c r="C1046" s="317"/>
      <c r="D1046" s="319"/>
      <c r="E1046" s="331"/>
      <c r="F1046" s="331"/>
      <c r="G1046" s="145" t="s">
        <v>70</v>
      </c>
      <c r="H1046" s="87" t="s">
        <v>168</v>
      </c>
      <c r="I1046" s="223">
        <f>D1045*K1046</f>
        <v>48440</v>
      </c>
      <c r="J1046" s="223">
        <f>I1046/D1045</f>
        <v>140</v>
      </c>
      <c r="K1046" s="223">
        <f>119+21</f>
        <v>140</v>
      </c>
    </row>
    <row r="1047" spans="1:143" ht="63" x14ac:dyDescent="0.25">
      <c r="A1047" s="308"/>
      <c r="B1047" s="308"/>
      <c r="C1047" s="317"/>
      <c r="D1047" s="319"/>
      <c r="E1047" s="331"/>
      <c r="F1047" s="331"/>
      <c r="G1047" s="145" t="s">
        <v>71</v>
      </c>
      <c r="H1047" s="87" t="s">
        <v>168</v>
      </c>
      <c r="I1047" s="223">
        <v>13364</v>
      </c>
      <c r="J1047" s="223">
        <f>I1047/D1045</f>
        <v>38.619999999999997</v>
      </c>
      <c r="K1047" s="223">
        <f>25+21</f>
        <v>46</v>
      </c>
    </row>
    <row r="1048" spans="1:143" s="71" customFormat="1" x14ac:dyDescent="0.25">
      <c r="A1048" s="81" t="s">
        <v>38</v>
      </c>
      <c r="B1048" s="81"/>
      <c r="C1048" s="124"/>
      <c r="D1048" s="80">
        <f>D1049+D1052+D1057+D1060</f>
        <v>2363.1999999999998</v>
      </c>
      <c r="E1048" s="80"/>
      <c r="F1048" s="80"/>
      <c r="G1048" s="151"/>
      <c r="H1048" s="92"/>
      <c r="I1048" s="223">
        <f>I1049+I1052+I1057+I1060</f>
        <v>3383634.06</v>
      </c>
      <c r="J1048" s="223"/>
      <c r="K1048" s="223"/>
      <c r="L1048" s="72"/>
      <c r="M1048" s="72"/>
      <c r="N1048" s="72"/>
      <c r="O1048" s="72"/>
      <c r="P1048" s="72"/>
      <c r="Q1048" s="72"/>
      <c r="R1048" s="72"/>
      <c r="S1048" s="72"/>
      <c r="T1048" s="72"/>
      <c r="U1048" s="72"/>
      <c r="V1048" s="72"/>
      <c r="W1048" s="72"/>
      <c r="X1048" s="72"/>
      <c r="Y1048" s="72"/>
      <c r="Z1048" s="72"/>
      <c r="AA1048" s="72"/>
      <c r="AB1048" s="72"/>
      <c r="AC1048" s="72"/>
      <c r="AD1048" s="72"/>
      <c r="AE1048" s="72"/>
      <c r="AF1048" s="72"/>
      <c r="AG1048" s="72"/>
      <c r="AH1048" s="72"/>
      <c r="AI1048" s="72"/>
      <c r="AJ1048" s="72"/>
      <c r="AK1048" s="72"/>
      <c r="AL1048" s="72"/>
      <c r="AM1048" s="72"/>
      <c r="AN1048" s="72"/>
      <c r="AO1048" s="72"/>
      <c r="AP1048" s="72"/>
      <c r="AQ1048" s="72"/>
      <c r="AR1048" s="72"/>
      <c r="AS1048" s="72"/>
      <c r="AT1048" s="72"/>
      <c r="AU1048" s="72"/>
      <c r="AV1048" s="72"/>
      <c r="AW1048" s="72"/>
      <c r="AX1048" s="72"/>
      <c r="AY1048" s="72"/>
      <c r="AZ1048" s="72"/>
      <c r="BA1048" s="72"/>
      <c r="BB1048" s="72"/>
      <c r="BC1048" s="72"/>
      <c r="BD1048" s="72"/>
      <c r="BE1048" s="72"/>
      <c r="BF1048" s="72"/>
      <c r="BG1048" s="72"/>
      <c r="BH1048" s="72"/>
      <c r="BI1048" s="72"/>
      <c r="BJ1048" s="72"/>
      <c r="BK1048" s="72"/>
      <c r="BL1048" s="72"/>
      <c r="BM1048" s="72"/>
      <c r="BN1048" s="72"/>
      <c r="BO1048" s="72"/>
      <c r="BP1048" s="72"/>
      <c r="BQ1048" s="72"/>
      <c r="BR1048" s="72"/>
      <c r="BS1048" s="72"/>
      <c r="BT1048" s="72"/>
      <c r="BU1048" s="72"/>
      <c r="BV1048" s="72"/>
      <c r="BW1048" s="72"/>
      <c r="BX1048" s="72"/>
      <c r="BY1048" s="72"/>
      <c r="BZ1048" s="72"/>
      <c r="CA1048" s="72"/>
      <c r="CB1048" s="72"/>
      <c r="CC1048" s="72"/>
      <c r="CD1048" s="72"/>
      <c r="CE1048" s="72"/>
      <c r="CF1048" s="72"/>
      <c r="CG1048" s="72"/>
      <c r="CH1048" s="72"/>
      <c r="CI1048" s="72"/>
      <c r="CJ1048" s="72"/>
      <c r="CK1048" s="72"/>
      <c r="CL1048" s="72"/>
      <c r="CM1048" s="72"/>
      <c r="CN1048" s="72"/>
      <c r="CO1048" s="72"/>
      <c r="CP1048" s="72"/>
      <c r="CQ1048" s="72"/>
      <c r="CR1048" s="72"/>
      <c r="CS1048" s="72"/>
      <c r="CT1048" s="72"/>
      <c r="CU1048" s="72"/>
      <c r="CV1048" s="72"/>
      <c r="CW1048" s="72"/>
      <c r="CX1048" s="72"/>
      <c r="CY1048" s="72"/>
      <c r="CZ1048" s="72"/>
      <c r="DA1048" s="72"/>
      <c r="DB1048" s="72"/>
      <c r="DC1048" s="72"/>
      <c r="DD1048" s="72"/>
      <c r="DE1048" s="72"/>
      <c r="DF1048" s="72"/>
      <c r="DG1048" s="72"/>
      <c r="DH1048" s="72"/>
      <c r="DI1048" s="72"/>
      <c r="DJ1048" s="72"/>
      <c r="DK1048" s="72"/>
      <c r="DL1048" s="72"/>
      <c r="DM1048" s="72"/>
      <c r="DN1048" s="72"/>
      <c r="DO1048" s="72"/>
      <c r="DP1048" s="72"/>
      <c r="DQ1048" s="72"/>
      <c r="DR1048" s="72"/>
      <c r="DS1048" s="72"/>
      <c r="DT1048" s="72"/>
      <c r="DU1048" s="72"/>
      <c r="DV1048" s="72"/>
      <c r="DW1048" s="72"/>
      <c r="DX1048" s="72"/>
      <c r="DY1048" s="72"/>
      <c r="DZ1048" s="72"/>
      <c r="EA1048" s="72"/>
      <c r="EB1048" s="72"/>
      <c r="EC1048" s="72"/>
      <c r="ED1048" s="72"/>
      <c r="EE1048" s="72"/>
      <c r="EF1048" s="72"/>
      <c r="EG1048" s="72"/>
      <c r="EH1048" s="72"/>
      <c r="EI1048" s="72"/>
      <c r="EJ1048" s="72"/>
      <c r="EK1048" s="72"/>
      <c r="EL1048" s="72"/>
      <c r="EM1048" s="72"/>
    </row>
    <row r="1049" spans="1:143" x14ac:dyDescent="0.25">
      <c r="A1049" s="307">
        <v>1</v>
      </c>
      <c r="B1049" s="307">
        <v>4965</v>
      </c>
      <c r="C1049" s="315" t="s">
        <v>276</v>
      </c>
      <c r="D1049" s="318">
        <v>485.7</v>
      </c>
      <c r="E1049" s="330" t="s">
        <v>68</v>
      </c>
      <c r="F1049" s="330">
        <v>2</v>
      </c>
      <c r="G1049" s="307" t="s">
        <v>75</v>
      </c>
      <c r="H1049" s="87" t="s">
        <v>66</v>
      </c>
      <c r="I1049" s="223">
        <f>I1050+I1051</f>
        <v>1232294.99</v>
      </c>
      <c r="J1049" s="223">
        <f>J1050+J1051</f>
        <v>2537.15</v>
      </c>
      <c r="K1049" s="223">
        <f>K1050+K1051</f>
        <v>2977</v>
      </c>
    </row>
    <row r="1050" spans="1:143" x14ac:dyDescent="0.25">
      <c r="A1050" s="308"/>
      <c r="B1050" s="308"/>
      <c r="C1050" s="317"/>
      <c r="D1050" s="319"/>
      <c r="E1050" s="331"/>
      <c r="F1050" s="331"/>
      <c r="G1050" s="308"/>
      <c r="H1050" s="87" t="s">
        <v>67</v>
      </c>
      <c r="I1050" s="223">
        <v>1206476.3999999999</v>
      </c>
      <c r="J1050" s="223">
        <f>I1050/D1049-0.01</f>
        <v>2483.9899999999998</v>
      </c>
      <c r="K1050" s="223">
        <v>2915</v>
      </c>
    </row>
    <row r="1051" spans="1:143" x14ac:dyDescent="0.25">
      <c r="A1051" s="308"/>
      <c r="B1051" s="308"/>
      <c r="C1051" s="317"/>
      <c r="D1051" s="319"/>
      <c r="E1051" s="331"/>
      <c r="F1051" s="331"/>
      <c r="G1051" s="309"/>
      <c r="H1051" s="87" t="s">
        <v>69</v>
      </c>
      <c r="I1051" s="223">
        <f>I1050*0.0214</f>
        <v>25818.59</v>
      </c>
      <c r="J1051" s="223">
        <f>I1051/D1049</f>
        <v>53.16</v>
      </c>
      <c r="K1051" s="223">
        <v>62</v>
      </c>
    </row>
    <row r="1052" spans="1:143" x14ac:dyDescent="0.25">
      <c r="A1052" s="307">
        <v>2</v>
      </c>
      <c r="B1052" s="307">
        <v>4971</v>
      </c>
      <c r="C1052" s="315" t="s">
        <v>507</v>
      </c>
      <c r="D1052" s="318">
        <v>643.9</v>
      </c>
      <c r="E1052" s="330" t="s">
        <v>68</v>
      </c>
      <c r="F1052" s="330">
        <v>2</v>
      </c>
      <c r="G1052" s="307" t="s">
        <v>75</v>
      </c>
      <c r="H1052" s="87" t="s">
        <v>66</v>
      </c>
      <c r="I1052" s="223">
        <f>I1053+I1054+I1055+I1056</f>
        <v>1790774.62</v>
      </c>
      <c r="J1052" s="223">
        <f t="shared" ref="J1052:K1052" si="51">J1053+J1054+J1055+J1056</f>
        <v>2781.14</v>
      </c>
      <c r="K1052" s="223">
        <f t="shared" si="51"/>
        <v>7493</v>
      </c>
    </row>
    <row r="1053" spans="1:143" x14ac:dyDescent="0.25">
      <c r="A1053" s="308"/>
      <c r="B1053" s="308"/>
      <c r="C1053" s="317"/>
      <c r="D1053" s="319"/>
      <c r="E1053" s="331"/>
      <c r="F1053" s="331"/>
      <c r="G1053" s="308"/>
      <c r="H1053" s="87" t="s">
        <v>67</v>
      </c>
      <c r="I1053" s="223">
        <v>561727.17000000004</v>
      </c>
      <c r="J1053" s="223">
        <f>I1053/D1052</f>
        <v>872.38</v>
      </c>
      <c r="K1053" s="223">
        <v>2915</v>
      </c>
    </row>
    <row r="1054" spans="1:143" x14ac:dyDescent="0.25">
      <c r="A1054" s="308"/>
      <c r="B1054" s="308"/>
      <c r="C1054" s="317"/>
      <c r="D1054" s="319"/>
      <c r="E1054" s="331"/>
      <c r="F1054" s="331"/>
      <c r="G1054" s="308"/>
      <c r="H1054" s="87" t="s">
        <v>69</v>
      </c>
      <c r="I1054" s="223">
        <v>19374.560000000001</v>
      </c>
      <c r="J1054" s="223">
        <f>I1054/D1052</f>
        <v>30.09</v>
      </c>
      <c r="K1054" s="223">
        <v>62</v>
      </c>
    </row>
    <row r="1055" spans="1:143" x14ac:dyDescent="0.25">
      <c r="A1055" s="308"/>
      <c r="B1055" s="308"/>
      <c r="C1055" s="317"/>
      <c r="D1055" s="319"/>
      <c r="E1055" s="331"/>
      <c r="F1055" s="331"/>
      <c r="G1055" s="308"/>
      <c r="H1055" s="87" t="s">
        <v>179</v>
      </c>
      <c r="I1055" s="223">
        <v>1174225.3999999999</v>
      </c>
      <c r="J1055" s="223">
        <f>I1055/D1052+0.01</f>
        <v>1823.62</v>
      </c>
      <c r="K1055" s="223">
        <v>4421</v>
      </c>
    </row>
    <row r="1056" spans="1:143" x14ac:dyDescent="0.25">
      <c r="A1056" s="309"/>
      <c r="B1056" s="309"/>
      <c r="C1056" s="316"/>
      <c r="D1056" s="329"/>
      <c r="E1056" s="332"/>
      <c r="F1056" s="332"/>
      <c r="G1056" s="309"/>
      <c r="H1056" s="87" t="s">
        <v>69</v>
      </c>
      <c r="I1056" s="223">
        <v>35447.49</v>
      </c>
      <c r="J1056" s="223">
        <f>I1056/D1052</f>
        <v>55.05</v>
      </c>
      <c r="K1056" s="223">
        <v>95</v>
      </c>
    </row>
    <row r="1057" spans="1:143" x14ac:dyDescent="0.25">
      <c r="A1057" s="307">
        <v>3</v>
      </c>
      <c r="B1057" s="307">
        <v>4976</v>
      </c>
      <c r="C1057" s="315" t="s">
        <v>508</v>
      </c>
      <c r="D1057" s="318">
        <v>719.4</v>
      </c>
      <c r="E1057" s="330" t="s">
        <v>68</v>
      </c>
      <c r="F1057" s="330">
        <v>2</v>
      </c>
      <c r="G1057" s="307" t="s">
        <v>75</v>
      </c>
      <c r="H1057" s="87" t="s">
        <v>66</v>
      </c>
      <c r="I1057" s="223">
        <f>I1058+I1059</f>
        <v>186171.85</v>
      </c>
      <c r="J1057" s="223">
        <f t="shared" ref="J1057:K1057" si="52">J1058+J1059</f>
        <v>258.79000000000002</v>
      </c>
      <c r="K1057" s="223">
        <f t="shared" si="52"/>
        <v>349</v>
      </c>
    </row>
    <row r="1058" spans="1:143" ht="63" x14ac:dyDescent="0.25">
      <c r="A1058" s="308"/>
      <c r="B1058" s="308"/>
      <c r="C1058" s="317"/>
      <c r="D1058" s="319"/>
      <c r="E1058" s="331"/>
      <c r="F1058" s="331"/>
      <c r="G1058" s="308"/>
      <c r="H1058" s="87" t="s">
        <v>509</v>
      </c>
      <c r="I1058" s="223">
        <v>69574.13</v>
      </c>
      <c r="J1058" s="223">
        <f>I1058/D1057</f>
        <v>96.71</v>
      </c>
      <c r="K1058" s="223">
        <f>117+27</f>
        <v>144</v>
      </c>
    </row>
    <row r="1059" spans="1:143" ht="63" x14ac:dyDescent="0.25">
      <c r="A1059" s="308"/>
      <c r="B1059" s="308"/>
      <c r="C1059" s="317"/>
      <c r="D1059" s="319"/>
      <c r="E1059" s="331"/>
      <c r="F1059" s="331"/>
      <c r="G1059" s="309"/>
      <c r="H1059" s="87" t="s">
        <v>510</v>
      </c>
      <c r="I1059" s="223">
        <v>116597.72</v>
      </c>
      <c r="J1059" s="223">
        <f>I1059/D1057</f>
        <v>162.08000000000001</v>
      </c>
      <c r="K1059" s="223">
        <f>177+28</f>
        <v>205</v>
      </c>
    </row>
    <row r="1060" spans="1:143" x14ac:dyDescent="0.25">
      <c r="A1060" s="307">
        <v>4</v>
      </c>
      <c r="B1060" s="307">
        <v>4978</v>
      </c>
      <c r="C1060" s="315" t="s">
        <v>511</v>
      </c>
      <c r="D1060" s="318">
        <v>514.20000000000005</v>
      </c>
      <c r="E1060" s="330" t="s">
        <v>167</v>
      </c>
      <c r="F1060" s="330">
        <v>2</v>
      </c>
      <c r="G1060" s="307" t="s">
        <v>75</v>
      </c>
      <c r="H1060" s="87" t="s">
        <v>66</v>
      </c>
      <c r="I1060" s="223">
        <f>I1061+I1062</f>
        <v>174392.6</v>
      </c>
      <c r="J1060" s="223">
        <f t="shared" ref="J1060:K1060" si="53">J1061+J1062</f>
        <v>339.15</v>
      </c>
      <c r="K1060" s="223">
        <f t="shared" si="53"/>
        <v>464</v>
      </c>
    </row>
    <row r="1061" spans="1:143" ht="63" x14ac:dyDescent="0.25">
      <c r="A1061" s="308"/>
      <c r="B1061" s="308"/>
      <c r="C1061" s="317"/>
      <c r="D1061" s="319"/>
      <c r="E1061" s="331"/>
      <c r="F1061" s="331"/>
      <c r="G1061" s="308"/>
      <c r="H1061" s="87" t="s">
        <v>509</v>
      </c>
      <c r="I1061" s="223">
        <v>86510.07</v>
      </c>
      <c r="J1061" s="223">
        <f>I1061/D1060</f>
        <v>168.24</v>
      </c>
      <c r="K1061" s="223">
        <f>232+27</f>
        <v>259</v>
      </c>
    </row>
    <row r="1062" spans="1:143" ht="63" x14ac:dyDescent="0.25">
      <c r="A1062" s="308"/>
      <c r="B1062" s="308"/>
      <c r="C1062" s="317"/>
      <c r="D1062" s="319"/>
      <c r="E1062" s="331"/>
      <c r="F1062" s="331"/>
      <c r="G1062" s="309"/>
      <c r="H1062" s="87" t="s">
        <v>510</v>
      </c>
      <c r="I1062" s="223">
        <v>87882.53</v>
      </c>
      <c r="J1062" s="223">
        <f>I1062/D1060</f>
        <v>170.91</v>
      </c>
      <c r="K1062" s="223">
        <f>177+28</f>
        <v>205</v>
      </c>
    </row>
    <row r="1063" spans="1:143" s="71" customFormat="1" x14ac:dyDescent="0.25">
      <c r="A1063" s="81" t="s">
        <v>39</v>
      </c>
      <c r="B1063" s="216"/>
      <c r="C1063" s="81"/>
      <c r="D1063" s="151">
        <f>D1064+D1066+D1071+D1074+D1077</f>
        <v>1810.3</v>
      </c>
      <c r="E1063" s="150"/>
      <c r="F1063" s="150"/>
      <c r="G1063" s="151"/>
      <c r="H1063" s="92"/>
      <c r="I1063" s="223">
        <f>I1064+I1066+I1071+I1074+I1077</f>
        <v>7561272.21</v>
      </c>
      <c r="J1063" s="223"/>
      <c r="K1063" s="223"/>
      <c r="L1063" s="72"/>
      <c r="M1063" s="72"/>
      <c r="N1063" s="72"/>
      <c r="O1063" s="72"/>
      <c r="P1063" s="72"/>
      <c r="Q1063" s="72"/>
      <c r="R1063" s="72"/>
      <c r="S1063" s="72"/>
      <c r="T1063" s="72"/>
      <c r="U1063" s="72"/>
      <c r="V1063" s="72"/>
      <c r="W1063" s="72"/>
      <c r="X1063" s="72"/>
      <c r="Y1063" s="72"/>
      <c r="Z1063" s="72"/>
      <c r="AA1063" s="72"/>
      <c r="AB1063" s="72"/>
      <c r="AC1063" s="72"/>
      <c r="AD1063" s="72"/>
      <c r="AE1063" s="72"/>
      <c r="AF1063" s="72"/>
      <c r="AG1063" s="72"/>
      <c r="AH1063" s="72"/>
      <c r="AI1063" s="72"/>
      <c r="AJ1063" s="72"/>
      <c r="AK1063" s="72"/>
      <c r="AL1063" s="72"/>
      <c r="AM1063" s="72"/>
      <c r="AN1063" s="72"/>
      <c r="AO1063" s="72"/>
      <c r="AP1063" s="72"/>
      <c r="AQ1063" s="72"/>
      <c r="AR1063" s="72"/>
      <c r="AS1063" s="72"/>
      <c r="AT1063" s="72"/>
      <c r="AU1063" s="72"/>
      <c r="AV1063" s="72"/>
      <c r="AW1063" s="72"/>
      <c r="AX1063" s="72"/>
      <c r="AY1063" s="72"/>
      <c r="AZ1063" s="72"/>
      <c r="BA1063" s="72"/>
      <c r="BB1063" s="72"/>
      <c r="BC1063" s="72"/>
      <c r="BD1063" s="72"/>
      <c r="BE1063" s="72"/>
      <c r="BF1063" s="72"/>
      <c r="BG1063" s="72"/>
      <c r="BH1063" s="72"/>
      <c r="BI1063" s="72"/>
      <c r="BJ1063" s="72"/>
      <c r="BK1063" s="72"/>
      <c r="BL1063" s="72"/>
      <c r="BM1063" s="72"/>
      <c r="BN1063" s="72"/>
      <c r="BO1063" s="72"/>
      <c r="BP1063" s="72"/>
      <c r="BQ1063" s="72"/>
      <c r="BR1063" s="72"/>
      <c r="BS1063" s="72"/>
      <c r="BT1063" s="72"/>
      <c r="BU1063" s="72"/>
      <c r="BV1063" s="72"/>
      <c r="BW1063" s="72"/>
      <c r="BX1063" s="72"/>
      <c r="BY1063" s="72"/>
      <c r="BZ1063" s="72"/>
      <c r="CA1063" s="72"/>
      <c r="CB1063" s="72"/>
      <c r="CC1063" s="72"/>
      <c r="CD1063" s="72"/>
      <c r="CE1063" s="72"/>
      <c r="CF1063" s="72"/>
      <c r="CG1063" s="72"/>
      <c r="CH1063" s="72"/>
      <c r="CI1063" s="72"/>
      <c r="CJ1063" s="72"/>
      <c r="CK1063" s="72"/>
      <c r="CL1063" s="72"/>
      <c r="CM1063" s="72"/>
      <c r="CN1063" s="72"/>
      <c r="CO1063" s="72"/>
      <c r="CP1063" s="72"/>
      <c r="CQ1063" s="72"/>
      <c r="CR1063" s="72"/>
      <c r="CS1063" s="72"/>
      <c r="CT1063" s="72"/>
      <c r="CU1063" s="72"/>
      <c r="CV1063" s="72"/>
      <c r="CW1063" s="72"/>
      <c r="CX1063" s="72"/>
      <c r="CY1063" s="72"/>
      <c r="CZ1063" s="72"/>
      <c r="DA1063" s="72"/>
      <c r="DB1063" s="72"/>
      <c r="DC1063" s="72"/>
      <c r="DD1063" s="72"/>
      <c r="DE1063" s="72"/>
      <c r="DF1063" s="72"/>
      <c r="DG1063" s="72"/>
      <c r="DH1063" s="72"/>
      <c r="DI1063" s="72"/>
      <c r="DJ1063" s="72"/>
      <c r="DK1063" s="72"/>
      <c r="DL1063" s="72"/>
      <c r="DM1063" s="72"/>
      <c r="DN1063" s="72"/>
      <c r="DO1063" s="72"/>
      <c r="DP1063" s="72"/>
      <c r="DQ1063" s="72"/>
      <c r="DR1063" s="72"/>
      <c r="DS1063" s="72"/>
      <c r="DT1063" s="72"/>
      <c r="DU1063" s="72"/>
      <c r="DV1063" s="72"/>
      <c r="DW1063" s="72"/>
      <c r="DX1063" s="72"/>
      <c r="DY1063" s="72"/>
      <c r="DZ1063" s="72"/>
      <c r="EA1063" s="72"/>
      <c r="EB1063" s="72"/>
      <c r="EC1063" s="72"/>
      <c r="ED1063" s="72"/>
      <c r="EE1063" s="72"/>
      <c r="EF1063" s="72"/>
      <c r="EG1063" s="72"/>
      <c r="EH1063" s="72"/>
      <c r="EI1063" s="72"/>
      <c r="EJ1063" s="72"/>
      <c r="EK1063" s="72"/>
      <c r="EL1063" s="72"/>
      <c r="EM1063" s="72"/>
    </row>
    <row r="1064" spans="1:143" s="71" customFormat="1" x14ac:dyDescent="0.25">
      <c r="A1064" s="310">
        <v>1</v>
      </c>
      <c r="B1064" s="307">
        <v>7422</v>
      </c>
      <c r="C1064" s="333" t="s">
        <v>332</v>
      </c>
      <c r="D1064" s="312">
        <v>358.5</v>
      </c>
      <c r="E1064" s="313" t="s">
        <v>68</v>
      </c>
      <c r="F1064" s="313">
        <v>2</v>
      </c>
      <c r="G1064" s="310" t="s">
        <v>65</v>
      </c>
      <c r="H1064" s="87" t="s">
        <v>66</v>
      </c>
      <c r="I1064" s="223">
        <f>I1065</f>
        <v>47287.8</v>
      </c>
      <c r="J1064" s="223">
        <f>J1065</f>
        <v>131.9</v>
      </c>
      <c r="K1064" s="223">
        <f>K1065</f>
        <v>247</v>
      </c>
      <c r="L1064" s="72"/>
      <c r="M1064" s="72"/>
      <c r="N1064" s="72"/>
      <c r="O1064" s="72"/>
      <c r="P1064" s="72"/>
      <c r="Q1064" s="72"/>
      <c r="R1064" s="72"/>
      <c r="S1064" s="72"/>
      <c r="T1064" s="72"/>
      <c r="U1064" s="72"/>
      <c r="V1064" s="72"/>
      <c r="W1064" s="72"/>
      <c r="X1064" s="72"/>
      <c r="Y1064" s="72"/>
      <c r="Z1064" s="72"/>
      <c r="AA1064" s="72"/>
      <c r="AB1064" s="72"/>
      <c r="AC1064" s="72"/>
      <c r="AD1064" s="72"/>
      <c r="AE1064" s="72"/>
      <c r="AF1064" s="72"/>
      <c r="AG1064" s="72"/>
      <c r="AH1064" s="72"/>
      <c r="AI1064" s="72"/>
      <c r="AJ1064" s="72"/>
      <c r="AK1064" s="72"/>
      <c r="AL1064" s="72"/>
      <c r="AM1064" s="72"/>
      <c r="AN1064" s="72"/>
      <c r="AO1064" s="72"/>
      <c r="AP1064" s="72"/>
      <c r="AQ1064" s="72"/>
      <c r="AR1064" s="72"/>
      <c r="AS1064" s="72"/>
      <c r="AT1064" s="72"/>
      <c r="AU1064" s="72"/>
      <c r="AV1064" s="72"/>
      <c r="AW1064" s="72"/>
      <c r="AX1064" s="72"/>
      <c r="AY1064" s="72"/>
      <c r="AZ1064" s="72"/>
      <c r="BA1064" s="72"/>
      <c r="BB1064" s="72"/>
      <c r="BC1064" s="72"/>
      <c r="BD1064" s="72"/>
      <c r="BE1064" s="72"/>
      <c r="BF1064" s="72"/>
      <c r="BG1064" s="72"/>
      <c r="BH1064" s="72"/>
      <c r="BI1064" s="72"/>
      <c r="BJ1064" s="72"/>
      <c r="BK1064" s="72"/>
      <c r="BL1064" s="72"/>
      <c r="BM1064" s="72"/>
      <c r="BN1064" s="72"/>
      <c r="BO1064" s="72"/>
      <c r="BP1064" s="72"/>
      <c r="BQ1064" s="72"/>
      <c r="BR1064" s="72"/>
      <c r="BS1064" s="72"/>
      <c r="BT1064" s="72"/>
      <c r="BU1064" s="72"/>
      <c r="BV1064" s="72"/>
      <c r="BW1064" s="72"/>
      <c r="BX1064" s="72"/>
      <c r="BY1064" s="72"/>
      <c r="BZ1064" s="72"/>
      <c r="CA1064" s="72"/>
      <c r="CB1064" s="72"/>
      <c r="CC1064" s="72"/>
      <c r="CD1064" s="72"/>
      <c r="CE1064" s="72"/>
      <c r="CF1064" s="72"/>
      <c r="CG1064" s="72"/>
      <c r="CH1064" s="72"/>
      <c r="CI1064" s="72"/>
      <c r="CJ1064" s="72"/>
      <c r="CK1064" s="72"/>
      <c r="CL1064" s="72"/>
      <c r="CM1064" s="72"/>
      <c r="CN1064" s="72"/>
      <c r="CO1064" s="72"/>
      <c r="CP1064" s="72"/>
      <c r="CQ1064" s="72"/>
      <c r="CR1064" s="72"/>
      <c r="CS1064" s="72"/>
      <c r="CT1064" s="72"/>
      <c r="CU1064" s="72"/>
      <c r="CV1064" s="72"/>
      <c r="CW1064" s="72"/>
      <c r="CX1064" s="72"/>
      <c r="CY1064" s="72"/>
      <c r="CZ1064" s="72"/>
      <c r="DA1064" s="72"/>
      <c r="DB1064" s="72"/>
      <c r="DC1064" s="72"/>
      <c r="DD1064" s="72"/>
      <c r="DE1064" s="72"/>
      <c r="DF1064" s="72"/>
      <c r="DG1064" s="72"/>
      <c r="DH1064" s="72"/>
      <c r="DI1064" s="72"/>
      <c r="DJ1064" s="72"/>
      <c r="DK1064" s="72"/>
      <c r="DL1064" s="72"/>
      <c r="DM1064" s="72"/>
      <c r="DN1064" s="72"/>
      <c r="DO1064" s="72"/>
      <c r="DP1064" s="72"/>
      <c r="DQ1064" s="72"/>
      <c r="DR1064" s="72"/>
      <c r="DS1064" s="72"/>
      <c r="DT1064" s="72"/>
      <c r="DU1064" s="72"/>
      <c r="DV1064" s="72"/>
      <c r="DW1064" s="72"/>
      <c r="DX1064" s="72"/>
      <c r="DY1064" s="72"/>
      <c r="DZ1064" s="72"/>
      <c r="EA1064" s="72"/>
      <c r="EB1064" s="72"/>
      <c r="EC1064" s="72"/>
      <c r="ED1064" s="72"/>
      <c r="EE1064" s="72"/>
      <c r="EF1064" s="72"/>
      <c r="EG1064" s="72"/>
      <c r="EH1064" s="72"/>
      <c r="EI1064" s="72"/>
      <c r="EJ1064" s="72"/>
      <c r="EK1064" s="72"/>
      <c r="EL1064" s="72"/>
      <c r="EM1064" s="72"/>
    </row>
    <row r="1065" spans="1:143" s="71" customFormat="1" ht="63" x14ac:dyDescent="0.25">
      <c r="A1065" s="310"/>
      <c r="B1065" s="308"/>
      <c r="C1065" s="333"/>
      <c r="D1065" s="312"/>
      <c r="E1065" s="313"/>
      <c r="F1065" s="313"/>
      <c r="G1065" s="310"/>
      <c r="H1065" s="87" t="s">
        <v>178</v>
      </c>
      <c r="I1065" s="223">
        <v>47287.8</v>
      </c>
      <c r="J1065" s="223">
        <f>I1065/D1064</f>
        <v>131.9</v>
      </c>
      <c r="K1065" s="223">
        <f>151+96</f>
        <v>247</v>
      </c>
      <c r="L1065" s="72"/>
      <c r="M1065" s="72"/>
      <c r="N1065" s="72"/>
      <c r="O1065" s="72"/>
      <c r="P1065" s="72"/>
      <c r="Q1065" s="72"/>
      <c r="R1065" s="72"/>
      <c r="S1065" s="72"/>
      <c r="T1065" s="72"/>
      <c r="U1065" s="72"/>
      <c r="V1065" s="72"/>
      <c r="W1065" s="72"/>
      <c r="X1065" s="72"/>
      <c r="Y1065" s="72"/>
      <c r="Z1065" s="72"/>
      <c r="AA1065" s="72"/>
      <c r="AB1065" s="72"/>
      <c r="AC1065" s="72"/>
      <c r="AD1065" s="72"/>
      <c r="AE1065" s="72"/>
      <c r="AF1065" s="72"/>
      <c r="AG1065" s="72"/>
      <c r="AH1065" s="72"/>
      <c r="AI1065" s="72"/>
      <c r="AJ1065" s="72"/>
      <c r="AK1065" s="72"/>
      <c r="AL1065" s="72"/>
      <c r="AM1065" s="72"/>
      <c r="AN1065" s="72"/>
      <c r="AO1065" s="72"/>
      <c r="AP1065" s="72"/>
      <c r="AQ1065" s="72"/>
      <c r="AR1065" s="72"/>
      <c r="AS1065" s="72"/>
      <c r="AT1065" s="72"/>
      <c r="AU1065" s="72"/>
      <c r="AV1065" s="72"/>
      <c r="AW1065" s="72"/>
      <c r="AX1065" s="72"/>
      <c r="AY1065" s="72"/>
      <c r="AZ1065" s="72"/>
      <c r="BA1065" s="72"/>
      <c r="BB1065" s="72"/>
      <c r="BC1065" s="72"/>
      <c r="BD1065" s="72"/>
      <c r="BE1065" s="72"/>
      <c r="BF1065" s="72"/>
      <c r="BG1065" s="72"/>
      <c r="BH1065" s="72"/>
      <c r="BI1065" s="72"/>
      <c r="BJ1065" s="72"/>
      <c r="BK1065" s="72"/>
      <c r="BL1065" s="72"/>
      <c r="BM1065" s="72"/>
      <c r="BN1065" s="72"/>
      <c r="BO1065" s="72"/>
      <c r="BP1065" s="72"/>
      <c r="BQ1065" s="72"/>
      <c r="BR1065" s="72"/>
      <c r="BS1065" s="72"/>
      <c r="BT1065" s="72"/>
      <c r="BU1065" s="72"/>
      <c r="BV1065" s="72"/>
      <c r="BW1065" s="72"/>
      <c r="BX1065" s="72"/>
      <c r="BY1065" s="72"/>
      <c r="BZ1065" s="72"/>
      <c r="CA1065" s="72"/>
      <c r="CB1065" s="72"/>
      <c r="CC1065" s="72"/>
      <c r="CD1065" s="72"/>
      <c r="CE1065" s="72"/>
      <c r="CF1065" s="72"/>
      <c r="CG1065" s="72"/>
      <c r="CH1065" s="72"/>
      <c r="CI1065" s="72"/>
      <c r="CJ1065" s="72"/>
      <c r="CK1065" s="72"/>
      <c r="CL1065" s="72"/>
      <c r="CM1065" s="72"/>
      <c r="CN1065" s="72"/>
      <c r="CO1065" s="72"/>
      <c r="CP1065" s="72"/>
      <c r="CQ1065" s="72"/>
      <c r="CR1065" s="72"/>
      <c r="CS1065" s="72"/>
      <c r="CT1065" s="72"/>
      <c r="CU1065" s="72"/>
      <c r="CV1065" s="72"/>
      <c r="CW1065" s="72"/>
      <c r="CX1065" s="72"/>
      <c r="CY1065" s="72"/>
      <c r="CZ1065" s="72"/>
      <c r="DA1065" s="72"/>
      <c r="DB1065" s="72"/>
      <c r="DC1065" s="72"/>
      <c r="DD1065" s="72"/>
      <c r="DE1065" s="72"/>
      <c r="DF1065" s="72"/>
      <c r="DG1065" s="72"/>
      <c r="DH1065" s="72"/>
      <c r="DI1065" s="72"/>
      <c r="DJ1065" s="72"/>
      <c r="DK1065" s="72"/>
      <c r="DL1065" s="72"/>
      <c r="DM1065" s="72"/>
      <c r="DN1065" s="72"/>
      <c r="DO1065" s="72"/>
      <c r="DP1065" s="72"/>
      <c r="DQ1065" s="72"/>
      <c r="DR1065" s="72"/>
      <c r="DS1065" s="72"/>
      <c r="DT1065" s="72"/>
      <c r="DU1065" s="72"/>
      <c r="DV1065" s="72"/>
      <c r="DW1065" s="72"/>
      <c r="DX1065" s="72"/>
      <c r="DY1065" s="72"/>
      <c r="DZ1065" s="72"/>
      <c r="EA1065" s="72"/>
      <c r="EB1065" s="72"/>
      <c r="EC1065" s="72"/>
      <c r="ED1065" s="72"/>
      <c r="EE1065" s="72"/>
      <c r="EF1065" s="72"/>
      <c r="EG1065" s="72"/>
      <c r="EH1065" s="72"/>
      <c r="EI1065" s="72"/>
      <c r="EJ1065" s="72"/>
      <c r="EK1065" s="72"/>
      <c r="EL1065" s="72"/>
      <c r="EM1065" s="72"/>
    </row>
    <row r="1066" spans="1:143" x14ac:dyDescent="0.25">
      <c r="A1066" s="307">
        <f>A1064+1</f>
        <v>2</v>
      </c>
      <c r="B1066" s="307">
        <v>7433</v>
      </c>
      <c r="C1066" s="315" t="s">
        <v>271</v>
      </c>
      <c r="D1066" s="318">
        <v>358.9</v>
      </c>
      <c r="E1066" s="330" t="s">
        <v>167</v>
      </c>
      <c r="F1066" s="330">
        <v>2</v>
      </c>
      <c r="G1066" s="310" t="s">
        <v>71</v>
      </c>
      <c r="H1066" s="87" t="s">
        <v>66</v>
      </c>
      <c r="I1066" s="223">
        <f>I1067+I1068+I1069+I1070</f>
        <v>214395.99</v>
      </c>
      <c r="J1066" s="223">
        <f>J1067+J1068+J1069+J1070</f>
        <v>597.37</v>
      </c>
      <c r="K1066" s="223">
        <f>K1067+K1068+K1069+K1070</f>
        <v>1019</v>
      </c>
    </row>
    <row r="1067" spans="1:143" x14ac:dyDescent="0.25">
      <c r="A1067" s="308"/>
      <c r="B1067" s="308"/>
      <c r="C1067" s="317"/>
      <c r="D1067" s="319"/>
      <c r="E1067" s="331"/>
      <c r="F1067" s="331"/>
      <c r="G1067" s="310"/>
      <c r="H1067" s="87" t="s">
        <v>67</v>
      </c>
      <c r="I1067" s="226">
        <v>100552.71</v>
      </c>
      <c r="J1067" s="223">
        <f>I1067/D1066</f>
        <v>280.17</v>
      </c>
      <c r="K1067" s="223">
        <v>513</v>
      </c>
    </row>
    <row r="1068" spans="1:143" x14ac:dyDescent="0.25">
      <c r="A1068" s="308"/>
      <c r="B1068" s="308"/>
      <c r="C1068" s="317"/>
      <c r="D1068" s="319"/>
      <c r="E1068" s="331"/>
      <c r="F1068" s="331"/>
      <c r="G1068" s="310"/>
      <c r="H1068" s="87" t="s">
        <v>69</v>
      </c>
      <c r="I1068" s="226">
        <v>2151.83</v>
      </c>
      <c r="J1068" s="223">
        <f>I1068/D1066</f>
        <v>6</v>
      </c>
      <c r="K1068" s="223">
        <v>11</v>
      </c>
    </row>
    <row r="1069" spans="1:143" x14ac:dyDescent="0.25">
      <c r="A1069" s="308"/>
      <c r="B1069" s="308"/>
      <c r="C1069" s="317"/>
      <c r="D1069" s="319"/>
      <c r="E1069" s="331"/>
      <c r="F1069" s="331"/>
      <c r="G1069" s="310" t="s">
        <v>78</v>
      </c>
      <c r="H1069" s="87" t="s">
        <v>67</v>
      </c>
      <c r="I1069" s="226">
        <v>109351.33</v>
      </c>
      <c r="J1069" s="223">
        <f>I1069/D1066</f>
        <v>304.68</v>
      </c>
      <c r="K1069" s="223">
        <v>485</v>
      </c>
    </row>
    <row r="1070" spans="1:143" x14ac:dyDescent="0.25">
      <c r="A1070" s="309"/>
      <c r="B1070" s="309"/>
      <c r="C1070" s="316"/>
      <c r="D1070" s="329"/>
      <c r="E1070" s="332"/>
      <c r="F1070" s="332"/>
      <c r="G1070" s="310"/>
      <c r="H1070" s="87" t="s">
        <v>69</v>
      </c>
      <c r="I1070" s="226">
        <v>2340.12</v>
      </c>
      <c r="J1070" s="223">
        <f>I1070/D1066</f>
        <v>6.52</v>
      </c>
      <c r="K1070" s="223">
        <v>10</v>
      </c>
    </row>
    <row r="1071" spans="1:143" x14ac:dyDescent="0.25">
      <c r="A1071" s="310">
        <f>A1066+1</f>
        <v>3</v>
      </c>
      <c r="B1071" s="307">
        <v>7436</v>
      </c>
      <c r="C1071" s="333" t="s">
        <v>272</v>
      </c>
      <c r="D1071" s="312">
        <v>360</v>
      </c>
      <c r="E1071" s="313" t="s">
        <v>167</v>
      </c>
      <c r="F1071" s="313">
        <v>2</v>
      </c>
      <c r="G1071" s="310" t="s">
        <v>65</v>
      </c>
      <c r="H1071" s="87" t="s">
        <v>66</v>
      </c>
      <c r="I1071" s="223">
        <f>I1072+I1073</f>
        <v>2445227.92</v>
      </c>
      <c r="J1071" s="223">
        <f>J1072+J1073</f>
        <v>6792.3</v>
      </c>
      <c r="K1071" s="223">
        <f>K1072+K1073</f>
        <v>7688</v>
      </c>
    </row>
    <row r="1072" spans="1:143" x14ac:dyDescent="0.25">
      <c r="A1072" s="310">
        <v>1146</v>
      </c>
      <c r="B1072" s="308"/>
      <c r="C1072" s="333"/>
      <c r="D1072" s="312"/>
      <c r="E1072" s="313"/>
      <c r="F1072" s="313"/>
      <c r="G1072" s="310"/>
      <c r="H1072" s="87" t="s">
        <v>67</v>
      </c>
      <c r="I1072" s="223">
        <v>2393996.4</v>
      </c>
      <c r="J1072" s="223">
        <f>I1072/D1071</f>
        <v>6649.99</v>
      </c>
      <c r="K1072" s="223">
        <v>7527</v>
      </c>
    </row>
    <row r="1073" spans="1:143" x14ac:dyDescent="0.25">
      <c r="A1073" s="310">
        <v>1147</v>
      </c>
      <c r="B1073" s="309"/>
      <c r="C1073" s="333"/>
      <c r="D1073" s="312"/>
      <c r="E1073" s="313"/>
      <c r="F1073" s="313"/>
      <c r="G1073" s="310"/>
      <c r="H1073" s="87" t="s">
        <v>69</v>
      </c>
      <c r="I1073" s="223">
        <v>51231.519999999997</v>
      </c>
      <c r="J1073" s="223">
        <f>I1073/D1071</f>
        <v>142.31</v>
      </c>
      <c r="K1073" s="223">
        <v>161</v>
      </c>
    </row>
    <row r="1074" spans="1:143" x14ac:dyDescent="0.25">
      <c r="A1074" s="310">
        <f>A1071+1</f>
        <v>4</v>
      </c>
      <c r="B1074" s="307">
        <v>7437</v>
      </c>
      <c r="C1074" s="333" t="s">
        <v>273</v>
      </c>
      <c r="D1074" s="312">
        <v>367.7</v>
      </c>
      <c r="E1074" s="313" t="s">
        <v>167</v>
      </c>
      <c r="F1074" s="313">
        <v>2</v>
      </c>
      <c r="G1074" s="310" t="s">
        <v>65</v>
      </c>
      <c r="H1074" s="87" t="s">
        <v>66</v>
      </c>
      <c r="I1074" s="223">
        <f>I1075+I1076</f>
        <v>2455303.73</v>
      </c>
      <c r="J1074" s="223">
        <f>J1075+J1076</f>
        <v>6677.46</v>
      </c>
      <c r="K1074" s="223">
        <f>K1075+K1076</f>
        <v>7688</v>
      </c>
    </row>
    <row r="1075" spans="1:143" x14ac:dyDescent="0.25">
      <c r="A1075" s="310">
        <v>1146</v>
      </c>
      <c r="B1075" s="308"/>
      <c r="C1075" s="333"/>
      <c r="D1075" s="312"/>
      <c r="E1075" s="313"/>
      <c r="F1075" s="313"/>
      <c r="G1075" s="310"/>
      <c r="H1075" s="87" t="s">
        <v>67</v>
      </c>
      <c r="I1075" s="223">
        <v>2403861.1</v>
      </c>
      <c r="J1075" s="223">
        <f>I1075/D1074</f>
        <v>6537.56</v>
      </c>
      <c r="K1075" s="223">
        <v>7527</v>
      </c>
    </row>
    <row r="1076" spans="1:143" x14ac:dyDescent="0.25">
      <c r="A1076" s="310">
        <v>1147</v>
      </c>
      <c r="B1076" s="309"/>
      <c r="C1076" s="333"/>
      <c r="D1076" s="312"/>
      <c r="E1076" s="313"/>
      <c r="F1076" s="313"/>
      <c r="G1076" s="310"/>
      <c r="H1076" s="87" t="s">
        <v>69</v>
      </c>
      <c r="I1076" s="223">
        <v>51442.63</v>
      </c>
      <c r="J1076" s="223">
        <f>I1076/D1074</f>
        <v>139.9</v>
      </c>
      <c r="K1076" s="223">
        <v>161</v>
      </c>
    </row>
    <row r="1077" spans="1:143" x14ac:dyDescent="0.25">
      <c r="A1077" s="310">
        <f>A1074+1</f>
        <v>5</v>
      </c>
      <c r="B1077" s="307">
        <v>7438</v>
      </c>
      <c r="C1077" s="333" t="s">
        <v>274</v>
      </c>
      <c r="D1077" s="312">
        <v>365.2</v>
      </c>
      <c r="E1077" s="313" t="s">
        <v>167</v>
      </c>
      <c r="F1077" s="313">
        <v>2</v>
      </c>
      <c r="G1077" s="310" t="s">
        <v>65</v>
      </c>
      <c r="H1077" s="87" t="s">
        <v>66</v>
      </c>
      <c r="I1077" s="223">
        <f>I1078+I1079</f>
        <v>2399056.77</v>
      </c>
      <c r="J1077" s="223">
        <f>J1078+J1079</f>
        <v>6569.16</v>
      </c>
      <c r="K1077" s="223">
        <f>K1078+K1079</f>
        <v>7688</v>
      </c>
    </row>
    <row r="1078" spans="1:143" x14ac:dyDescent="0.25">
      <c r="A1078" s="310">
        <v>1146</v>
      </c>
      <c r="B1078" s="308"/>
      <c r="C1078" s="333"/>
      <c r="D1078" s="312"/>
      <c r="E1078" s="313"/>
      <c r="F1078" s="313"/>
      <c r="G1078" s="310"/>
      <c r="H1078" s="87" t="s">
        <v>67</v>
      </c>
      <c r="I1078" s="223">
        <v>2348792.61</v>
      </c>
      <c r="J1078" s="223">
        <f>I1078/D1077+0.01</f>
        <v>6431.53</v>
      </c>
      <c r="K1078" s="223">
        <v>7527</v>
      </c>
    </row>
    <row r="1079" spans="1:143" x14ac:dyDescent="0.25">
      <c r="A1079" s="310">
        <v>1147</v>
      </c>
      <c r="B1079" s="309"/>
      <c r="C1079" s="333"/>
      <c r="D1079" s="312"/>
      <c r="E1079" s="313"/>
      <c r="F1079" s="313"/>
      <c r="G1079" s="310"/>
      <c r="H1079" s="87" t="s">
        <v>69</v>
      </c>
      <c r="I1079" s="223">
        <v>50264.160000000003</v>
      </c>
      <c r="J1079" s="223">
        <f>I1079/D1077</f>
        <v>137.63</v>
      </c>
      <c r="K1079" s="223">
        <v>161</v>
      </c>
    </row>
    <row r="1080" spans="1:143" s="71" customFormat="1" x14ac:dyDescent="0.25">
      <c r="A1080" s="81" t="s">
        <v>43</v>
      </c>
      <c r="B1080" s="165"/>
      <c r="C1080" s="124"/>
      <c r="D1080" s="80">
        <f>D1081+D1084+D1087+D1091+D1095+D1099+D1103+D1107+D1110+D1113+D1116+D1120</f>
        <v>17332.03</v>
      </c>
      <c r="E1080" s="80"/>
      <c r="F1080" s="95"/>
      <c r="G1080" s="151"/>
      <c r="H1080" s="92"/>
      <c r="I1080" s="223">
        <f>I1081+I1084+I1087+I1091+I1095+I1099+I1103+I1107+I1110+I1113+I1116+I1120</f>
        <v>24731084.98</v>
      </c>
      <c r="J1080" s="223"/>
      <c r="K1080" s="223"/>
      <c r="L1080" s="72"/>
      <c r="M1080" s="72"/>
      <c r="N1080" s="72"/>
      <c r="O1080" s="72"/>
      <c r="P1080" s="72"/>
      <c r="Q1080" s="72"/>
      <c r="R1080" s="72"/>
      <c r="S1080" s="72"/>
      <c r="T1080" s="72"/>
      <c r="U1080" s="72"/>
      <c r="V1080" s="72"/>
      <c r="W1080" s="72"/>
      <c r="X1080" s="72"/>
      <c r="Y1080" s="72"/>
      <c r="Z1080" s="72"/>
      <c r="AA1080" s="72"/>
      <c r="AB1080" s="72"/>
      <c r="AC1080" s="72"/>
      <c r="AD1080" s="72"/>
      <c r="AE1080" s="72"/>
      <c r="AF1080" s="72"/>
      <c r="AG1080" s="72"/>
      <c r="AH1080" s="72"/>
      <c r="AI1080" s="72"/>
      <c r="AJ1080" s="72"/>
      <c r="AK1080" s="72"/>
      <c r="AL1080" s="72"/>
      <c r="AM1080" s="72"/>
      <c r="AN1080" s="72"/>
      <c r="AO1080" s="72"/>
      <c r="AP1080" s="72"/>
      <c r="AQ1080" s="72"/>
      <c r="AR1080" s="72"/>
      <c r="AS1080" s="72"/>
      <c r="AT1080" s="72"/>
      <c r="AU1080" s="72"/>
      <c r="AV1080" s="72"/>
      <c r="AW1080" s="72"/>
      <c r="AX1080" s="72"/>
      <c r="AY1080" s="72"/>
      <c r="AZ1080" s="72"/>
      <c r="BA1080" s="72"/>
      <c r="BB1080" s="72"/>
      <c r="BC1080" s="72"/>
      <c r="BD1080" s="72"/>
      <c r="BE1080" s="72"/>
      <c r="BF1080" s="72"/>
      <c r="BG1080" s="72"/>
      <c r="BH1080" s="72"/>
      <c r="BI1080" s="72"/>
      <c r="BJ1080" s="72"/>
      <c r="BK1080" s="72"/>
      <c r="BL1080" s="72"/>
      <c r="BM1080" s="72"/>
      <c r="BN1080" s="72"/>
      <c r="BO1080" s="72"/>
      <c r="BP1080" s="72"/>
      <c r="BQ1080" s="72"/>
      <c r="BR1080" s="72"/>
      <c r="BS1080" s="72"/>
      <c r="BT1080" s="72"/>
      <c r="BU1080" s="72"/>
      <c r="BV1080" s="72"/>
      <c r="BW1080" s="72"/>
      <c r="BX1080" s="72"/>
      <c r="BY1080" s="72"/>
      <c r="BZ1080" s="72"/>
      <c r="CA1080" s="72"/>
      <c r="CB1080" s="72"/>
      <c r="CC1080" s="72"/>
      <c r="CD1080" s="72"/>
      <c r="CE1080" s="72"/>
      <c r="CF1080" s="72"/>
      <c r="CG1080" s="72"/>
      <c r="CH1080" s="72"/>
      <c r="CI1080" s="72"/>
      <c r="CJ1080" s="72"/>
      <c r="CK1080" s="72"/>
      <c r="CL1080" s="72"/>
      <c r="CM1080" s="72"/>
      <c r="CN1080" s="72"/>
      <c r="CO1080" s="72"/>
      <c r="CP1080" s="72"/>
      <c r="CQ1080" s="72"/>
      <c r="CR1080" s="72"/>
      <c r="CS1080" s="72"/>
      <c r="CT1080" s="72"/>
      <c r="CU1080" s="72"/>
      <c r="CV1080" s="72"/>
      <c r="CW1080" s="72"/>
      <c r="CX1080" s="72"/>
      <c r="CY1080" s="72"/>
      <c r="CZ1080" s="72"/>
      <c r="DA1080" s="72"/>
      <c r="DB1080" s="72"/>
      <c r="DC1080" s="72"/>
      <c r="DD1080" s="72"/>
      <c r="DE1080" s="72"/>
      <c r="DF1080" s="72"/>
      <c r="DG1080" s="72"/>
      <c r="DH1080" s="72"/>
      <c r="DI1080" s="72"/>
      <c r="DJ1080" s="72"/>
      <c r="DK1080" s="72"/>
      <c r="DL1080" s="72"/>
      <c r="DM1080" s="72"/>
      <c r="DN1080" s="72"/>
      <c r="DO1080" s="72"/>
      <c r="DP1080" s="72"/>
      <c r="DQ1080" s="72"/>
      <c r="DR1080" s="72"/>
      <c r="DS1080" s="72"/>
      <c r="DT1080" s="72"/>
      <c r="DU1080" s="72"/>
      <c r="DV1080" s="72"/>
      <c r="DW1080" s="72"/>
      <c r="DX1080" s="72"/>
      <c r="DY1080" s="72"/>
      <c r="DZ1080" s="72"/>
      <c r="EA1080" s="72"/>
      <c r="EB1080" s="72"/>
      <c r="EC1080" s="72"/>
      <c r="ED1080" s="72"/>
      <c r="EE1080" s="72"/>
      <c r="EF1080" s="72"/>
      <c r="EG1080" s="72"/>
      <c r="EH1080" s="72"/>
      <c r="EI1080" s="72"/>
      <c r="EJ1080" s="72"/>
      <c r="EK1080" s="72"/>
      <c r="EL1080" s="72"/>
      <c r="EM1080" s="72"/>
    </row>
    <row r="1081" spans="1:143" x14ac:dyDescent="0.25">
      <c r="A1081" s="436">
        <v>1</v>
      </c>
      <c r="B1081" s="436">
        <v>6886</v>
      </c>
      <c r="C1081" s="348" t="s">
        <v>303</v>
      </c>
      <c r="D1081" s="318">
        <v>4223.5</v>
      </c>
      <c r="E1081" s="318" t="s">
        <v>68</v>
      </c>
      <c r="F1081" s="330">
        <v>5</v>
      </c>
      <c r="G1081" s="307" t="s">
        <v>65</v>
      </c>
      <c r="H1081" s="96" t="s">
        <v>66</v>
      </c>
      <c r="I1081" s="224">
        <f>I1082+I1083</f>
        <v>9721378.1600000001</v>
      </c>
      <c r="J1081" s="224">
        <f>J1082+J1083</f>
        <v>2301.7399999999998</v>
      </c>
      <c r="K1081" s="223">
        <f>K1082+K1083</f>
        <v>3878</v>
      </c>
    </row>
    <row r="1082" spans="1:143" x14ac:dyDescent="0.25">
      <c r="A1082" s="424"/>
      <c r="B1082" s="424"/>
      <c r="C1082" s="349"/>
      <c r="D1082" s="319"/>
      <c r="E1082" s="319"/>
      <c r="F1082" s="331"/>
      <c r="G1082" s="308"/>
      <c r="H1082" s="87" t="s">
        <v>67</v>
      </c>
      <c r="I1082" s="224">
        <v>9517699.3900000006</v>
      </c>
      <c r="J1082" s="224">
        <f>I1082/D1081</f>
        <v>2253.5100000000002</v>
      </c>
      <c r="K1082" s="223">
        <v>3797</v>
      </c>
    </row>
    <row r="1083" spans="1:143" x14ac:dyDescent="0.25">
      <c r="A1083" s="425"/>
      <c r="B1083" s="425"/>
      <c r="C1083" s="350"/>
      <c r="D1083" s="329"/>
      <c r="E1083" s="329"/>
      <c r="F1083" s="332"/>
      <c r="G1083" s="309"/>
      <c r="H1083" s="87" t="s">
        <v>69</v>
      </c>
      <c r="I1083" s="224">
        <f>I1082*0.0214</f>
        <v>203678.77</v>
      </c>
      <c r="J1083" s="224">
        <f>I1083/D1081</f>
        <v>48.23</v>
      </c>
      <c r="K1083" s="223">
        <v>81</v>
      </c>
    </row>
    <row r="1084" spans="1:143" x14ac:dyDescent="0.25">
      <c r="A1084" s="361">
        <f>A1081+1</f>
        <v>2</v>
      </c>
      <c r="B1084" s="436">
        <v>6887</v>
      </c>
      <c r="C1084" s="348" t="s">
        <v>307</v>
      </c>
      <c r="D1084" s="318">
        <v>1423</v>
      </c>
      <c r="E1084" s="318" t="s">
        <v>68</v>
      </c>
      <c r="F1084" s="330">
        <v>5</v>
      </c>
      <c r="G1084" s="307" t="s">
        <v>65</v>
      </c>
      <c r="H1084" s="96" t="s">
        <v>66</v>
      </c>
      <c r="I1084" s="224">
        <f>I1085+I1086</f>
        <v>4322587.2300000004</v>
      </c>
      <c r="J1084" s="224">
        <f>J1085+J1086</f>
        <v>3037.66</v>
      </c>
      <c r="K1084" s="223">
        <f>K1085+K1086</f>
        <v>3878</v>
      </c>
    </row>
    <row r="1085" spans="1:143" x14ac:dyDescent="0.25">
      <c r="A1085" s="424"/>
      <c r="B1085" s="424"/>
      <c r="C1085" s="349"/>
      <c r="D1085" s="319"/>
      <c r="E1085" s="319"/>
      <c r="F1085" s="331"/>
      <c r="G1085" s="308"/>
      <c r="H1085" s="87" t="s">
        <v>67</v>
      </c>
      <c r="I1085" s="224">
        <v>4232021.96</v>
      </c>
      <c r="J1085" s="224">
        <f>I1085/D1084+0.01</f>
        <v>2974.02</v>
      </c>
      <c r="K1085" s="223">
        <v>3797</v>
      </c>
    </row>
    <row r="1086" spans="1:143" x14ac:dyDescent="0.25">
      <c r="A1086" s="425"/>
      <c r="B1086" s="425"/>
      <c r="C1086" s="350"/>
      <c r="D1086" s="329"/>
      <c r="E1086" s="329"/>
      <c r="F1086" s="332"/>
      <c r="G1086" s="309"/>
      <c r="H1086" s="87" t="s">
        <v>69</v>
      </c>
      <c r="I1086" s="224">
        <v>90565.27</v>
      </c>
      <c r="J1086" s="224">
        <f>I1086/D1084</f>
        <v>63.64</v>
      </c>
      <c r="K1086" s="223">
        <v>81</v>
      </c>
    </row>
    <row r="1087" spans="1:143" x14ac:dyDescent="0.25">
      <c r="A1087" s="346">
        <f>A1084+1</f>
        <v>3</v>
      </c>
      <c r="B1087" s="346">
        <v>6966</v>
      </c>
      <c r="C1087" s="348" t="s">
        <v>308</v>
      </c>
      <c r="D1087" s="312">
        <v>376.1</v>
      </c>
      <c r="E1087" s="312" t="s">
        <v>167</v>
      </c>
      <c r="F1087" s="330">
        <v>2</v>
      </c>
      <c r="G1087" s="161"/>
      <c r="H1087" s="87" t="s">
        <v>66</v>
      </c>
      <c r="I1087" s="223">
        <f>SUM(I1088:I1090)</f>
        <v>78599.899999999994</v>
      </c>
      <c r="J1087" s="223">
        <f>SUM(J1088:J1090)</f>
        <v>208.99</v>
      </c>
      <c r="K1087" s="223">
        <f>SUM(K1088:K1090)</f>
        <v>220</v>
      </c>
    </row>
    <row r="1088" spans="1:143" ht="63" x14ac:dyDescent="0.25">
      <c r="A1088" s="347"/>
      <c r="B1088" s="347"/>
      <c r="C1088" s="349"/>
      <c r="D1088" s="329"/>
      <c r="E1088" s="329"/>
      <c r="F1088" s="331"/>
      <c r="G1088" s="148" t="s">
        <v>70</v>
      </c>
      <c r="H1088" s="87" t="s">
        <v>168</v>
      </c>
      <c r="I1088" s="226">
        <v>51525.7</v>
      </c>
      <c r="J1088" s="223">
        <f>I1088/D1087</f>
        <v>137</v>
      </c>
      <c r="K1088" s="223">
        <f>116+21</f>
        <v>137</v>
      </c>
    </row>
    <row r="1089" spans="1:11" ht="63" x14ac:dyDescent="0.25">
      <c r="A1089" s="347"/>
      <c r="B1089" s="347"/>
      <c r="C1089" s="349"/>
      <c r="D1089" s="329"/>
      <c r="E1089" s="329"/>
      <c r="F1089" s="331"/>
      <c r="G1089" s="148" t="s">
        <v>71</v>
      </c>
      <c r="H1089" s="87" t="s">
        <v>168</v>
      </c>
      <c r="I1089" s="226">
        <v>11654.1</v>
      </c>
      <c r="J1089" s="223">
        <f>I1089/D1087</f>
        <v>30.99</v>
      </c>
      <c r="K1089" s="223">
        <f>21+21</f>
        <v>42</v>
      </c>
    </row>
    <row r="1090" spans="1:11" ht="63" x14ac:dyDescent="0.25">
      <c r="A1090" s="347"/>
      <c r="B1090" s="347"/>
      <c r="C1090" s="349"/>
      <c r="D1090" s="329"/>
      <c r="E1090" s="329"/>
      <c r="F1090" s="331"/>
      <c r="G1090" s="148" t="s">
        <v>72</v>
      </c>
      <c r="H1090" s="87" t="s">
        <v>168</v>
      </c>
      <c r="I1090" s="226">
        <v>15420.1</v>
      </c>
      <c r="J1090" s="223">
        <f>I1090/D1087</f>
        <v>41</v>
      </c>
      <c r="K1090" s="223">
        <f>22+19</f>
        <v>41</v>
      </c>
    </row>
    <row r="1091" spans="1:11" x14ac:dyDescent="0.25">
      <c r="A1091" s="346">
        <f>A1087+1</f>
        <v>4</v>
      </c>
      <c r="B1091" s="346">
        <v>6968</v>
      </c>
      <c r="C1091" s="348" t="s">
        <v>309</v>
      </c>
      <c r="D1091" s="312">
        <v>393.8</v>
      </c>
      <c r="E1091" s="312" t="s">
        <v>167</v>
      </c>
      <c r="F1091" s="330">
        <v>2</v>
      </c>
      <c r="G1091" s="161"/>
      <c r="H1091" s="87" t="s">
        <v>66</v>
      </c>
      <c r="I1091" s="223">
        <f>SUM(I1092:I1094)</f>
        <v>81334.2</v>
      </c>
      <c r="J1091" s="223">
        <f>SUM(J1092:J1094)</f>
        <v>206.54</v>
      </c>
      <c r="K1091" s="223">
        <f>SUM(K1092:K1094)</f>
        <v>220</v>
      </c>
    </row>
    <row r="1092" spans="1:11" ht="63" x14ac:dyDescent="0.25">
      <c r="A1092" s="347"/>
      <c r="B1092" s="347"/>
      <c r="C1092" s="349"/>
      <c r="D1092" s="329"/>
      <c r="E1092" s="329"/>
      <c r="F1092" s="331"/>
      <c r="G1092" s="148" t="s">
        <v>70</v>
      </c>
      <c r="H1092" s="87" t="s">
        <v>168</v>
      </c>
      <c r="I1092" s="226">
        <v>53950.6</v>
      </c>
      <c r="J1092" s="223">
        <f>I1092/D1091</f>
        <v>137</v>
      </c>
      <c r="K1092" s="223">
        <f>116+21</f>
        <v>137</v>
      </c>
    </row>
    <row r="1093" spans="1:11" ht="63" x14ac:dyDescent="0.25">
      <c r="A1093" s="347"/>
      <c r="B1093" s="347"/>
      <c r="C1093" s="349"/>
      <c r="D1093" s="329"/>
      <c r="E1093" s="329"/>
      <c r="F1093" s="331"/>
      <c r="G1093" s="148" t="s">
        <v>71</v>
      </c>
      <c r="H1093" s="87" t="s">
        <v>168</v>
      </c>
      <c r="I1093" s="226">
        <v>12934.9</v>
      </c>
      <c r="J1093" s="223">
        <f>I1093/D1091</f>
        <v>32.85</v>
      </c>
      <c r="K1093" s="223">
        <f>21+21</f>
        <v>42</v>
      </c>
    </row>
    <row r="1094" spans="1:11" ht="63" x14ac:dyDescent="0.25">
      <c r="A1094" s="347"/>
      <c r="B1094" s="347"/>
      <c r="C1094" s="349"/>
      <c r="D1094" s="329"/>
      <c r="E1094" s="329"/>
      <c r="F1094" s="331"/>
      <c r="G1094" s="148" t="s">
        <v>72</v>
      </c>
      <c r="H1094" s="87" t="s">
        <v>168</v>
      </c>
      <c r="I1094" s="226">
        <v>14448.7</v>
      </c>
      <c r="J1094" s="223">
        <f>I1094/D1091</f>
        <v>36.69</v>
      </c>
      <c r="K1094" s="223">
        <f>22+19</f>
        <v>41</v>
      </c>
    </row>
    <row r="1095" spans="1:11" x14ac:dyDescent="0.25">
      <c r="A1095" s="346">
        <f>A1091+1</f>
        <v>5</v>
      </c>
      <c r="B1095" s="346">
        <v>6979</v>
      </c>
      <c r="C1095" s="348" t="s">
        <v>312</v>
      </c>
      <c r="D1095" s="312">
        <v>340.5</v>
      </c>
      <c r="E1095" s="312" t="s">
        <v>167</v>
      </c>
      <c r="F1095" s="330">
        <v>2</v>
      </c>
      <c r="G1095" s="161"/>
      <c r="H1095" s="87" t="s">
        <v>66</v>
      </c>
      <c r="I1095" s="223">
        <f>SUM(I1096:I1098)</f>
        <v>72939.5</v>
      </c>
      <c r="J1095" s="223">
        <f>SUM(J1096:J1098)</f>
        <v>214.21</v>
      </c>
      <c r="K1095" s="223">
        <f>SUM(K1096:K1098)</f>
        <v>220</v>
      </c>
    </row>
    <row r="1096" spans="1:11" ht="63" x14ac:dyDescent="0.25">
      <c r="A1096" s="347"/>
      <c r="B1096" s="347"/>
      <c r="C1096" s="349"/>
      <c r="D1096" s="329"/>
      <c r="E1096" s="329"/>
      <c r="F1096" s="331"/>
      <c r="G1096" s="148" t="s">
        <v>70</v>
      </c>
      <c r="H1096" s="87" t="s">
        <v>168</v>
      </c>
      <c r="I1096" s="226">
        <v>46648.5</v>
      </c>
      <c r="J1096" s="223">
        <f>I1096/D1095</f>
        <v>137</v>
      </c>
      <c r="K1096" s="223">
        <f>116+21</f>
        <v>137</v>
      </c>
    </row>
    <row r="1097" spans="1:11" ht="63" x14ac:dyDescent="0.25">
      <c r="A1097" s="347"/>
      <c r="B1097" s="347"/>
      <c r="C1097" s="349"/>
      <c r="D1097" s="329"/>
      <c r="E1097" s="329"/>
      <c r="F1097" s="331"/>
      <c r="G1097" s="148" t="s">
        <v>71</v>
      </c>
      <c r="H1097" s="87" t="s">
        <v>168</v>
      </c>
      <c r="I1097" s="226">
        <v>12330.5</v>
      </c>
      <c r="J1097" s="223">
        <f>I1097/D1095</f>
        <v>36.21</v>
      </c>
      <c r="K1097" s="223">
        <f>21+21</f>
        <v>42</v>
      </c>
    </row>
    <row r="1098" spans="1:11" ht="63" x14ac:dyDescent="0.25">
      <c r="A1098" s="347"/>
      <c r="B1098" s="347"/>
      <c r="C1098" s="349"/>
      <c r="D1098" s="329"/>
      <c r="E1098" s="329"/>
      <c r="F1098" s="331"/>
      <c r="G1098" s="148" t="s">
        <v>72</v>
      </c>
      <c r="H1098" s="87" t="s">
        <v>168</v>
      </c>
      <c r="I1098" s="226">
        <v>13960.5</v>
      </c>
      <c r="J1098" s="223">
        <f>I1098/D1095</f>
        <v>41</v>
      </c>
      <c r="K1098" s="223">
        <f>22+19</f>
        <v>41</v>
      </c>
    </row>
    <row r="1099" spans="1:11" x14ac:dyDescent="0.25">
      <c r="A1099" s="361">
        <f>A1095+1</f>
        <v>6</v>
      </c>
      <c r="B1099" s="361">
        <v>6986</v>
      </c>
      <c r="C1099" s="348" t="s">
        <v>317</v>
      </c>
      <c r="D1099" s="318">
        <v>399.28</v>
      </c>
      <c r="E1099" s="318" t="s">
        <v>167</v>
      </c>
      <c r="F1099" s="330">
        <v>2</v>
      </c>
      <c r="G1099" s="161"/>
      <c r="H1099" s="87" t="s">
        <v>66</v>
      </c>
      <c r="I1099" s="223">
        <f>SUM(I1100:I1102)</f>
        <v>82045.52</v>
      </c>
      <c r="J1099" s="223">
        <f>SUM(J1100:J1102)</f>
        <v>205.48</v>
      </c>
      <c r="K1099" s="223">
        <f>SUM(K1100:K1102)</f>
        <v>220</v>
      </c>
    </row>
    <row r="1100" spans="1:11" ht="63" x14ac:dyDescent="0.25">
      <c r="A1100" s="362"/>
      <c r="B1100" s="362"/>
      <c r="C1100" s="349"/>
      <c r="D1100" s="319"/>
      <c r="E1100" s="319"/>
      <c r="F1100" s="331"/>
      <c r="G1100" s="148" t="s">
        <v>70</v>
      </c>
      <c r="H1100" s="87" t="s">
        <v>168</v>
      </c>
      <c r="I1100" s="226">
        <v>54701.36</v>
      </c>
      <c r="J1100" s="223">
        <f>I1100/D1099</f>
        <v>137</v>
      </c>
      <c r="K1100" s="223">
        <f>116+21</f>
        <v>137</v>
      </c>
    </row>
    <row r="1101" spans="1:11" ht="63" x14ac:dyDescent="0.25">
      <c r="A1101" s="362"/>
      <c r="B1101" s="362"/>
      <c r="C1101" s="349"/>
      <c r="D1101" s="319"/>
      <c r="E1101" s="319"/>
      <c r="F1101" s="331"/>
      <c r="G1101" s="148" t="s">
        <v>71</v>
      </c>
      <c r="H1101" s="87" t="s">
        <v>168</v>
      </c>
      <c r="I1101" s="226">
        <v>12912.44</v>
      </c>
      <c r="J1101" s="223">
        <f>I1101/D1099</f>
        <v>32.340000000000003</v>
      </c>
      <c r="K1101" s="223">
        <f>21+21</f>
        <v>42</v>
      </c>
    </row>
    <row r="1102" spans="1:11" ht="62.25" customHeight="1" x14ac:dyDescent="0.25">
      <c r="A1102" s="347"/>
      <c r="B1102" s="347"/>
      <c r="C1102" s="350"/>
      <c r="D1102" s="329"/>
      <c r="E1102" s="329"/>
      <c r="F1102" s="332"/>
      <c r="G1102" s="148" t="s">
        <v>72</v>
      </c>
      <c r="H1102" s="87" t="s">
        <v>168</v>
      </c>
      <c r="I1102" s="226">
        <v>14431.72</v>
      </c>
      <c r="J1102" s="223">
        <f>I1102/D1099</f>
        <v>36.14</v>
      </c>
      <c r="K1102" s="223">
        <f>22+19</f>
        <v>41</v>
      </c>
    </row>
    <row r="1103" spans="1:11" x14ac:dyDescent="0.25">
      <c r="A1103" s="346">
        <f>A1099+1</f>
        <v>7</v>
      </c>
      <c r="B1103" s="346">
        <v>6988</v>
      </c>
      <c r="C1103" s="348" t="s">
        <v>318</v>
      </c>
      <c r="D1103" s="312">
        <v>637.92999999999995</v>
      </c>
      <c r="E1103" s="312" t="s">
        <v>68</v>
      </c>
      <c r="F1103" s="330">
        <v>2</v>
      </c>
      <c r="G1103" s="161"/>
      <c r="H1103" s="87" t="s">
        <v>66</v>
      </c>
      <c r="I1103" s="223">
        <f>SUM(I1104:I1106)</f>
        <v>125270.86</v>
      </c>
      <c r="J1103" s="223">
        <f>SUM(J1104:J1106)</f>
        <v>196.37</v>
      </c>
      <c r="K1103" s="223">
        <f>SUM(K1104:K1106)</f>
        <v>220</v>
      </c>
    </row>
    <row r="1104" spans="1:11" ht="63" x14ac:dyDescent="0.25">
      <c r="A1104" s="347"/>
      <c r="B1104" s="347"/>
      <c r="C1104" s="349"/>
      <c r="D1104" s="329"/>
      <c r="E1104" s="329"/>
      <c r="F1104" s="331"/>
      <c r="G1104" s="148" t="s">
        <v>70</v>
      </c>
      <c r="H1104" s="87" t="s">
        <v>168</v>
      </c>
      <c r="I1104" s="226">
        <v>82132.87</v>
      </c>
      <c r="J1104" s="223">
        <f>I1104/D1103</f>
        <v>128.75</v>
      </c>
      <c r="K1104" s="223">
        <f>116+21</f>
        <v>137</v>
      </c>
    </row>
    <row r="1105" spans="1:11" ht="63" x14ac:dyDescent="0.25">
      <c r="A1105" s="347"/>
      <c r="B1105" s="347"/>
      <c r="C1105" s="349"/>
      <c r="D1105" s="329"/>
      <c r="E1105" s="329"/>
      <c r="F1105" s="331"/>
      <c r="G1105" s="148" t="s">
        <v>71</v>
      </c>
      <c r="H1105" s="87" t="s">
        <v>168</v>
      </c>
      <c r="I1105" s="226">
        <v>20329.53</v>
      </c>
      <c r="J1105" s="223">
        <f>I1105/D1103</f>
        <v>31.87</v>
      </c>
      <c r="K1105" s="223">
        <f>21+21</f>
        <v>42</v>
      </c>
    </row>
    <row r="1106" spans="1:11" ht="63" x14ac:dyDescent="0.25">
      <c r="A1106" s="347"/>
      <c r="B1106" s="347"/>
      <c r="C1106" s="350"/>
      <c r="D1106" s="329"/>
      <c r="E1106" s="329"/>
      <c r="F1106" s="332"/>
      <c r="G1106" s="148" t="s">
        <v>72</v>
      </c>
      <c r="H1106" s="87" t="s">
        <v>168</v>
      </c>
      <c r="I1106" s="226">
        <v>22808.46</v>
      </c>
      <c r="J1106" s="223">
        <f>I1106/D1103</f>
        <v>35.75</v>
      </c>
      <c r="K1106" s="223">
        <f>22+19</f>
        <v>41</v>
      </c>
    </row>
    <row r="1107" spans="1:11" x14ac:dyDescent="0.25">
      <c r="A1107" s="361">
        <f>A1103+1</f>
        <v>8</v>
      </c>
      <c r="B1107" s="436">
        <v>6932</v>
      </c>
      <c r="C1107" s="348" t="s">
        <v>161</v>
      </c>
      <c r="D1107" s="318">
        <v>3583.3</v>
      </c>
      <c r="E1107" s="318" t="s">
        <v>64</v>
      </c>
      <c r="F1107" s="330">
        <v>5</v>
      </c>
      <c r="G1107" s="307" t="s">
        <v>65</v>
      </c>
      <c r="H1107" s="96" t="s">
        <v>66</v>
      </c>
      <c r="I1107" s="224">
        <f>I1108+I1109</f>
        <v>9542092.5</v>
      </c>
      <c r="J1107" s="224">
        <f>J1108+J1109</f>
        <v>2662.93</v>
      </c>
      <c r="K1107" s="223">
        <f>K1108+K1109</f>
        <v>3878</v>
      </c>
    </row>
    <row r="1108" spans="1:11" x14ac:dyDescent="0.25">
      <c r="A1108" s="424"/>
      <c r="B1108" s="424"/>
      <c r="C1108" s="349"/>
      <c r="D1108" s="319"/>
      <c r="E1108" s="319"/>
      <c r="F1108" s="331"/>
      <c r="G1108" s="308"/>
      <c r="H1108" s="87" t="s">
        <v>67</v>
      </c>
      <c r="I1108" s="224">
        <v>9342170.0600000005</v>
      </c>
      <c r="J1108" s="224">
        <f>I1108/D1107</f>
        <v>2607.14</v>
      </c>
      <c r="K1108" s="223">
        <v>3797</v>
      </c>
    </row>
    <row r="1109" spans="1:11" x14ac:dyDescent="0.25">
      <c r="A1109" s="425"/>
      <c r="B1109" s="425"/>
      <c r="C1109" s="350"/>
      <c r="D1109" s="329"/>
      <c r="E1109" s="329"/>
      <c r="F1109" s="332"/>
      <c r="G1109" s="309"/>
      <c r="H1109" s="87" t="s">
        <v>69</v>
      </c>
      <c r="I1109" s="224">
        <v>199922.44</v>
      </c>
      <c r="J1109" s="224">
        <f>I1109/D1107</f>
        <v>55.79</v>
      </c>
      <c r="K1109" s="223">
        <v>81</v>
      </c>
    </row>
    <row r="1110" spans="1:11" x14ac:dyDescent="0.25">
      <c r="A1110" s="346">
        <f>A1107+1</f>
        <v>9</v>
      </c>
      <c r="B1110" s="346">
        <v>7076</v>
      </c>
      <c r="C1110" s="348" t="s">
        <v>325</v>
      </c>
      <c r="D1110" s="312">
        <v>339.62</v>
      </c>
      <c r="E1110" s="312" t="s">
        <v>167</v>
      </c>
      <c r="F1110" s="330">
        <v>2</v>
      </c>
      <c r="G1110" s="161"/>
      <c r="H1110" s="87" t="s">
        <v>66</v>
      </c>
      <c r="I1110" s="223">
        <f>SUM(I1111:I1112)</f>
        <v>56527.94</v>
      </c>
      <c r="J1110" s="223">
        <f>SUM(J1111:J1112)</f>
        <v>166.44</v>
      </c>
      <c r="K1110" s="223">
        <f>SUM(K1111:K1112)</f>
        <v>179</v>
      </c>
    </row>
    <row r="1111" spans="1:11" ht="63" x14ac:dyDescent="0.25">
      <c r="A1111" s="347"/>
      <c r="B1111" s="347"/>
      <c r="C1111" s="349"/>
      <c r="D1111" s="329"/>
      <c r="E1111" s="329"/>
      <c r="F1111" s="331"/>
      <c r="G1111" s="148" t="s">
        <v>70</v>
      </c>
      <c r="H1111" s="87" t="s">
        <v>168</v>
      </c>
      <c r="I1111" s="223">
        <v>44395.92</v>
      </c>
      <c r="J1111" s="223">
        <f>I1111/D1110</f>
        <v>130.72</v>
      </c>
      <c r="K1111" s="223">
        <f>116+21</f>
        <v>137</v>
      </c>
    </row>
    <row r="1112" spans="1:11" ht="63" x14ac:dyDescent="0.25">
      <c r="A1112" s="347"/>
      <c r="B1112" s="347"/>
      <c r="C1112" s="349"/>
      <c r="D1112" s="329"/>
      <c r="E1112" s="329"/>
      <c r="F1112" s="331"/>
      <c r="G1112" s="148" t="s">
        <v>71</v>
      </c>
      <c r="H1112" s="87" t="s">
        <v>168</v>
      </c>
      <c r="I1112" s="223">
        <v>12132.02</v>
      </c>
      <c r="J1112" s="223">
        <f>I1112/D1110</f>
        <v>35.72</v>
      </c>
      <c r="K1112" s="223">
        <f>21+21</f>
        <v>42</v>
      </c>
    </row>
    <row r="1113" spans="1:11" x14ac:dyDescent="0.25">
      <c r="A1113" s="346">
        <f>A1110+1</f>
        <v>10</v>
      </c>
      <c r="B1113" s="346">
        <v>7084</v>
      </c>
      <c r="C1113" s="348" t="s">
        <v>326</v>
      </c>
      <c r="D1113" s="312">
        <v>460</v>
      </c>
      <c r="E1113" s="312" t="s">
        <v>167</v>
      </c>
      <c r="F1113" s="330">
        <v>2</v>
      </c>
      <c r="G1113" s="161"/>
      <c r="H1113" s="87" t="s">
        <v>66</v>
      </c>
      <c r="I1113" s="223">
        <f>SUM(I1114:I1115)</f>
        <v>73020</v>
      </c>
      <c r="J1113" s="223">
        <f>SUM(J1114:J1115)</f>
        <v>158.74</v>
      </c>
      <c r="K1113" s="223">
        <f>SUM(K1114:K1115)</f>
        <v>179</v>
      </c>
    </row>
    <row r="1114" spans="1:11" ht="63" x14ac:dyDescent="0.25">
      <c r="A1114" s="347"/>
      <c r="B1114" s="347"/>
      <c r="C1114" s="349"/>
      <c r="D1114" s="329"/>
      <c r="E1114" s="329"/>
      <c r="F1114" s="331"/>
      <c r="G1114" s="148" t="s">
        <v>70</v>
      </c>
      <c r="H1114" s="87" t="s">
        <v>168</v>
      </c>
      <c r="I1114" s="223">
        <v>58360</v>
      </c>
      <c r="J1114" s="223">
        <f>I1114/D1113</f>
        <v>126.87</v>
      </c>
      <c r="K1114" s="223">
        <f>116+21</f>
        <v>137</v>
      </c>
    </row>
    <row r="1115" spans="1:11" ht="63" x14ac:dyDescent="0.25">
      <c r="A1115" s="347"/>
      <c r="B1115" s="347"/>
      <c r="C1115" s="349"/>
      <c r="D1115" s="329"/>
      <c r="E1115" s="329"/>
      <c r="F1115" s="331"/>
      <c r="G1115" s="148" t="s">
        <v>71</v>
      </c>
      <c r="H1115" s="87" t="s">
        <v>168</v>
      </c>
      <c r="I1115" s="223">
        <v>14660</v>
      </c>
      <c r="J1115" s="223">
        <f>I1115/D1113</f>
        <v>31.87</v>
      </c>
      <c r="K1115" s="223">
        <f>21+21</f>
        <v>42</v>
      </c>
    </row>
    <row r="1116" spans="1:11" x14ac:dyDescent="0.25">
      <c r="A1116" s="346">
        <f>A1113+1</f>
        <v>11</v>
      </c>
      <c r="B1116" s="346">
        <v>6926</v>
      </c>
      <c r="C1116" s="348" t="s">
        <v>327</v>
      </c>
      <c r="D1116" s="312">
        <v>2499.1999999999998</v>
      </c>
      <c r="E1116" s="312" t="s">
        <v>68</v>
      </c>
      <c r="F1116" s="330">
        <v>4</v>
      </c>
      <c r="G1116" s="161"/>
      <c r="H1116" s="87" t="s">
        <v>66</v>
      </c>
      <c r="I1116" s="223">
        <f>SUM(I1117:I1119)</f>
        <v>257393.82</v>
      </c>
      <c r="J1116" s="223">
        <f>SUM(J1117:J1119)</f>
        <v>102.99</v>
      </c>
      <c r="K1116" s="223">
        <f>SUM(K1117:K1119)</f>
        <v>195</v>
      </c>
    </row>
    <row r="1117" spans="1:11" ht="63" x14ac:dyDescent="0.25">
      <c r="A1117" s="347"/>
      <c r="B1117" s="347"/>
      <c r="C1117" s="349"/>
      <c r="D1117" s="329"/>
      <c r="E1117" s="329"/>
      <c r="F1117" s="331"/>
      <c r="G1117" s="148" t="s">
        <v>70</v>
      </c>
      <c r="H1117" s="96" t="s">
        <v>168</v>
      </c>
      <c r="I1117" s="266">
        <v>136648.22</v>
      </c>
      <c r="J1117" s="223">
        <f>I1117/D1116</f>
        <v>54.68</v>
      </c>
      <c r="K1117" s="223">
        <f>116+21</f>
        <v>137</v>
      </c>
    </row>
    <row r="1118" spans="1:11" ht="63" x14ac:dyDescent="0.25">
      <c r="A1118" s="347"/>
      <c r="B1118" s="347"/>
      <c r="C1118" s="349"/>
      <c r="D1118" s="329"/>
      <c r="E1118" s="329"/>
      <c r="F1118" s="331"/>
      <c r="G1118" s="148" t="s">
        <v>71</v>
      </c>
      <c r="H1118" s="96" t="s">
        <v>168</v>
      </c>
      <c r="I1118" s="226">
        <v>59683.199999999997</v>
      </c>
      <c r="J1118" s="223">
        <f>I1118/D1116</f>
        <v>23.88</v>
      </c>
      <c r="K1118" s="223">
        <f>21+8</f>
        <v>29</v>
      </c>
    </row>
    <row r="1119" spans="1:11" ht="63" x14ac:dyDescent="0.25">
      <c r="A1119" s="347"/>
      <c r="B1119" s="347"/>
      <c r="C1119" s="349"/>
      <c r="D1119" s="329"/>
      <c r="E1119" s="329"/>
      <c r="F1119" s="331"/>
      <c r="G1119" s="148" t="s">
        <v>72</v>
      </c>
      <c r="H1119" s="96" t="s">
        <v>168</v>
      </c>
      <c r="I1119" s="226">
        <v>61062.400000000001</v>
      </c>
      <c r="J1119" s="223">
        <f>I1119/D1116</f>
        <v>24.43</v>
      </c>
      <c r="K1119" s="223">
        <f>22+7</f>
        <v>29</v>
      </c>
    </row>
    <row r="1120" spans="1:11" x14ac:dyDescent="0.25">
      <c r="A1120" s="346">
        <f>A1116+1</f>
        <v>12</v>
      </c>
      <c r="B1120" s="346">
        <v>6927</v>
      </c>
      <c r="C1120" s="348" t="s">
        <v>328</v>
      </c>
      <c r="D1120" s="312">
        <v>2655.8</v>
      </c>
      <c r="E1120" s="312" t="s">
        <v>68</v>
      </c>
      <c r="F1120" s="330">
        <v>4</v>
      </c>
      <c r="G1120" s="161"/>
      <c r="H1120" s="87" t="s">
        <v>66</v>
      </c>
      <c r="I1120" s="223">
        <f>SUM(I1121:I1123)</f>
        <v>317895.34999999998</v>
      </c>
      <c r="J1120" s="223">
        <f>SUM(J1121:J1123)</f>
        <v>119.7</v>
      </c>
      <c r="K1120" s="223">
        <f>SUM(K1121:K1123)</f>
        <v>195</v>
      </c>
    </row>
    <row r="1121" spans="1:144" ht="63" x14ac:dyDescent="0.25">
      <c r="A1121" s="347"/>
      <c r="B1121" s="347"/>
      <c r="C1121" s="349"/>
      <c r="D1121" s="329"/>
      <c r="E1121" s="329"/>
      <c r="F1121" s="331"/>
      <c r="G1121" s="148" t="s">
        <v>70</v>
      </c>
      <c r="H1121" s="96" t="s">
        <v>168</v>
      </c>
      <c r="I1121" s="226">
        <v>187495.95</v>
      </c>
      <c r="J1121" s="223">
        <f>I1121/D1120</f>
        <v>70.599999999999994</v>
      </c>
      <c r="K1121" s="223">
        <f>116+21</f>
        <v>137</v>
      </c>
    </row>
    <row r="1122" spans="1:144" ht="63" x14ac:dyDescent="0.25">
      <c r="A1122" s="347"/>
      <c r="B1122" s="347"/>
      <c r="C1122" s="349"/>
      <c r="D1122" s="329"/>
      <c r="E1122" s="329"/>
      <c r="F1122" s="331"/>
      <c r="G1122" s="148" t="s">
        <v>71</v>
      </c>
      <c r="H1122" s="96" t="s">
        <v>168</v>
      </c>
      <c r="I1122" s="226">
        <v>64791.8</v>
      </c>
      <c r="J1122" s="223">
        <f>I1122/D1120</f>
        <v>24.4</v>
      </c>
      <c r="K1122" s="223">
        <f>21+8</f>
        <v>29</v>
      </c>
    </row>
    <row r="1123" spans="1:144" ht="63" x14ac:dyDescent="0.25">
      <c r="A1123" s="347"/>
      <c r="B1123" s="347"/>
      <c r="C1123" s="349"/>
      <c r="D1123" s="329"/>
      <c r="E1123" s="329"/>
      <c r="F1123" s="331"/>
      <c r="G1123" s="148" t="s">
        <v>72</v>
      </c>
      <c r="H1123" s="96" t="s">
        <v>168</v>
      </c>
      <c r="I1123" s="226">
        <v>65607.600000000006</v>
      </c>
      <c r="J1123" s="223">
        <f>I1123/D1120</f>
        <v>24.7</v>
      </c>
      <c r="K1123" s="223">
        <f>22+7</f>
        <v>29</v>
      </c>
    </row>
    <row r="1124" spans="1:144" s="71" customFormat="1" x14ac:dyDescent="0.25">
      <c r="A1124" s="81" t="s">
        <v>45</v>
      </c>
      <c r="B1124" s="216"/>
      <c r="C1124" s="81"/>
      <c r="D1124" s="151">
        <f>D1125+D1128+D1131+D1134</f>
        <v>2966.5</v>
      </c>
      <c r="E1124" s="150"/>
      <c r="F1124" s="150"/>
      <c r="G1124" s="151"/>
      <c r="H1124" s="92"/>
      <c r="I1124" s="223">
        <f>I1125+I1128+I1131+I1134</f>
        <v>10698159.960000001</v>
      </c>
      <c r="J1124" s="223"/>
      <c r="K1124" s="223"/>
      <c r="L1124" s="72"/>
      <c r="M1124" s="72"/>
      <c r="N1124" s="72"/>
      <c r="O1124" s="72"/>
      <c r="P1124" s="72"/>
      <c r="Q1124" s="72"/>
      <c r="R1124" s="72"/>
      <c r="S1124" s="72"/>
      <c r="T1124" s="72"/>
      <c r="U1124" s="72"/>
      <c r="V1124" s="72"/>
      <c r="W1124" s="72"/>
      <c r="X1124" s="72"/>
      <c r="Y1124" s="72"/>
      <c r="Z1124" s="72"/>
      <c r="AA1124" s="72"/>
      <c r="AB1124" s="72"/>
      <c r="AC1124" s="72"/>
      <c r="AD1124" s="72"/>
      <c r="AE1124" s="72"/>
      <c r="AF1124" s="72"/>
      <c r="AG1124" s="72"/>
      <c r="AH1124" s="72"/>
      <c r="AI1124" s="72"/>
      <c r="AJ1124" s="72"/>
      <c r="AK1124" s="72"/>
      <c r="AL1124" s="72"/>
      <c r="AM1124" s="72"/>
      <c r="AN1124" s="72"/>
      <c r="AO1124" s="72"/>
      <c r="AP1124" s="72"/>
      <c r="AQ1124" s="72"/>
      <c r="AR1124" s="72"/>
      <c r="AS1124" s="72"/>
      <c r="AT1124" s="72"/>
      <c r="AU1124" s="72"/>
      <c r="AV1124" s="72"/>
      <c r="AW1124" s="72"/>
      <c r="AX1124" s="72"/>
      <c r="AY1124" s="72"/>
      <c r="AZ1124" s="72"/>
      <c r="BA1124" s="72"/>
      <c r="BB1124" s="72"/>
      <c r="BC1124" s="72"/>
      <c r="BD1124" s="72"/>
      <c r="BE1124" s="72"/>
      <c r="BF1124" s="72"/>
      <c r="BG1124" s="72"/>
      <c r="BH1124" s="72"/>
      <c r="BI1124" s="72"/>
      <c r="BJ1124" s="72"/>
      <c r="BK1124" s="72"/>
      <c r="BL1124" s="72"/>
      <c r="BM1124" s="72"/>
      <c r="BN1124" s="72"/>
      <c r="BO1124" s="72"/>
      <c r="BP1124" s="72"/>
      <c r="BQ1124" s="72"/>
      <c r="BR1124" s="72"/>
      <c r="BS1124" s="72"/>
      <c r="BT1124" s="72"/>
      <c r="BU1124" s="72"/>
      <c r="BV1124" s="72"/>
      <c r="BW1124" s="72"/>
      <c r="BX1124" s="72"/>
      <c r="BY1124" s="72"/>
      <c r="BZ1124" s="72"/>
      <c r="CA1124" s="72"/>
      <c r="CB1124" s="72"/>
      <c r="CC1124" s="72"/>
      <c r="CD1124" s="72"/>
      <c r="CE1124" s="72"/>
      <c r="CF1124" s="72"/>
      <c r="CG1124" s="72"/>
      <c r="CH1124" s="72"/>
      <c r="CI1124" s="72"/>
      <c r="CJ1124" s="72"/>
      <c r="CK1124" s="72"/>
      <c r="CL1124" s="72"/>
      <c r="CM1124" s="72"/>
      <c r="CN1124" s="72"/>
      <c r="CO1124" s="72"/>
      <c r="CP1124" s="72"/>
      <c r="CQ1124" s="72"/>
      <c r="CR1124" s="72"/>
      <c r="CS1124" s="72"/>
      <c r="CT1124" s="72"/>
      <c r="CU1124" s="72"/>
      <c r="CV1124" s="72"/>
      <c r="CW1124" s="72"/>
      <c r="CX1124" s="72"/>
      <c r="CY1124" s="72"/>
      <c r="CZ1124" s="72"/>
      <c r="DA1124" s="72"/>
      <c r="DB1124" s="72"/>
      <c r="DC1124" s="72"/>
      <c r="DD1124" s="72"/>
      <c r="DE1124" s="72"/>
      <c r="DF1124" s="72"/>
      <c r="DG1124" s="72"/>
      <c r="DH1124" s="72"/>
      <c r="DI1124" s="72"/>
      <c r="DJ1124" s="72"/>
      <c r="DK1124" s="72"/>
      <c r="DL1124" s="72"/>
      <c r="DM1124" s="72"/>
      <c r="DN1124" s="72"/>
      <c r="DO1124" s="72"/>
      <c r="DP1124" s="72"/>
      <c r="DQ1124" s="72"/>
      <c r="DR1124" s="72"/>
      <c r="DS1124" s="72"/>
      <c r="DT1124" s="72"/>
      <c r="DU1124" s="72"/>
      <c r="DV1124" s="72"/>
      <c r="DW1124" s="72"/>
      <c r="DX1124" s="72"/>
      <c r="DY1124" s="72"/>
      <c r="DZ1124" s="72"/>
      <c r="EA1124" s="72"/>
      <c r="EB1124" s="72"/>
      <c r="EC1124" s="72"/>
      <c r="ED1124" s="72"/>
      <c r="EE1124" s="72"/>
      <c r="EF1124" s="72"/>
      <c r="EG1124" s="72"/>
      <c r="EH1124" s="72"/>
      <c r="EI1124" s="72"/>
      <c r="EJ1124" s="72"/>
      <c r="EK1124" s="72"/>
      <c r="EL1124" s="72"/>
      <c r="EM1124" s="72"/>
    </row>
    <row r="1125" spans="1:144" x14ac:dyDescent="0.25">
      <c r="A1125" s="345">
        <f>1</f>
        <v>1</v>
      </c>
      <c r="B1125" s="345">
        <v>7247</v>
      </c>
      <c r="C1125" s="333" t="s">
        <v>245</v>
      </c>
      <c r="D1125" s="312">
        <v>1275.3</v>
      </c>
      <c r="E1125" s="312" t="s">
        <v>68</v>
      </c>
      <c r="F1125" s="313">
        <v>4</v>
      </c>
      <c r="G1125" s="307" t="s">
        <v>65</v>
      </c>
      <c r="H1125" s="87" t="s">
        <v>66</v>
      </c>
      <c r="I1125" s="223">
        <f>I1126+I1127</f>
        <v>4358223.92</v>
      </c>
      <c r="J1125" s="223">
        <f>J1126+J1127</f>
        <v>3417.41</v>
      </c>
      <c r="K1125" s="223">
        <f>K1126+K1127</f>
        <v>5144</v>
      </c>
    </row>
    <row r="1126" spans="1:144" x14ac:dyDescent="0.25">
      <c r="A1126" s="345"/>
      <c r="B1126" s="345"/>
      <c r="C1126" s="333"/>
      <c r="D1126" s="312"/>
      <c r="E1126" s="312"/>
      <c r="F1126" s="313"/>
      <c r="G1126" s="308"/>
      <c r="H1126" s="87" t="s">
        <v>67</v>
      </c>
      <c r="I1126" s="223">
        <v>4266912</v>
      </c>
      <c r="J1126" s="223">
        <f>I1126/D1125</f>
        <v>3345.81</v>
      </c>
      <c r="K1126" s="223">
        <v>5036</v>
      </c>
    </row>
    <row r="1127" spans="1:144" x14ac:dyDescent="0.25">
      <c r="A1127" s="345"/>
      <c r="B1127" s="345"/>
      <c r="C1127" s="333"/>
      <c r="D1127" s="312"/>
      <c r="E1127" s="312"/>
      <c r="F1127" s="313"/>
      <c r="G1127" s="309"/>
      <c r="H1127" s="87" t="s">
        <v>69</v>
      </c>
      <c r="I1127" s="223">
        <v>91311.92</v>
      </c>
      <c r="J1127" s="223">
        <f>I1127/D1125</f>
        <v>71.599999999999994</v>
      </c>
      <c r="K1127" s="223">
        <v>108</v>
      </c>
    </row>
    <row r="1128" spans="1:144" ht="15.75" customHeight="1" x14ac:dyDescent="0.25">
      <c r="A1128" s="307">
        <f>A1125+1</f>
        <v>2</v>
      </c>
      <c r="B1128" s="307">
        <v>7240</v>
      </c>
      <c r="C1128" s="315" t="s">
        <v>259</v>
      </c>
      <c r="D1128" s="318">
        <v>412.9</v>
      </c>
      <c r="E1128" s="318" t="s">
        <v>68</v>
      </c>
      <c r="F1128" s="330">
        <v>2</v>
      </c>
      <c r="G1128" s="307" t="s">
        <v>65</v>
      </c>
      <c r="H1128" s="87" t="s">
        <v>66</v>
      </c>
      <c r="I1128" s="223">
        <f>I1129+I1130</f>
        <v>3135383.76</v>
      </c>
      <c r="J1128" s="223">
        <f>J1129+J1130</f>
        <v>7593.57</v>
      </c>
      <c r="K1128" s="223">
        <f>K1129+K1130</f>
        <v>7688</v>
      </c>
      <c r="L1128" s="71"/>
      <c r="M1128" s="71"/>
      <c r="N1128" s="71"/>
      <c r="O1128" s="71"/>
      <c r="P1128" s="71"/>
      <c r="Q1128" s="71"/>
      <c r="R1128" s="71"/>
      <c r="S1128" s="71"/>
      <c r="T1128" s="71"/>
      <c r="U1128" s="71"/>
      <c r="V1128" s="71"/>
      <c r="W1128" s="71"/>
      <c r="X1128" s="71"/>
      <c r="Y1128" s="71"/>
      <c r="Z1128" s="71"/>
      <c r="AA1128" s="71"/>
      <c r="AB1128" s="71"/>
      <c r="AC1128" s="71"/>
      <c r="AD1128" s="71"/>
      <c r="AE1128" s="71"/>
      <c r="AF1128" s="71"/>
      <c r="AG1128" s="71"/>
      <c r="AH1128" s="71"/>
      <c r="AI1128" s="71"/>
      <c r="AJ1128" s="71"/>
      <c r="AK1128" s="71"/>
      <c r="AL1128" s="71"/>
      <c r="AM1128" s="71"/>
      <c r="AN1128" s="71"/>
      <c r="AO1128" s="71"/>
      <c r="AP1128" s="71"/>
      <c r="AQ1128" s="71"/>
      <c r="AR1128" s="71"/>
      <c r="AS1128" s="71"/>
      <c r="AT1128" s="71"/>
      <c r="AU1128" s="71"/>
      <c r="AV1128" s="71"/>
      <c r="AW1128" s="71"/>
      <c r="AX1128" s="71"/>
      <c r="AY1128" s="71"/>
      <c r="AZ1128" s="71"/>
      <c r="BA1128" s="71"/>
      <c r="BB1128" s="71"/>
      <c r="BC1128" s="71"/>
      <c r="BD1128" s="71"/>
      <c r="BE1128" s="71"/>
      <c r="BF1128" s="71"/>
      <c r="BG1128" s="71"/>
      <c r="BH1128" s="71"/>
      <c r="BI1128" s="71"/>
      <c r="BJ1128" s="71"/>
      <c r="BK1128" s="71"/>
      <c r="BL1128" s="71"/>
      <c r="BM1128" s="71"/>
      <c r="BN1128" s="71"/>
      <c r="BO1128" s="71"/>
      <c r="BP1128" s="71"/>
      <c r="BQ1128" s="71"/>
      <c r="BR1128" s="71"/>
      <c r="BS1128" s="71"/>
      <c r="BT1128" s="71"/>
      <c r="BU1128" s="71"/>
      <c r="BV1128" s="71"/>
      <c r="BW1128" s="71"/>
      <c r="BX1128" s="71"/>
      <c r="BY1128" s="71"/>
      <c r="BZ1128" s="71"/>
      <c r="CA1128" s="71"/>
      <c r="CB1128" s="71"/>
      <c r="CC1128" s="71"/>
      <c r="CD1128" s="71"/>
      <c r="CE1128" s="71"/>
      <c r="CF1128" s="71"/>
      <c r="CG1128" s="71"/>
      <c r="CH1128" s="71"/>
      <c r="CI1128" s="71"/>
      <c r="CJ1128" s="71"/>
      <c r="CK1128" s="71"/>
      <c r="CL1128" s="71"/>
      <c r="CM1128" s="71"/>
      <c r="CN1128" s="71"/>
      <c r="CO1128" s="71"/>
      <c r="CP1128" s="71"/>
      <c r="CQ1128" s="71"/>
      <c r="CR1128" s="71"/>
      <c r="CS1128" s="71"/>
      <c r="CT1128" s="71"/>
      <c r="CU1128" s="71"/>
      <c r="CV1128" s="71"/>
      <c r="CW1128" s="71"/>
      <c r="CX1128" s="71"/>
      <c r="CY1128" s="71"/>
      <c r="CZ1128" s="71"/>
      <c r="DA1128" s="71"/>
      <c r="DB1128" s="71"/>
      <c r="DC1128" s="71"/>
      <c r="DD1128" s="71"/>
      <c r="DE1128" s="71"/>
      <c r="DF1128" s="71"/>
      <c r="DG1128" s="71"/>
      <c r="DH1128" s="71"/>
      <c r="DI1128" s="71"/>
      <c r="DJ1128" s="71"/>
      <c r="DK1128" s="71"/>
      <c r="DL1128" s="71"/>
      <c r="DM1128" s="71"/>
      <c r="DN1128" s="71"/>
      <c r="DO1128" s="71"/>
      <c r="DP1128" s="71"/>
      <c r="DQ1128" s="71"/>
      <c r="DR1128" s="71"/>
      <c r="DS1128" s="71"/>
      <c r="DT1128" s="71"/>
      <c r="DU1128" s="71"/>
      <c r="DV1128" s="71"/>
      <c r="DW1128" s="71"/>
      <c r="DX1128" s="71"/>
      <c r="DY1128" s="71"/>
      <c r="DZ1128" s="71"/>
      <c r="EA1128" s="71"/>
      <c r="EB1128" s="71"/>
      <c r="EC1128" s="71"/>
      <c r="ED1128" s="71"/>
      <c r="EE1128" s="71"/>
      <c r="EF1128" s="71"/>
      <c r="EG1128" s="71"/>
      <c r="EH1128" s="71"/>
      <c r="EI1128" s="71"/>
      <c r="EJ1128" s="71"/>
      <c r="EK1128" s="71"/>
      <c r="EL1128" s="71"/>
      <c r="EM1128" s="71"/>
      <c r="EN1128" s="71"/>
    </row>
    <row r="1129" spans="1:144" x14ac:dyDescent="0.25">
      <c r="A1129" s="308"/>
      <c r="B1129" s="308"/>
      <c r="C1129" s="317"/>
      <c r="D1129" s="319"/>
      <c r="E1129" s="319"/>
      <c r="F1129" s="331"/>
      <c r="G1129" s="308"/>
      <c r="H1129" s="87" t="s">
        <v>67</v>
      </c>
      <c r="I1129" s="223">
        <v>3074274.56</v>
      </c>
      <c r="J1129" s="223">
        <f>I1129/D1128</f>
        <v>7445.57</v>
      </c>
      <c r="K1129" s="223">
        <v>7527</v>
      </c>
      <c r="L1129" s="71"/>
      <c r="M1129" s="71"/>
      <c r="N1129" s="71"/>
      <c r="O1129" s="71"/>
      <c r="P1129" s="71"/>
      <c r="Q1129" s="71"/>
      <c r="R1129" s="71"/>
      <c r="S1129" s="71"/>
      <c r="T1129" s="71"/>
      <c r="U1129" s="71"/>
      <c r="V1129" s="71"/>
      <c r="W1129" s="71"/>
      <c r="X1129" s="71"/>
      <c r="Y1129" s="71"/>
      <c r="Z1129" s="71"/>
      <c r="AA1129" s="71"/>
      <c r="AB1129" s="71"/>
      <c r="AC1129" s="71"/>
      <c r="AD1129" s="71"/>
      <c r="AE1129" s="71"/>
      <c r="AF1129" s="71"/>
      <c r="AG1129" s="71"/>
      <c r="AH1129" s="71"/>
      <c r="AI1129" s="71"/>
      <c r="AJ1129" s="71"/>
      <c r="AK1129" s="71"/>
      <c r="AL1129" s="71"/>
      <c r="AM1129" s="71"/>
      <c r="AN1129" s="71"/>
      <c r="AO1129" s="71"/>
      <c r="AP1129" s="71"/>
      <c r="AQ1129" s="71"/>
      <c r="AR1129" s="71"/>
      <c r="AS1129" s="71"/>
      <c r="AT1129" s="71"/>
      <c r="AU1129" s="71"/>
      <c r="AV1129" s="71"/>
      <c r="AW1129" s="71"/>
      <c r="AX1129" s="71"/>
      <c r="AY1129" s="71"/>
      <c r="AZ1129" s="71"/>
      <c r="BA1129" s="71"/>
      <c r="BB1129" s="71"/>
      <c r="BC1129" s="71"/>
      <c r="BD1129" s="71"/>
      <c r="BE1129" s="71"/>
      <c r="BF1129" s="71"/>
      <c r="BG1129" s="71"/>
      <c r="BH1129" s="71"/>
      <c r="BI1129" s="71"/>
      <c r="BJ1129" s="71"/>
      <c r="BK1129" s="71"/>
      <c r="BL1129" s="71"/>
      <c r="BM1129" s="71"/>
      <c r="BN1129" s="71"/>
      <c r="BO1129" s="71"/>
      <c r="BP1129" s="71"/>
      <c r="BQ1129" s="71"/>
      <c r="BR1129" s="71"/>
      <c r="BS1129" s="71"/>
      <c r="BT1129" s="71"/>
      <c r="BU1129" s="71"/>
      <c r="BV1129" s="71"/>
      <c r="BW1129" s="71"/>
      <c r="BX1129" s="71"/>
      <c r="BY1129" s="71"/>
      <c r="BZ1129" s="71"/>
      <c r="CA1129" s="71"/>
      <c r="CB1129" s="71"/>
      <c r="CC1129" s="71"/>
      <c r="CD1129" s="71"/>
      <c r="CE1129" s="71"/>
      <c r="CF1129" s="71"/>
      <c r="CG1129" s="71"/>
      <c r="CH1129" s="71"/>
      <c r="CI1129" s="71"/>
      <c r="CJ1129" s="71"/>
      <c r="CK1129" s="71"/>
      <c r="CL1129" s="71"/>
      <c r="CM1129" s="71"/>
      <c r="CN1129" s="71"/>
      <c r="CO1129" s="71"/>
      <c r="CP1129" s="71"/>
      <c r="CQ1129" s="71"/>
      <c r="CR1129" s="71"/>
      <c r="CS1129" s="71"/>
      <c r="CT1129" s="71"/>
      <c r="CU1129" s="71"/>
      <c r="CV1129" s="71"/>
      <c r="CW1129" s="71"/>
      <c r="CX1129" s="71"/>
      <c r="CY1129" s="71"/>
      <c r="CZ1129" s="71"/>
      <c r="DA1129" s="71"/>
      <c r="DB1129" s="71"/>
      <c r="DC1129" s="71"/>
      <c r="DD1129" s="71"/>
      <c r="DE1129" s="71"/>
      <c r="DF1129" s="71"/>
      <c r="DG1129" s="71"/>
      <c r="DH1129" s="71"/>
      <c r="DI1129" s="71"/>
      <c r="DJ1129" s="71"/>
      <c r="DK1129" s="71"/>
      <c r="DL1129" s="71"/>
      <c r="DM1129" s="71"/>
      <c r="DN1129" s="71"/>
      <c r="DO1129" s="71"/>
      <c r="DP1129" s="71"/>
      <c r="DQ1129" s="71"/>
      <c r="DR1129" s="71"/>
      <c r="DS1129" s="71"/>
      <c r="DT1129" s="71"/>
      <c r="DU1129" s="71"/>
      <c r="DV1129" s="71"/>
      <c r="DW1129" s="71"/>
      <c r="DX1129" s="71"/>
      <c r="DY1129" s="71"/>
      <c r="DZ1129" s="71"/>
      <c r="EA1129" s="71"/>
      <c r="EB1129" s="71"/>
      <c r="EC1129" s="71"/>
      <c r="ED1129" s="71"/>
      <c r="EE1129" s="71"/>
      <c r="EF1129" s="71"/>
      <c r="EG1129" s="71"/>
      <c r="EH1129" s="71"/>
      <c r="EI1129" s="71"/>
      <c r="EJ1129" s="71"/>
      <c r="EK1129" s="71"/>
      <c r="EL1129" s="71"/>
      <c r="EM1129" s="71"/>
      <c r="EN1129" s="71"/>
    </row>
    <row r="1130" spans="1:144" x14ac:dyDescent="0.25">
      <c r="A1130" s="309"/>
      <c r="B1130" s="309"/>
      <c r="C1130" s="316"/>
      <c r="D1130" s="329"/>
      <c r="E1130" s="329"/>
      <c r="F1130" s="332"/>
      <c r="G1130" s="309"/>
      <c r="H1130" s="87" t="s">
        <v>69</v>
      </c>
      <c r="I1130" s="223">
        <v>61109.2</v>
      </c>
      <c r="J1130" s="223">
        <f>I1130/D1128</f>
        <v>148</v>
      </c>
      <c r="K1130" s="223">
        <v>161</v>
      </c>
      <c r="L1130" s="71"/>
      <c r="M1130" s="71"/>
      <c r="N1130" s="71"/>
      <c r="O1130" s="71"/>
      <c r="P1130" s="71"/>
      <c r="Q1130" s="71"/>
      <c r="R1130" s="71"/>
      <c r="S1130" s="71"/>
      <c r="T1130" s="71"/>
      <c r="U1130" s="71"/>
      <c r="V1130" s="71"/>
      <c r="W1130" s="71"/>
      <c r="X1130" s="71"/>
      <c r="Y1130" s="71"/>
      <c r="Z1130" s="71"/>
      <c r="AA1130" s="71"/>
      <c r="AB1130" s="71"/>
      <c r="AC1130" s="71"/>
      <c r="AD1130" s="71"/>
      <c r="AE1130" s="71"/>
      <c r="AF1130" s="71"/>
      <c r="AG1130" s="71"/>
      <c r="AH1130" s="71"/>
      <c r="AI1130" s="71"/>
      <c r="AJ1130" s="71"/>
      <c r="AK1130" s="71"/>
      <c r="AL1130" s="71"/>
      <c r="AM1130" s="71"/>
      <c r="AN1130" s="71"/>
      <c r="AO1130" s="71"/>
      <c r="AP1130" s="71"/>
      <c r="AQ1130" s="71"/>
      <c r="AR1130" s="71"/>
      <c r="AS1130" s="71"/>
      <c r="AT1130" s="71"/>
      <c r="AU1130" s="71"/>
      <c r="AV1130" s="71"/>
      <c r="AW1130" s="71"/>
      <c r="AX1130" s="71"/>
      <c r="AY1130" s="71"/>
      <c r="AZ1130" s="71"/>
      <c r="BA1130" s="71"/>
      <c r="BB1130" s="71"/>
      <c r="BC1130" s="71"/>
      <c r="BD1130" s="71"/>
      <c r="BE1130" s="71"/>
      <c r="BF1130" s="71"/>
      <c r="BG1130" s="71"/>
      <c r="BH1130" s="71"/>
      <c r="BI1130" s="71"/>
      <c r="BJ1130" s="71"/>
      <c r="BK1130" s="71"/>
      <c r="BL1130" s="71"/>
      <c r="BM1130" s="71"/>
      <c r="BN1130" s="71"/>
      <c r="BO1130" s="71"/>
      <c r="BP1130" s="71"/>
      <c r="BQ1130" s="71"/>
      <c r="BR1130" s="71"/>
      <c r="BS1130" s="71"/>
      <c r="BT1130" s="71"/>
      <c r="BU1130" s="71"/>
      <c r="BV1130" s="71"/>
      <c r="BW1130" s="71"/>
      <c r="BX1130" s="71"/>
      <c r="BY1130" s="71"/>
      <c r="BZ1130" s="71"/>
      <c r="CA1130" s="71"/>
      <c r="CB1130" s="71"/>
      <c r="CC1130" s="71"/>
      <c r="CD1130" s="71"/>
      <c r="CE1130" s="71"/>
      <c r="CF1130" s="71"/>
      <c r="CG1130" s="71"/>
      <c r="CH1130" s="71"/>
      <c r="CI1130" s="71"/>
      <c r="CJ1130" s="71"/>
      <c r="CK1130" s="71"/>
      <c r="CL1130" s="71"/>
      <c r="CM1130" s="71"/>
      <c r="CN1130" s="71"/>
      <c r="CO1130" s="71"/>
      <c r="CP1130" s="71"/>
      <c r="CQ1130" s="71"/>
      <c r="CR1130" s="71"/>
      <c r="CS1130" s="71"/>
      <c r="CT1130" s="71"/>
      <c r="CU1130" s="71"/>
      <c r="CV1130" s="71"/>
      <c r="CW1130" s="71"/>
      <c r="CX1130" s="71"/>
      <c r="CY1130" s="71"/>
      <c r="CZ1130" s="71"/>
      <c r="DA1130" s="71"/>
      <c r="DB1130" s="71"/>
      <c r="DC1130" s="71"/>
      <c r="DD1130" s="71"/>
      <c r="DE1130" s="71"/>
      <c r="DF1130" s="71"/>
      <c r="DG1130" s="71"/>
      <c r="DH1130" s="71"/>
      <c r="DI1130" s="71"/>
      <c r="DJ1130" s="71"/>
      <c r="DK1130" s="71"/>
      <c r="DL1130" s="71"/>
      <c r="DM1130" s="71"/>
      <c r="DN1130" s="71"/>
      <c r="DO1130" s="71"/>
      <c r="DP1130" s="71"/>
      <c r="DQ1130" s="71"/>
      <c r="DR1130" s="71"/>
      <c r="DS1130" s="71"/>
      <c r="DT1130" s="71"/>
      <c r="DU1130" s="71"/>
      <c r="DV1130" s="71"/>
      <c r="DW1130" s="71"/>
      <c r="DX1130" s="71"/>
      <c r="DY1130" s="71"/>
      <c r="DZ1130" s="71"/>
      <c r="EA1130" s="71"/>
      <c r="EB1130" s="71"/>
      <c r="EC1130" s="71"/>
      <c r="ED1130" s="71"/>
      <c r="EE1130" s="71"/>
      <c r="EF1130" s="71"/>
      <c r="EG1130" s="71"/>
      <c r="EH1130" s="71"/>
      <c r="EI1130" s="71"/>
      <c r="EJ1130" s="71"/>
      <c r="EK1130" s="71"/>
      <c r="EL1130" s="71"/>
      <c r="EM1130" s="71"/>
      <c r="EN1130" s="71"/>
    </row>
    <row r="1131" spans="1:144" ht="15.75" customHeight="1" x14ac:dyDescent="0.25">
      <c r="A1131" s="436">
        <f>A1128+1</f>
        <v>3</v>
      </c>
      <c r="B1131" s="436">
        <v>7241</v>
      </c>
      <c r="C1131" s="315" t="s">
        <v>260</v>
      </c>
      <c r="D1131" s="318">
        <v>414.3</v>
      </c>
      <c r="E1131" s="318" t="s">
        <v>68</v>
      </c>
      <c r="F1131" s="330">
        <v>2</v>
      </c>
      <c r="G1131" s="307" t="s">
        <v>65</v>
      </c>
      <c r="H1131" s="87" t="s">
        <v>66</v>
      </c>
      <c r="I1131" s="223">
        <f>I1132+I1133</f>
        <v>3090991.08</v>
      </c>
      <c r="J1131" s="223">
        <f>J1132+J1133</f>
        <v>7460.76</v>
      </c>
      <c r="K1131" s="223">
        <f>K1132+K1133</f>
        <v>7688</v>
      </c>
      <c r="L1131" s="71"/>
      <c r="M1131" s="71"/>
      <c r="N1131" s="71"/>
      <c r="O1131" s="71"/>
      <c r="P1131" s="71"/>
      <c r="Q1131" s="71"/>
      <c r="R1131" s="71"/>
      <c r="S1131" s="71"/>
      <c r="T1131" s="71"/>
      <c r="U1131" s="71"/>
      <c r="V1131" s="71"/>
      <c r="W1131" s="71"/>
      <c r="X1131" s="71"/>
      <c r="Y1131" s="71"/>
      <c r="Z1131" s="71"/>
      <c r="AA1131" s="71"/>
      <c r="AB1131" s="71"/>
      <c r="AC1131" s="71"/>
      <c r="AD1131" s="71"/>
      <c r="AE1131" s="71"/>
      <c r="AF1131" s="71"/>
      <c r="AG1131" s="71"/>
      <c r="AH1131" s="71"/>
      <c r="AI1131" s="71"/>
      <c r="AJ1131" s="71"/>
      <c r="AK1131" s="71"/>
      <c r="AL1131" s="71"/>
      <c r="AM1131" s="71"/>
      <c r="AN1131" s="71"/>
      <c r="AO1131" s="71"/>
      <c r="AP1131" s="71"/>
      <c r="AQ1131" s="71"/>
      <c r="AR1131" s="71"/>
      <c r="AS1131" s="71"/>
      <c r="AT1131" s="71"/>
      <c r="AU1131" s="71"/>
      <c r="AV1131" s="71"/>
      <c r="AW1131" s="71"/>
      <c r="AX1131" s="71"/>
      <c r="AY1131" s="71"/>
      <c r="AZ1131" s="71"/>
      <c r="BA1131" s="71"/>
      <c r="BB1131" s="71"/>
      <c r="BC1131" s="71"/>
      <c r="BD1131" s="71"/>
      <c r="BE1131" s="71"/>
      <c r="BF1131" s="71"/>
      <c r="BG1131" s="71"/>
      <c r="BH1131" s="71"/>
      <c r="BI1131" s="71"/>
      <c r="BJ1131" s="71"/>
      <c r="BK1131" s="71"/>
      <c r="BL1131" s="71"/>
      <c r="BM1131" s="71"/>
      <c r="BN1131" s="71"/>
      <c r="BO1131" s="71"/>
      <c r="BP1131" s="71"/>
      <c r="BQ1131" s="71"/>
      <c r="BR1131" s="71"/>
      <c r="BS1131" s="71"/>
      <c r="BT1131" s="71"/>
      <c r="BU1131" s="71"/>
      <c r="BV1131" s="71"/>
      <c r="BW1131" s="71"/>
      <c r="BX1131" s="71"/>
      <c r="BY1131" s="71"/>
      <c r="BZ1131" s="71"/>
      <c r="CA1131" s="71"/>
      <c r="CB1131" s="71"/>
      <c r="CC1131" s="71"/>
      <c r="CD1131" s="71"/>
      <c r="CE1131" s="71"/>
      <c r="CF1131" s="71"/>
      <c r="CG1131" s="71"/>
      <c r="CH1131" s="71"/>
      <c r="CI1131" s="71"/>
      <c r="CJ1131" s="71"/>
      <c r="CK1131" s="71"/>
      <c r="CL1131" s="71"/>
      <c r="CM1131" s="71"/>
      <c r="CN1131" s="71"/>
      <c r="CO1131" s="71"/>
      <c r="CP1131" s="71"/>
      <c r="CQ1131" s="71"/>
      <c r="CR1131" s="71"/>
      <c r="CS1131" s="71"/>
      <c r="CT1131" s="71"/>
      <c r="CU1131" s="71"/>
      <c r="CV1131" s="71"/>
      <c r="CW1131" s="71"/>
      <c r="CX1131" s="71"/>
      <c r="CY1131" s="71"/>
      <c r="CZ1131" s="71"/>
      <c r="DA1131" s="71"/>
      <c r="DB1131" s="71"/>
      <c r="DC1131" s="71"/>
      <c r="DD1131" s="71"/>
      <c r="DE1131" s="71"/>
      <c r="DF1131" s="71"/>
      <c r="DG1131" s="71"/>
      <c r="DH1131" s="71"/>
      <c r="DI1131" s="71"/>
      <c r="DJ1131" s="71"/>
      <c r="DK1131" s="71"/>
      <c r="DL1131" s="71"/>
      <c r="DM1131" s="71"/>
      <c r="DN1131" s="71"/>
      <c r="DO1131" s="71"/>
      <c r="DP1131" s="71"/>
      <c r="DQ1131" s="71"/>
      <c r="DR1131" s="71"/>
      <c r="DS1131" s="71"/>
      <c r="DT1131" s="71"/>
      <c r="DU1131" s="71"/>
      <c r="DV1131" s="71"/>
      <c r="DW1131" s="71"/>
      <c r="DX1131" s="71"/>
      <c r="DY1131" s="71"/>
      <c r="DZ1131" s="71"/>
      <c r="EA1131" s="71"/>
      <c r="EB1131" s="71"/>
      <c r="EC1131" s="71"/>
      <c r="ED1131" s="71"/>
      <c r="EE1131" s="71"/>
      <c r="EF1131" s="71"/>
      <c r="EG1131" s="71"/>
      <c r="EH1131" s="71"/>
      <c r="EI1131" s="71"/>
      <c r="EJ1131" s="71"/>
      <c r="EK1131" s="71"/>
      <c r="EL1131" s="71"/>
      <c r="EM1131" s="71"/>
      <c r="EN1131" s="71"/>
    </row>
    <row r="1132" spans="1:144" x14ac:dyDescent="0.25">
      <c r="A1132" s="424"/>
      <c r="B1132" s="424"/>
      <c r="C1132" s="317"/>
      <c r="D1132" s="319"/>
      <c r="E1132" s="319"/>
      <c r="F1132" s="331"/>
      <c r="G1132" s="308"/>
      <c r="H1132" s="87" t="s">
        <v>67</v>
      </c>
      <c r="I1132" s="223">
        <v>3029674.68</v>
      </c>
      <c r="J1132" s="223">
        <f>I1132/D1131</f>
        <v>7312.76</v>
      </c>
      <c r="K1132" s="223">
        <v>7527</v>
      </c>
      <c r="L1132" s="71"/>
      <c r="M1132" s="71"/>
      <c r="N1132" s="71"/>
      <c r="O1132" s="71"/>
      <c r="P1132" s="71"/>
      <c r="Q1132" s="71"/>
      <c r="R1132" s="71"/>
      <c r="S1132" s="71"/>
      <c r="T1132" s="71"/>
      <c r="U1132" s="71"/>
      <c r="V1132" s="71"/>
      <c r="W1132" s="71"/>
      <c r="X1132" s="71"/>
      <c r="Y1132" s="71"/>
      <c r="Z1132" s="71"/>
      <c r="AA1132" s="71"/>
      <c r="AB1132" s="71"/>
      <c r="AC1132" s="71"/>
      <c r="AD1132" s="71"/>
      <c r="AE1132" s="71"/>
      <c r="AF1132" s="71"/>
      <c r="AG1132" s="71"/>
      <c r="AH1132" s="71"/>
      <c r="AI1132" s="71"/>
      <c r="AJ1132" s="71"/>
      <c r="AK1132" s="71"/>
      <c r="AL1132" s="71"/>
      <c r="AM1132" s="71"/>
      <c r="AN1132" s="71"/>
      <c r="AO1132" s="71"/>
      <c r="AP1132" s="71"/>
      <c r="AQ1132" s="71"/>
      <c r="AR1132" s="71"/>
      <c r="AS1132" s="71"/>
      <c r="AT1132" s="71"/>
      <c r="AU1132" s="71"/>
      <c r="AV1132" s="71"/>
      <c r="AW1132" s="71"/>
      <c r="AX1132" s="71"/>
      <c r="AY1132" s="71"/>
      <c r="AZ1132" s="71"/>
      <c r="BA1132" s="71"/>
      <c r="BB1132" s="71"/>
      <c r="BC1132" s="71"/>
      <c r="BD1132" s="71"/>
      <c r="BE1132" s="71"/>
      <c r="BF1132" s="71"/>
      <c r="BG1132" s="71"/>
      <c r="BH1132" s="71"/>
      <c r="BI1132" s="71"/>
      <c r="BJ1132" s="71"/>
      <c r="BK1132" s="71"/>
      <c r="BL1132" s="71"/>
      <c r="BM1132" s="71"/>
      <c r="BN1132" s="71"/>
      <c r="BO1132" s="71"/>
      <c r="BP1132" s="71"/>
      <c r="BQ1132" s="71"/>
      <c r="BR1132" s="71"/>
      <c r="BS1132" s="71"/>
      <c r="BT1132" s="71"/>
      <c r="BU1132" s="71"/>
      <c r="BV1132" s="71"/>
      <c r="BW1132" s="71"/>
      <c r="BX1132" s="71"/>
      <c r="BY1132" s="71"/>
      <c r="BZ1132" s="71"/>
      <c r="CA1132" s="71"/>
      <c r="CB1132" s="71"/>
      <c r="CC1132" s="71"/>
      <c r="CD1132" s="71"/>
      <c r="CE1132" s="71"/>
      <c r="CF1132" s="71"/>
      <c r="CG1132" s="71"/>
      <c r="CH1132" s="71"/>
      <c r="CI1132" s="71"/>
      <c r="CJ1132" s="71"/>
      <c r="CK1132" s="71"/>
      <c r="CL1132" s="71"/>
      <c r="CM1132" s="71"/>
      <c r="CN1132" s="71"/>
      <c r="CO1132" s="71"/>
      <c r="CP1132" s="71"/>
      <c r="CQ1132" s="71"/>
      <c r="CR1132" s="71"/>
      <c r="CS1132" s="71"/>
      <c r="CT1132" s="71"/>
      <c r="CU1132" s="71"/>
      <c r="CV1132" s="71"/>
      <c r="CW1132" s="71"/>
      <c r="CX1132" s="71"/>
      <c r="CY1132" s="71"/>
      <c r="CZ1132" s="71"/>
      <c r="DA1132" s="71"/>
      <c r="DB1132" s="71"/>
      <c r="DC1132" s="71"/>
      <c r="DD1132" s="71"/>
      <c r="DE1132" s="71"/>
      <c r="DF1132" s="71"/>
      <c r="DG1132" s="71"/>
      <c r="DH1132" s="71"/>
      <c r="DI1132" s="71"/>
      <c r="DJ1132" s="71"/>
      <c r="DK1132" s="71"/>
      <c r="DL1132" s="71"/>
      <c r="DM1132" s="71"/>
      <c r="DN1132" s="71"/>
      <c r="DO1132" s="71"/>
      <c r="DP1132" s="71"/>
      <c r="DQ1132" s="71"/>
      <c r="DR1132" s="71"/>
      <c r="DS1132" s="71"/>
      <c r="DT1132" s="71"/>
      <c r="DU1132" s="71"/>
      <c r="DV1132" s="71"/>
      <c r="DW1132" s="71"/>
      <c r="DX1132" s="71"/>
      <c r="DY1132" s="71"/>
      <c r="DZ1132" s="71"/>
      <c r="EA1132" s="71"/>
      <c r="EB1132" s="71"/>
      <c r="EC1132" s="71"/>
      <c r="ED1132" s="71"/>
      <c r="EE1132" s="71"/>
      <c r="EF1132" s="71"/>
      <c r="EG1132" s="71"/>
      <c r="EH1132" s="71"/>
      <c r="EI1132" s="71"/>
      <c r="EJ1132" s="71"/>
      <c r="EK1132" s="71"/>
      <c r="EL1132" s="71"/>
      <c r="EM1132" s="71"/>
      <c r="EN1132" s="71"/>
    </row>
    <row r="1133" spans="1:144" x14ac:dyDescent="0.25">
      <c r="A1133" s="425"/>
      <c r="B1133" s="425"/>
      <c r="C1133" s="316"/>
      <c r="D1133" s="329"/>
      <c r="E1133" s="329"/>
      <c r="F1133" s="332"/>
      <c r="G1133" s="309"/>
      <c r="H1133" s="87" t="s">
        <v>69</v>
      </c>
      <c r="I1133" s="223">
        <v>61316.4</v>
      </c>
      <c r="J1133" s="223">
        <f>I1133/D1131</f>
        <v>148</v>
      </c>
      <c r="K1133" s="223">
        <v>161</v>
      </c>
      <c r="L1133" s="71"/>
      <c r="M1133" s="71"/>
      <c r="N1133" s="71"/>
      <c r="O1133" s="71"/>
      <c r="P1133" s="71"/>
      <c r="Q1133" s="71"/>
      <c r="R1133" s="71"/>
      <c r="S1133" s="71"/>
      <c r="T1133" s="71"/>
      <c r="U1133" s="71"/>
      <c r="V1133" s="71"/>
      <c r="W1133" s="71"/>
      <c r="X1133" s="71"/>
      <c r="Y1133" s="71"/>
      <c r="Z1133" s="71"/>
      <c r="AA1133" s="71"/>
      <c r="AB1133" s="71"/>
      <c r="AC1133" s="71"/>
      <c r="AD1133" s="71"/>
      <c r="AE1133" s="71"/>
      <c r="AF1133" s="71"/>
      <c r="AG1133" s="71"/>
      <c r="AH1133" s="71"/>
      <c r="AI1133" s="71"/>
      <c r="AJ1133" s="71"/>
      <c r="AK1133" s="71"/>
      <c r="AL1133" s="71"/>
      <c r="AM1133" s="71"/>
      <c r="AN1133" s="71"/>
      <c r="AO1133" s="71"/>
      <c r="AP1133" s="71"/>
      <c r="AQ1133" s="71"/>
      <c r="AR1133" s="71"/>
      <c r="AS1133" s="71"/>
      <c r="AT1133" s="71"/>
      <c r="AU1133" s="71"/>
      <c r="AV1133" s="71"/>
      <c r="AW1133" s="71"/>
      <c r="AX1133" s="71"/>
      <c r="AY1133" s="71"/>
      <c r="AZ1133" s="71"/>
      <c r="BA1133" s="71"/>
      <c r="BB1133" s="71"/>
      <c r="BC1133" s="71"/>
      <c r="BD1133" s="71"/>
      <c r="BE1133" s="71"/>
      <c r="BF1133" s="71"/>
      <c r="BG1133" s="71"/>
      <c r="BH1133" s="71"/>
      <c r="BI1133" s="71"/>
      <c r="BJ1133" s="71"/>
      <c r="BK1133" s="71"/>
      <c r="BL1133" s="71"/>
      <c r="BM1133" s="71"/>
      <c r="BN1133" s="71"/>
      <c r="BO1133" s="71"/>
      <c r="BP1133" s="71"/>
      <c r="BQ1133" s="71"/>
      <c r="BR1133" s="71"/>
      <c r="BS1133" s="71"/>
      <c r="BT1133" s="71"/>
      <c r="BU1133" s="71"/>
      <c r="BV1133" s="71"/>
      <c r="BW1133" s="71"/>
      <c r="BX1133" s="71"/>
      <c r="BY1133" s="71"/>
      <c r="BZ1133" s="71"/>
      <c r="CA1133" s="71"/>
      <c r="CB1133" s="71"/>
      <c r="CC1133" s="71"/>
      <c r="CD1133" s="71"/>
      <c r="CE1133" s="71"/>
      <c r="CF1133" s="71"/>
      <c r="CG1133" s="71"/>
      <c r="CH1133" s="71"/>
      <c r="CI1133" s="71"/>
      <c r="CJ1133" s="71"/>
      <c r="CK1133" s="71"/>
      <c r="CL1133" s="71"/>
      <c r="CM1133" s="71"/>
      <c r="CN1133" s="71"/>
      <c r="CO1133" s="71"/>
      <c r="CP1133" s="71"/>
      <c r="CQ1133" s="71"/>
      <c r="CR1133" s="71"/>
      <c r="CS1133" s="71"/>
      <c r="CT1133" s="71"/>
      <c r="CU1133" s="71"/>
      <c r="CV1133" s="71"/>
      <c r="CW1133" s="71"/>
      <c r="CX1133" s="71"/>
      <c r="CY1133" s="71"/>
      <c r="CZ1133" s="71"/>
      <c r="DA1133" s="71"/>
      <c r="DB1133" s="71"/>
      <c r="DC1133" s="71"/>
      <c r="DD1133" s="71"/>
      <c r="DE1133" s="71"/>
      <c r="DF1133" s="71"/>
      <c r="DG1133" s="71"/>
      <c r="DH1133" s="71"/>
      <c r="DI1133" s="71"/>
      <c r="DJ1133" s="71"/>
      <c r="DK1133" s="71"/>
      <c r="DL1133" s="71"/>
      <c r="DM1133" s="71"/>
      <c r="DN1133" s="71"/>
      <c r="DO1133" s="71"/>
      <c r="DP1133" s="71"/>
      <c r="DQ1133" s="71"/>
      <c r="DR1133" s="71"/>
      <c r="DS1133" s="71"/>
      <c r="DT1133" s="71"/>
      <c r="DU1133" s="71"/>
      <c r="DV1133" s="71"/>
      <c r="DW1133" s="71"/>
      <c r="DX1133" s="71"/>
      <c r="DY1133" s="71"/>
      <c r="DZ1133" s="71"/>
      <c r="EA1133" s="71"/>
      <c r="EB1133" s="71"/>
      <c r="EC1133" s="71"/>
      <c r="ED1133" s="71"/>
      <c r="EE1133" s="71"/>
      <c r="EF1133" s="71"/>
      <c r="EG1133" s="71"/>
      <c r="EH1133" s="71"/>
      <c r="EI1133" s="71"/>
      <c r="EJ1133" s="71"/>
      <c r="EK1133" s="71"/>
      <c r="EL1133" s="71"/>
      <c r="EM1133" s="71"/>
      <c r="EN1133" s="71"/>
    </row>
    <row r="1134" spans="1:144" ht="15.75" customHeight="1" x14ac:dyDescent="0.25">
      <c r="A1134" s="307">
        <f>A1131+1</f>
        <v>4</v>
      </c>
      <c r="B1134" s="307">
        <v>7170</v>
      </c>
      <c r="C1134" s="315" t="s">
        <v>301</v>
      </c>
      <c r="D1134" s="318">
        <v>864</v>
      </c>
      <c r="E1134" s="318" t="s">
        <v>68</v>
      </c>
      <c r="F1134" s="330">
        <v>2</v>
      </c>
      <c r="G1134" s="161"/>
      <c r="H1134" s="87" t="s">
        <v>66</v>
      </c>
      <c r="I1134" s="223">
        <f>I1135</f>
        <v>113561.2</v>
      </c>
      <c r="J1134" s="223">
        <f>J1135</f>
        <v>131.44</v>
      </c>
      <c r="K1134" s="223">
        <f>K1135</f>
        <v>247</v>
      </c>
      <c r="L1134" s="71"/>
      <c r="M1134" s="71"/>
      <c r="N1134" s="71"/>
      <c r="O1134" s="71"/>
      <c r="P1134" s="71"/>
      <c r="Q1134" s="71"/>
      <c r="R1134" s="71"/>
      <c r="S1134" s="71"/>
      <c r="T1134" s="71"/>
      <c r="U1134" s="71"/>
      <c r="V1134" s="71"/>
      <c r="W1134" s="71"/>
      <c r="X1134" s="71"/>
      <c r="Y1134" s="71"/>
      <c r="Z1134" s="71"/>
      <c r="AA1134" s="71"/>
      <c r="AB1134" s="71"/>
      <c r="AC1134" s="71"/>
      <c r="AD1134" s="71"/>
      <c r="AE1134" s="71"/>
      <c r="AF1134" s="71"/>
      <c r="AG1134" s="71"/>
      <c r="AH1134" s="71"/>
      <c r="AI1134" s="71"/>
      <c r="AJ1134" s="71"/>
      <c r="AK1134" s="71"/>
      <c r="AL1134" s="71"/>
      <c r="AM1134" s="71"/>
      <c r="AN1134" s="71"/>
      <c r="AO1134" s="71"/>
      <c r="AP1134" s="71"/>
      <c r="AQ1134" s="71"/>
      <c r="AR1134" s="71"/>
      <c r="AS1134" s="71"/>
      <c r="AT1134" s="71"/>
      <c r="AU1134" s="71"/>
      <c r="AV1134" s="71"/>
      <c r="AW1134" s="71"/>
      <c r="AX1134" s="71"/>
      <c r="AY1134" s="71"/>
      <c r="AZ1134" s="71"/>
      <c r="BA1134" s="71"/>
      <c r="BB1134" s="71"/>
      <c r="BC1134" s="71"/>
      <c r="BD1134" s="71"/>
      <c r="BE1134" s="71"/>
      <c r="BF1134" s="71"/>
      <c r="BG1134" s="71"/>
      <c r="BH1134" s="71"/>
      <c r="BI1134" s="71"/>
      <c r="BJ1134" s="71"/>
      <c r="BK1134" s="71"/>
      <c r="BL1134" s="71"/>
      <c r="BM1134" s="71"/>
      <c r="BN1134" s="71"/>
      <c r="BO1134" s="71"/>
      <c r="BP1134" s="71"/>
      <c r="BQ1134" s="71"/>
      <c r="BR1134" s="71"/>
      <c r="BS1134" s="71"/>
      <c r="BT1134" s="71"/>
      <c r="BU1134" s="71"/>
      <c r="BV1134" s="71"/>
      <c r="BW1134" s="71"/>
      <c r="BX1134" s="71"/>
      <c r="BY1134" s="71"/>
      <c r="BZ1134" s="71"/>
      <c r="CA1134" s="71"/>
      <c r="CB1134" s="71"/>
      <c r="CC1134" s="71"/>
      <c r="CD1134" s="71"/>
      <c r="CE1134" s="71"/>
      <c r="CF1134" s="71"/>
      <c r="CG1134" s="71"/>
      <c r="CH1134" s="71"/>
      <c r="CI1134" s="71"/>
      <c r="CJ1134" s="71"/>
      <c r="CK1134" s="71"/>
      <c r="CL1134" s="71"/>
      <c r="CM1134" s="71"/>
      <c r="CN1134" s="71"/>
      <c r="CO1134" s="71"/>
      <c r="CP1134" s="71"/>
      <c r="CQ1134" s="71"/>
      <c r="CR1134" s="71"/>
      <c r="CS1134" s="71"/>
      <c r="CT1134" s="71"/>
      <c r="CU1134" s="71"/>
      <c r="CV1134" s="71"/>
      <c r="CW1134" s="71"/>
      <c r="CX1134" s="71"/>
      <c r="CY1134" s="71"/>
      <c r="CZ1134" s="71"/>
      <c r="DA1134" s="71"/>
      <c r="DB1134" s="71"/>
      <c r="DC1134" s="71"/>
      <c r="DD1134" s="71"/>
      <c r="DE1134" s="71"/>
      <c r="DF1134" s="71"/>
      <c r="DG1134" s="71"/>
      <c r="DH1134" s="71"/>
      <c r="DI1134" s="71"/>
      <c r="DJ1134" s="71"/>
      <c r="DK1134" s="71"/>
      <c r="DL1134" s="71"/>
      <c r="DM1134" s="71"/>
      <c r="DN1134" s="71"/>
      <c r="DO1134" s="71"/>
      <c r="DP1134" s="71"/>
      <c r="DQ1134" s="71"/>
      <c r="DR1134" s="71"/>
      <c r="DS1134" s="71"/>
      <c r="DT1134" s="71"/>
      <c r="DU1134" s="71"/>
      <c r="DV1134" s="71"/>
      <c r="DW1134" s="71"/>
      <c r="DX1134" s="71"/>
      <c r="DY1134" s="71"/>
      <c r="DZ1134" s="71"/>
      <c r="EA1134" s="71"/>
      <c r="EB1134" s="71"/>
      <c r="EC1134" s="71"/>
      <c r="ED1134" s="71"/>
      <c r="EE1134" s="71"/>
      <c r="EF1134" s="71"/>
      <c r="EG1134" s="71"/>
      <c r="EH1134" s="71"/>
      <c r="EI1134" s="71"/>
      <c r="EJ1134" s="71"/>
      <c r="EK1134" s="71"/>
      <c r="EL1134" s="71"/>
      <c r="EM1134" s="71"/>
      <c r="EN1134" s="71"/>
    </row>
    <row r="1135" spans="1:144" ht="63" x14ac:dyDescent="0.25">
      <c r="A1135" s="309"/>
      <c r="B1135" s="309"/>
      <c r="C1135" s="316"/>
      <c r="D1135" s="329"/>
      <c r="E1135" s="329"/>
      <c r="F1135" s="332"/>
      <c r="G1135" s="145" t="s">
        <v>65</v>
      </c>
      <c r="H1135" s="87" t="s">
        <v>178</v>
      </c>
      <c r="I1135" s="266">
        <v>113561.2</v>
      </c>
      <c r="J1135" s="223">
        <f>I1135/D1134</f>
        <v>131.44</v>
      </c>
      <c r="K1135" s="223">
        <f>151+96</f>
        <v>247</v>
      </c>
      <c r="L1135" s="71"/>
      <c r="M1135" s="71"/>
      <c r="N1135" s="71"/>
      <c r="O1135" s="71"/>
      <c r="P1135" s="71"/>
      <c r="Q1135" s="71"/>
      <c r="R1135" s="71"/>
      <c r="S1135" s="71"/>
      <c r="T1135" s="71"/>
      <c r="U1135" s="71"/>
      <c r="V1135" s="71"/>
      <c r="W1135" s="71"/>
      <c r="X1135" s="71"/>
      <c r="Y1135" s="71"/>
      <c r="Z1135" s="71"/>
      <c r="AA1135" s="71"/>
      <c r="AB1135" s="71"/>
      <c r="AC1135" s="71"/>
      <c r="AD1135" s="71"/>
      <c r="AE1135" s="71"/>
      <c r="AF1135" s="71"/>
      <c r="AG1135" s="71"/>
      <c r="AH1135" s="71"/>
      <c r="AI1135" s="71"/>
      <c r="AJ1135" s="71"/>
      <c r="AK1135" s="71"/>
      <c r="AL1135" s="71"/>
      <c r="AM1135" s="71"/>
      <c r="AN1135" s="71"/>
      <c r="AO1135" s="71"/>
      <c r="AP1135" s="71"/>
      <c r="AQ1135" s="71"/>
      <c r="AR1135" s="71"/>
      <c r="AS1135" s="71"/>
      <c r="AT1135" s="71"/>
      <c r="AU1135" s="71"/>
      <c r="AV1135" s="71"/>
      <c r="AW1135" s="71"/>
      <c r="AX1135" s="71"/>
      <c r="AY1135" s="71"/>
      <c r="AZ1135" s="71"/>
      <c r="BA1135" s="71"/>
      <c r="BB1135" s="71"/>
      <c r="BC1135" s="71"/>
      <c r="BD1135" s="71"/>
      <c r="BE1135" s="71"/>
      <c r="BF1135" s="71"/>
      <c r="BG1135" s="71"/>
      <c r="BH1135" s="71"/>
      <c r="BI1135" s="71"/>
      <c r="BJ1135" s="71"/>
      <c r="BK1135" s="71"/>
      <c r="BL1135" s="71"/>
      <c r="BM1135" s="71"/>
      <c r="BN1135" s="71"/>
      <c r="BO1135" s="71"/>
      <c r="BP1135" s="71"/>
      <c r="BQ1135" s="71"/>
      <c r="BR1135" s="71"/>
      <c r="BS1135" s="71"/>
      <c r="BT1135" s="71"/>
      <c r="BU1135" s="71"/>
      <c r="BV1135" s="71"/>
      <c r="BW1135" s="71"/>
      <c r="BX1135" s="71"/>
      <c r="BY1135" s="71"/>
      <c r="BZ1135" s="71"/>
      <c r="CA1135" s="71"/>
      <c r="CB1135" s="71"/>
      <c r="CC1135" s="71"/>
      <c r="CD1135" s="71"/>
      <c r="CE1135" s="71"/>
      <c r="CF1135" s="71"/>
      <c r="CG1135" s="71"/>
      <c r="CH1135" s="71"/>
      <c r="CI1135" s="71"/>
      <c r="CJ1135" s="71"/>
      <c r="CK1135" s="71"/>
      <c r="CL1135" s="71"/>
      <c r="CM1135" s="71"/>
      <c r="CN1135" s="71"/>
      <c r="CO1135" s="71"/>
      <c r="CP1135" s="71"/>
      <c r="CQ1135" s="71"/>
      <c r="CR1135" s="71"/>
      <c r="CS1135" s="71"/>
      <c r="CT1135" s="71"/>
      <c r="CU1135" s="71"/>
      <c r="CV1135" s="71"/>
      <c r="CW1135" s="71"/>
      <c r="CX1135" s="71"/>
      <c r="CY1135" s="71"/>
      <c r="CZ1135" s="71"/>
      <c r="DA1135" s="71"/>
      <c r="DB1135" s="71"/>
      <c r="DC1135" s="71"/>
      <c r="DD1135" s="71"/>
      <c r="DE1135" s="71"/>
      <c r="DF1135" s="71"/>
      <c r="DG1135" s="71"/>
      <c r="DH1135" s="71"/>
      <c r="DI1135" s="71"/>
      <c r="DJ1135" s="71"/>
      <c r="DK1135" s="71"/>
      <c r="DL1135" s="71"/>
      <c r="DM1135" s="71"/>
      <c r="DN1135" s="71"/>
      <c r="DO1135" s="71"/>
      <c r="DP1135" s="71"/>
      <c r="DQ1135" s="71"/>
      <c r="DR1135" s="71"/>
      <c r="DS1135" s="71"/>
      <c r="DT1135" s="71"/>
      <c r="DU1135" s="71"/>
      <c r="DV1135" s="71"/>
      <c r="DW1135" s="71"/>
      <c r="DX1135" s="71"/>
      <c r="DY1135" s="71"/>
      <c r="DZ1135" s="71"/>
      <c r="EA1135" s="71"/>
      <c r="EB1135" s="71"/>
      <c r="EC1135" s="71"/>
      <c r="ED1135" s="71"/>
      <c r="EE1135" s="71"/>
      <c r="EF1135" s="71"/>
      <c r="EG1135" s="71"/>
      <c r="EH1135" s="71"/>
      <c r="EI1135" s="71"/>
      <c r="EJ1135" s="71"/>
      <c r="EK1135" s="71"/>
      <c r="EL1135" s="71"/>
      <c r="EM1135" s="71"/>
      <c r="EN1135" s="71"/>
    </row>
    <row r="1136" spans="1:144" s="71" customFormat="1" x14ac:dyDescent="0.25">
      <c r="A1136" s="97" t="s">
        <v>282</v>
      </c>
      <c r="B1136" s="97"/>
      <c r="C1136" s="86"/>
      <c r="D1136" s="151">
        <f>D1137+D1142+D1193+D1199+D1207+D1400+D1507+D2093+D2102+D2124+D2140+D2227+D2237+D2250+D2263+D2278+D2403+D2407</f>
        <v>1202982.73</v>
      </c>
      <c r="E1136" s="160"/>
      <c r="F1136" s="160"/>
      <c r="G1136" s="145"/>
      <c r="H1136" s="79"/>
      <c r="I1136" s="223">
        <f>I1137+I1142+I1193+I1199+I1207+I1400+I1507+I2093+I2102+I2124+I2140+I2227+I2237+I2250+I2263+I2278+I2403+I2407</f>
        <v>1219069024.71</v>
      </c>
      <c r="J1136" s="222"/>
      <c r="K1136" s="222"/>
      <c r="L1136" s="72"/>
      <c r="M1136" s="72"/>
      <c r="N1136" s="72"/>
      <c r="O1136" s="72"/>
      <c r="P1136" s="72"/>
      <c r="Q1136" s="72"/>
      <c r="R1136" s="72"/>
      <c r="S1136" s="72"/>
      <c r="T1136" s="72"/>
      <c r="U1136" s="72"/>
      <c r="V1136" s="72"/>
      <c r="W1136" s="72"/>
      <c r="X1136" s="72"/>
      <c r="Y1136" s="72"/>
      <c r="Z1136" s="72"/>
      <c r="AA1136" s="72"/>
      <c r="AB1136" s="72"/>
      <c r="AC1136" s="72"/>
      <c r="AD1136" s="72"/>
      <c r="AE1136" s="72"/>
      <c r="AF1136" s="72"/>
      <c r="AG1136" s="72"/>
      <c r="AH1136" s="72"/>
      <c r="AI1136" s="72"/>
      <c r="AJ1136" s="72"/>
      <c r="AK1136" s="72"/>
      <c r="AL1136" s="72"/>
      <c r="AM1136" s="72"/>
      <c r="AN1136" s="72"/>
      <c r="AO1136" s="72"/>
      <c r="AP1136" s="72"/>
      <c r="AQ1136" s="72"/>
      <c r="AR1136" s="72"/>
      <c r="AS1136" s="72"/>
      <c r="AT1136" s="72"/>
      <c r="AU1136" s="72"/>
      <c r="AV1136" s="72"/>
      <c r="AW1136" s="72"/>
      <c r="AX1136" s="72"/>
      <c r="AY1136" s="72"/>
      <c r="AZ1136" s="72"/>
      <c r="BA1136" s="72"/>
      <c r="BB1136" s="72"/>
      <c r="BC1136" s="72"/>
      <c r="BD1136" s="72"/>
      <c r="BE1136" s="72"/>
      <c r="BF1136" s="72"/>
      <c r="BG1136" s="72"/>
      <c r="BH1136" s="72"/>
      <c r="BI1136" s="72"/>
      <c r="BJ1136" s="72"/>
      <c r="BK1136" s="72"/>
      <c r="BL1136" s="72"/>
      <c r="BM1136" s="72"/>
      <c r="BN1136" s="72"/>
      <c r="BO1136" s="72"/>
      <c r="BP1136" s="72"/>
      <c r="BQ1136" s="72"/>
      <c r="BR1136" s="72"/>
      <c r="BS1136" s="72"/>
      <c r="BT1136" s="72"/>
      <c r="BU1136" s="72"/>
      <c r="BV1136" s="72"/>
      <c r="BW1136" s="72"/>
      <c r="BX1136" s="72"/>
      <c r="BY1136" s="72"/>
      <c r="BZ1136" s="72"/>
      <c r="CA1136" s="72"/>
      <c r="CB1136" s="72"/>
      <c r="CC1136" s="72"/>
      <c r="CD1136" s="72"/>
      <c r="CE1136" s="72"/>
      <c r="CF1136" s="72"/>
      <c r="CG1136" s="72"/>
      <c r="CH1136" s="72"/>
      <c r="CI1136" s="72"/>
      <c r="CJ1136" s="72"/>
      <c r="CK1136" s="72"/>
      <c r="CL1136" s="72"/>
      <c r="CM1136" s="72"/>
      <c r="CN1136" s="72"/>
      <c r="CO1136" s="72"/>
      <c r="CP1136" s="72"/>
      <c r="CQ1136" s="72"/>
      <c r="CR1136" s="72"/>
      <c r="CS1136" s="72"/>
      <c r="CT1136" s="72"/>
      <c r="CU1136" s="72"/>
      <c r="CV1136" s="72"/>
      <c r="CW1136" s="72"/>
      <c r="CX1136" s="72"/>
      <c r="CY1136" s="72"/>
      <c r="CZ1136" s="72"/>
      <c r="DA1136" s="72"/>
      <c r="DB1136" s="72"/>
      <c r="DC1136" s="72"/>
      <c r="DD1136" s="72"/>
      <c r="DE1136" s="72"/>
      <c r="DF1136" s="72"/>
      <c r="DG1136" s="72"/>
      <c r="DH1136" s="72"/>
      <c r="DI1136" s="72"/>
      <c r="DJ1136" s="72"/>
      <c r="DK1136" s="72"/>
      <c r="DL1136" s="72"/>
      <c r="DM1136" s="72"/>
      <c r="DN1136" s="72"/>
      <c r="DO1136" s="72"/>
      <c r="DP1136" s="72"/>
      <c r="DQ1136" s="72"/>
      <c r="DR1136" s="72"/>
      <c r="DS1136" s="72"/>
      <c r="DT1136" s="72"/>
      <c r="DU1136" s="72"/>
      <c r="DV1136" s="72"/>
      <c r="DW1136" s="72"/>
      <c r="DX1136" s="72"/>
      <c r="DY1136" s="72"/>
      <c r="DZ1136" s="72"/>
      <c r="EA1136" s="72"/>
      <c r="EB1136" s="72"/>
      <c r="EC1136" s="72"/>
      <c r="ED1136" s="72"/>
      <c r="EE1136" s="72"/>
      <c r="EF1136" s="72"/>
      <c r="EG1136" s="72"/>
      <c r="EH1136" s="72"/>
      <c r="EI1136" s="72"/>
      <c r="EJ1136" s="72"/>
      <c r="EK1136" s="72"/>
      <c r="EL1136" s="72"/>
      <c r="EM1136" s="72"/>
    </row>
    <row r="1137" spans="1:143" s="71" customFormat="1" x14ac:dyDescent="0.25">
      <c r="A1137" s="97" t="s">
        <v>16</v>
      </c>
      <c r="B1137" s="214"/>
      <c r="C1137" s="157"/>
      <c r="D1137" s="151">
        <f>D1138+D1140</f>
        <v>561.79999999999995</v>
      </c>
      <c r="E1137" s="151"/>
      <c r="F1137" s="151"/>
      <c r="G1137" s="145"/>
      <c r="H1137" s="79"/>
      <c r="I1137" s="223">
        <f>I1138+I1140</f>
        <v>145506.20000000001</v>
      </c>
      <c r="J1137" s="222"/>
      <c r="K1137" s="222"/>
      <c r="L1137" s="72"/>
      <c r="M1137" s="72"/>
      <c r="N1137" s="72"/>
      <c r="O1137" s="72"/>
      <c r="P1137" s="72"/>
      <c r="Q1137" s="72"/>
      <c r="R1137" s="72"/>
      <c r="S1137" s="72"/>
      <c r="T1137" s="72"/>
      <c r="U1137" s="72"/>
      <c r="V1137" s="72"/>
      <c r="W1137" s="72"/>
      <c r="X1137" s="72"/>
      <c r="Y1137" s="72"/>
      <c r="Z1137" s="72"/>
      <c r="AA1137" s="72"/>
      <c r="AB1137" s="72"/>
      <c r="AC1137" s="72"/>
      <c r="AD1137" s="72"/>
      <c r="AE1137" s="72"/>
      <c r="AF1137" s="72"/>
      <c r="AG1137" s="72"/>
      <c r="AH1137" s="72"/>
      <c r="AI1137" s="72"/>
      <c r="AJ1137" s="72"/>
      <c r="AK1137" s="72"/>
      <c r="AL1137" s="72"/>
      <c r="AM1137" s="72"/>
      <c r="AN1137" s="72"/>
      <c r="AO1137" s="72"/>
      <c r="AP1137" s="72"/>
      <c r="AQ1137" s="72"/>
      <c r="AR1137" s="72"/>
      <c r="AS1137" s="72"/>
      <c r="AT1137" s="72"/>
      <c r="AU1137" s="72"/>
      <c r="AV1137" s="72"/>
      <c r="AW1137" s="72"/>
      <c r="AX1137" s="72"/>
      <c r="AY1137" s="72"/>
      <c r="AZ1137" s="72"/>
      <c r="BA1137" s="72"/>
      <c r="BB1137" s="72"/>
      <c r="BC1137" s="72"/>
      <c r="BD1137" s="72"/>
      <c r="BE1137" s="72"/>
      <c r="BF1137" s="72"/>
      <c r="BG1137" s="72"/>
      <c r="BH1137" s="72"/>
      <c r="BI1137" s="72"/>
      <c r="BJ1137" s="72"/>
      <c r="BK1137" s="72"/>
      <c r="BL1137" s="72"/>
      <c r="BM1137" s="72"/>
      <c r="BN1137" s="72"/>
      <c r="BO1137" s="72"/>
      <c r="BP1137" s="72"/>
      <c r="BQ1137" s="72"/>
      <c r="BR1137" s="72"/>
      <c r="BS1137" s="72"/>
      <c r="BT1137" s="72"/>
      <c r="BU1137" s="72"/>
      <c r="BV1137" s="72"/>
      <c r="BW1137" s="72"/>
      <c r="BX1137" s="72"/>
      <c r="BY1137" s="72"/>
      <c r="BZ1137" s="72"/>
      <c r="CA1137" s="72"/>
      <c r="CB1137" s="72"/>
      <c r="CC1137" s="72"/>
      <c r="CD1137" s="72"/>
      <c r="CE1137" s="72"/>
      <c r="CF1137" s="72"/>
      <c r="CG1137" s="72"/>
      <c r="CH1137" s="72"/>
      <c r="CI1137" s="72"/>
      <c r="CJ1137" s="72"/>
      <c r="CK1137" s="72"/>
      <c r="CL1137" s="72"/>
      <c r="CM1137" s="72"/>
      <c r="CN1137" s="72"/>
      <c r="CO1137" s="72"/>
      <c r="CP1137" s="72"/>
      <c r="CQ1137" s="72"/>
      <c r="CR1137" s="72"/>
      <c r="CS1137" s="72"/>
      <c r="CT1137" s="72"/>
      <c r="CU1137" s="72"/>
      <c r="CV1137" s="72"/>
      <c r="CW1137" s="72"/>
      <c r="CX1137" s="72"/>
      <c r="CY1137" s="72"/>
      <c r="CZ1137" s="72"/>
      <c r="DA1137" s="72"/>
      <c r="DB1137" s="72"/>
      <c r="DC1137" s="72"/>
      <c r="DD1137" s="72"/>
      <c r="DE1137" s="72"/>
      <c r="DF1137" s="72"/>
      <c r="DG1137" s="72"/>
      <c r="DH1137" s="72"/>
      <c r="DI1137" s="72"/>
      <c r="DJ1137" s="72"/>
      <c r="DK1137" s="72"/>
      <c r="DL1137" s="72"/>
      <c r="DM1137" s="72"/>
      <c r="DN1137" s="72"/>
      <c r="DO1137" s="72"/>
      <c r="DP1137" s="72"/>
      <c r="DQ1137" s="72"/>
      <c r="DR1137" s="72"/>
      <c r="DS1137" s="72"/>
      <c r="DT1137" s="72"/>
      <c r="DU1137" s="72"/>
      <c r="DV1137" s="72"/>
      <c r="DW1137" s="72"/>
      <c r="DX1137" s="72"/>
      <c r="DY1137" s="72"/>
      <c r="DZ1137" s="72"/>
      <c r="EA1137" s="72"/>
      <c r="EB1137" s="72"/>
      <c r="EC1137" s="72"/>
      <c r="ED1137" s="72"/>
      <c r="EE1137" s="72"/>
      <c r="EF1137" s="72"/>
      <c r="EG1137" s="72"/>
      <c r="EH1137" s="72"/>
      <c r="EI1137" s="72"/>
      <c r="EJ1137" s="72"/>
      <c r="EK1137" s="72"/>
      <c r="EL1137" s="72"/>
      <c r="EM1137" s="72"/>
    </row>
    <row r="1138" spans="1:143" x14ac:dyDescent="0.25">
      <c r="A1138" s="310">
        <v>1</v>
      </c>
      <c r="B1138" s="314">
        <v>4709</v>
      </c>
      <c r="C1138" s="315" t="s">
        <v>728</v>
      </c>
      <c r="D1138" s="307">
        <v>334.8</v>
      </c>
      <c r="E1138" s="307" t="s">
        <v>167</v>
      </c>
      <c r="F1138" s="307">
        <v>2</v>
      </c>
      <c r="G1138" s="307" t="s">
        <v>65</v>
      </c>
      <c r="H1138" s="88" t="s">
        <v>66</v>
      </c>
      <c r="I1138" s="223">
        <f>I1139</f>
        <v>86713.2</v>
      </c>
      <c r="J1138" s="223">
        <f>J1139</f>
        <v>259</v>
      </c>
      <c r="K1138" s="223">
        <f>K1139</f>
        <v>259</v>
      </c>
    </row>
    <row r="1139" spans="1:143" ht="63" x14ac:dyDescent="0.25">
      <c r="A1139" s="310"/>
      <c r="B1139" s="314"/>
      <c r="C1139" s="316"/>
      <c r="D1139" s="309"/>
      <c r="E1139" s="309"/>
      <c r="F1139" s="309"/>
      <c r="G1139" s="309"/>
      <c r="H1139" s="88" t="s">
        <v>168</v>
      </c>
      <c r="I1139" s="223">
        <f>K1139*D1138</f>
        <v>86713.2</v>
      </c>
      <c r="J1139" s="223">
        <f>I1139/D1138</f>
        <v>259</v>
      </c>
      <c r="K1139" s="223">
        <f>163+96</f>
        <v>259</v>
      </c>
    </row>
    <row r="1140" spans="1:143" x14ac:dyDescent="0.25">
      <c r="A1140" s="310">
        <f>A1138+1</f>
        <v>2</v>
      </c>
      <c r="B1140" s="314">
        <v>4664</v>
      </c>
      <c r="C1140" s="315" t="s">
        <v>729</v>
      </c>
      <c r="D1140" s="307">
        <v>227</v>
      </c>
      <c r="E1140" s="307" t="s">
        <v>167</v>
      </c>
      <c r="F1140" s="307">
        <v>2</v>
      </c>
      <c r="G1140" s="307" t="s">
        <v>65</v>
      </c>
      <c r="H1140" s="88" t="s">
        <v>66</v>
      </c>
      <c r="I1140" s="223">
        <f>I1141</f>
        <v>58793</v>
      </c>
      <c r="J1140" s="223">
        <f>J1141</f>
        <v>259</v>
      </c>
      <c r="K1140" s="223">
        <f>K1141</f>
        <v>259</v>
      </c>
    </row>
    <row r="1141" spans="1:143" ht="63" x14ac:dyDescent="0.25">
      <c r="A1141" s="310"/>
      <c r="B1141" s="314"/>
      <c r="C1141" s="316"/>
      <c r="D1141" s="309"/>
      <c r="E1141" s="309"/>
      <c r="F1141" s="309"/>
      <c r="G1141" s="309"/>
      <c r="H1141" s="88" t="s">
        <v>168</v>
      </c>
      <c r="I1141" s="223">
        <f>K1141*D1140</f>
        <v>58793</v>
      </c>
      <c r="J1141" s="223">
        <f>I1141/D1140</f>
        <v>259</v>
      </c>
      <c r="K1141" s="223">
        <f>163+96</f>
        <v>259</v>
      </c>
    </row>
    <row r="1142" spans="1:143" s="71" customFormat="1" x14ac:dyDescent="0.25">
      <c r="A1142" s="97" t="s">
        <v>29</v>
      </c>
      <c r="B1142" s="214"/>
      <c r="C1142" s="157"/>
      <c r="D1142" s="151">
        <f>D1143+D1146+D1148+D1155+D1158+D1160+D1162+D1165+D1167+D1169+D1172+D1177+D1181+D1184+D1186+D1191</f>
        <v>12182.09</v>
      </c>
      <c r="E1142" s="83"/>
      <c r="F1142" s="83"/>
      <c r="G1142" s="151"/>
      <c r="H1142" s="85"/>
      <c r="I1142" s="223">
        <f>I1143+I1146+I1148+I1155+I1158+I1160+I1162+I1165+I1167+I1169+I1172+I1177+I1181+I1184+I1186+I1191</f>
        <v>27225520.649999999</v>
      </c>
      <c r="J1142" s="223"/>
      <c r="K1142" s="223"/>
      <c r="L1142" s="72"/>
      <c r="M1142" s="72"/>
      <c r="N1142" s="72"/>
      <c r="O1142" s="72"/>
      <c r="P1142" s="72"/>
      <c r="Q1142" s="72"/>
      <c r="R1142" s="72"/>
      <c r="S1142" s="72"/>
      <c r="T1142" s="72"/>
      <c r="U1142" s="72"/>
      <c r="V1142" s="72"/>
      <c r="W1142" s="72"/>
      <c r="X1142" s="72"/>
      <c r="Y1142" s="72"/>
      <c r="Z1142" s="72"/>
      <c r="AA1142" s="72"/>
      <c r="AB1142" s="72"/>
      <c r="AC1142" s="72"/>
      <c r="AD1142" s="72"/>
      <c r="AE1142" s="72"/>
      <c r="AF1142" s="72"/>
      <c r="AG1142" s="72"/>
      <c r="AH1142" s="72"/>
      <c r="AI1142" s="72"/>
      <c r="AJ1142" s="72"/>
      <c r="AK1142" s="72"/>
      <c r="AL1142" s="72"/>
      <c r="AM1142" s="72"/>
      <c r="AN1142" s="72"/>
      <c r="AO1142" s="72"/>
      <c r="AP1142" s="72"/>
      <c r="AQ1142" s="72"/>
      <c r="AR1142" s="72"/>
      <c r="AS1142" s="72"/>
      <c r="AT1142" s="72"/>
      <c r="AU1142" s="72"/>
      <c r="AV1142" s="72"/>
      <c r="AW1142" s="72"/>
      <c r="AX1142" s="72"/>
      <c r="AY1142" s="72"/>
      <c r="AZ1142" s="72"/>
      <c r="BA1142" s="72"/>
      <c r="BB1142" s="72"/>
      <c r="BC1142" s="72"/>
      <c r="BD1142" s="72"/>
      <c r="BE1142" s="72"/>
      <c r="BF1142" s="72"/>
      <c r="BG1142" s="72"/>
      <c r="BH1142" s="72"/>
      <c r="BI1142" s="72"/>
      <c r="BJ1142" s="72"/>
      <c r="BK1142" s="72"/>
      <c r="BL1142" s="72"/>
      <c r="BM1142" s="72"/>
      <c r="BN1142" s="72"/>
      <c r="BO1142" s="72"/>
      <c r="BP1142" s="72"/>
      <c r="BQ1142" s="72"/>
      <c r="BR1142" s="72"/>
      <c r="BS1142" s="72"/>
      <c r="BT1142" s="72"/>
      <c r="BU1142" s="72"/>
      <c r="BV1142" s="72"/>
      <c r="BW1142" s="72"/>
      <c r="BX1142" s="72"/>
      <c r="BY1142" s="72"/>
      <c r="BZ1142" s="72"/>
      <c r="CA1142" s="72"/>
      <c r="CB1142" s="72"/>
      <c r="CC1142" s="72"/>
      <c r="CD1142" s="72"/>
      <c r="CE1142" s="72"/>
      <c r="CF1142" s="72"/>
      <c r="CG1142" s="72"/>
      <c r="CH1142" s="72"/>
      <c r="CI1142" s="72"/>
      <c r="CJ1142" s="72"/>
      <c r="CK1142" s="72"/>
      <c r="CL1142" s="72"/>
      <c r="CM1142" s="72"/>
      <c r="CN1142" s="72"/>
      <c r="CO1142" s="72"/>
      <c r="CP1142" s="72"/>
      <c r="CQ1142" s="72"/>
      <c r="CR1142" s="72"/>
      <c r="CS1142" s="72"/>
      <c r="CT1142" s="72"/>
      <c r="CU1142" s="72"/>
      <c r="CV1142" s="72"/>
      <c r="CW1142" s="72"/>
      <c r="CX1142" s="72"/>
      <c r="CY1142" s="72"/>
      <c r="CZ1142" s="72"/>
      <c r="DA1142" s="72"/>
      <c r="DB1142" s="72"/>
      <c r="DC1142" s="72"/>
      <c r="DD1142" s="72"/>
      <c r="DE1142" s="72"/>
      <c r="DF1142" s="72"/>
      <c r="DG1142" s="72"/>
      <c r="DH1142" s="72"/>
      <c r="DI1142" s="72"/>
      <c r="DJ1142" s="72"/>
      <c r="DK1142" s="72"/>
      <c r="DL1142" s="72"/>
      <c r="DM1142" s="72"/>
      <c r="DN1142" s="72"/>
      <c r="DO1142" s="72"/>
      <c r="DP1142" s="72"/>
      <c r="DQ1142" s="72"/>
      <c r="DR1142" s="72"/>
      <c r="DS1142" s="72"/>
      <c r="DT1142" s="72"/>
      <c r="DU1142" s="72"/>
      <c r="DV1142" s="72"/>
      <c r="DW1142" s="72"/>
      <c r="DX1142" s="72"/>
      <c r="DY1142" s="72"/>
      <c r="DZ1142" s="72"/>
      <c r="EA1142" s="72"/>
      <c r="EB1142" s="72"/>
      <c r="EC1142" s="72"/>
      <c r="ED1142" s="72"/>
      <c r="EE1142" s="72"/>
      <c r="EF1142" s="72"/>
      <c r="EG1142" s="72"/>
      <c r="EH1142" s="72"/>
      <c r="EI1142" s="72"/>
      <c r="EJ1142" s="72"/>
      <c r="EK1142" s="72"/>
      <c r="EL1142" s="72"/>
    </row>
    <row r="1143" spans="1:143" x14ac:dyDescent="0.25">
      <c r="A1143" s="369">
        <v>1</v>
      </c>
      <c r="B1143" s="369">
        <v>4391</v>
      </c>
      <c r="C1143" s="371" t="s">
        <v>342</v>
      </c>
      <c r="D1143" s="384">
        <v>998.1</v>
      </c>
      <c r="E1143" s="369" t="s">
        <v>68</v>
      </c>
      <c r="F1143" s="369">
        <v>2</v>
      </c>
      <c r="G1143" s="145"/>
      <c r="H1143" s="87" t="s">
        <v>66</v>
      </c>
      <c r="I1143" s="223">
        <f>SUM(I1144:I1145)</f>
        <v>168404.42</v>
      </c>
      <c r="J1143" s="223">
        <f>SUM(J1144:J1145)</f>
        <v>168.72</v>
      </c>
      <c r="K1143" s="223">
        <f>SUM(K1144:K1145)</f>
        <v>179</v>
      </c>
    </row>
    <row r="1144" spans="1:143" ht="63" x14ac:dyDescent="0.25">
      <c r="A1144" s="370"/>
      <c r="B1144" s="370"/>
      <c r="C1144" s="372"/>
      <c r="D1144" s="385"/>
      <c r="E1144" s="370"/>
      <c r="F1144" s="370"/>
      <c r="G1144" s="145" t="s">
        <v>70</v>
      </c>
      <c r="H1144" s="149" t="s">
        <v>168</v>
      </c>
      <c r="I1144" s="223">
        <v>128056.23</v>
      </c>
      <c r="J1144" s="223">
        <f>I1144/D1143</f>
        <v>128.30000000000001</v>
      </c>
      <c r="K1144" s="223">
        <f>116+21</f>
        <v>137</v>
      </c>
    </row>
    <row r="1145" spans="1:143" ht="63" x14ac:dyDescent="0.25">
      <c r="A1145" s="370"/>
      <c r="B1145" s="370"/>
      <c r="C1145" s="372"/>
      <c r="D1145" s="385"/>
      <c r="E1145" s="370"/>
      <c r="F1145" s="370"/>
      <c r="G1145" s="145" t="s">
        <v>71</v>
      </c>
      <c r="H1145" s="149" t="s">
        <v>168</v>
      </c>
      <c r="I1145" s="223">
        <v>40348.19</v>
      </c>
      <c r="J1145" s="223">
        <f>I1145/D1143</f>
        <v>40.42</v>
      </c>
      <c r="K1145" s="223">
        <f>21+21</f>
        <v>42</v>
      </c>
    </row>
    <row r="1146" spans="1:143" x14ac:dyDescent="0.25">
      <c r="A1146" s="369">
        <f>A1143+1</f>
        <v>2</v>
      </c>
      <c r="B1146" s="369">
        <v>4552</v>
      </c>
      <c r="C1146" s="371" t="s">
        <v>343</v>
      </c>
      <c r="D1146" s="384">
        <v>301.45999999999998</v>
      </c>
      <c r="E1146" s="369" t="s">
        <v>68</v>
      </c>
      <c r="F1146" s="369">
        <v>2</v>
      </c>
      <c r="G1146" s="307" t="s">
        <v>65</v>
      </c>
      <c r="H1146" s="87" t="s">
        <v>66</v>
      </c>
      <c r="I1146" s="223">
        <f>SUM(I1147:I1147)</f>
        <v>71046.59</v>
      </c>
      <c r="J1146" s="223">
        <f>SUM(J1147:J1147)</f>
        <v>235.68</v>
      </c>
      <c r="K1146" s="223">
        <f>SUM(K1147:K1147)</f>
        <v>247</v>
      </c>
    </row>
    <row r="1147" spans="1:143" ht="63" x14ac:dyDescent="0.25">
      <c r="A1147" s="370"/>
      <c r="B1147" s="370"/>
      <c r="C1147" s="372"/>
      <c r="D1147" s="385"/>
      <c r="E1147" s="370"/>
      <c r="F1147" s="370"/>
      <c r="G1147" s="309"/>
      <c r="H1147" s="149" t="s">
        <v>178</v>
      </c>
      <c r="I1147" s="223">
        <v>71046.59</v>
      </c>
      <c r="J1147" s="223">
        <f>I1147/D1146</f>
        <v>235.68</v>
      </c>
      <c r="K1147" s="223">
        <f>151+96</f>
        <v>247</v>
      </c>
    </row>
    <row r="1148" spans="1:143" x14ac:dyDescent="0.25">
      <c r="A1148" s="369">
        <f>A1146+1</f>
        <v>3</v>
      </c>
      <c r="B1148" s="369">
        <v>4554</v>
      </c>
      <c r="C1148" s="371" t="s">
        <v>344</v>
      </c>
      <c r="D1148" s="384">
        <v>304.41000000000003</v>
      </c>
      <c r="E1148" s="369" t="s">
        <v>68</v>
      </c>
      <c r="F1148" s="369">
        <v>2</v>
      </c>
      <c r="G1148" s="145"/>
      <c r="H1148" s="87" t="s">
        <v>66</v>
      </c>
      <c r="I1148" s="223">
        <f>SUM(I1149:I1154)</f>
        <v>1115883.3400000001</v>
      </c>
      <c r="J1148" s="223">
        <f t="shared" ref="J1148:K1148" si="54">SUM(J1149:J1154)</f>
        <v>3665.72</v>
      </c>
      <c r="K1148" s="223">
        <f t="shared" si="54"/>
        <v>3676</v>
      </c>
    </row>
    <row r="1149" spans="1:143" ht="63" x14ac:dyDescent="0.25">
      <c r="A1149" s="370"/>
      <c r="B1149" s="370"/>
      <c r="C1149" s="372"/>
      <c r="D1149" s="385"/>
      <c r="E1149" s="370"/>
      <c r="F1149" s="370"/>
      <c r="G1149" s="307" t="s">
        <v>70</v>
      </c>
      <c r="H1149" s="149" t="s">
        <v>168</v>
      </c>
      <c r="I1149" s="223">
        <v>39055.800000000003</v>
      </c>
      <c r="J1149" s="223">
        <f>I1149/D1148</f>
        <v>128.30000000000001</v>
      </c>
      <c r="K1149" s="223">
        <f>116+21</f>
        <v>137</v>
      </c>
    </row>
    <row r="1150" spans="1:143" x14ac:dyDescent="0.25">
      <c r="A1150" s="370"/>
      <c r="B1150" s="370"/>
      <c r="C1150" s="372"/>
      <c r="D1150" s="385"/>
      <c r="E1150" s="370"/>
      <c r="F1150" s="370"/>
      <c r="G1150" s="308"/>
      <c r="H1150" s="87" t="s">
        <v>67</v>
      </c>
      <c r="I1150" s="223">
        <f>D1148*K1150</f>
        <v>886137.51</v>
      </c>
      <c r="J1150" s="223">
        <f>I1150/D1148</f>
        <v>2911</v>
      </c>
      <c r="K1150" s="230">
        <v>2911</v>
      </c>
    </row>
    <row r="1151" spans="1:143" x14ac:dyDescent="0.25">
      <c r="A1151" s="370"/>
      <c r="B1151" s="370"/>
      <c r="C1151" s="372"/>
      <c r="D1151" s="385"/>
      <c r="E1151" s="370"/>
      <c r="F1151" s="370"/>
      <c r="G1151" s="309"/>
      <c r="H1151" s="87" t="s">
        <v>69</v>
      </c>
      <c r="I1151" s="223">
        <f>D1148*K1151</f>
        <v>18873.419999999998</v>
      </c>
      <c r="J1151" s="223">
        <f>I1151/D1148</f>
        <v>62</v>
      </c>
      <c r="K1151" s="230">
        <v>62</v>
      </c>
    </row>
    <row r="1152" spans="1:143" ht="63" x14ac:dyDescent="0.25">
      <c r="A1152" s="370"/>
      <c r="B1152" s="370"/>
      <c r="C1152" s="372"/>
      <c r="D1152" s="385"/>
      <c r="E1152" s="370"/>
      <c r="F1152" s="370"/>
      <c r="G1152" s="307" t="s">
        <v>71</v>
      </c>
      <c r="H1152" s="149" t="s">
        <v>168</v>
      </c>
      <c r="I1152" s="223">
        <v>12305.77</v>
      </c>
      <c r="J1152" s="223">
        <f>I1152/D1148</f>
        <v>40.42</v>
      </c>
      <c r="K1152" s="223">
        <f>21+21</f>
        <v>42</v>
      </c>
    </row>
    <row r="1153" spans="1:11" x14ac:dyDescent="0.25">
      <c r="A1153" s="370"/>
      <c r="B1153" s="370"/>
      <c r="C1153" s="372"/>
      <c r="D1153" s="385"/>
      <c r="E1153" s="370"/>
      <c r="F1153" s="370"/>
      <c r="G1153" s="308"/>
      <c r="H1153" s="87" t="s">
        <v>67</v>
      </c>
      <c r="I1153" s="223">
        <f>D1148*K1153</f>
        <v>156162.32999999999</v>
      </c>
      <c r="J1153" s="223">
        <f>I1153/D1148</f>
        <v>513</v>
      </c>
      <c r="K1153" s="230">
        <v>513</v>
      </c>
    </row>
    <row r="1154" spans="1:11" x14ac:dyDescent="0.25">
      <c r="A1154" s="370"/>
      <c r="B1154" s="370"/>
      <c r="C1154" s="372"/>
      <c r="D1154" s="385"/>
      <c r="E1154" s="370"/>
      <c r="F1154" s="370"/>
      <c r="G1154" s="309"/>
      <c r="H1154" s="87" t="s">
        <v>69</v>
      </c>
      <c r="I1154" s="223">
        <f>D1148*K1154</f>
        <v>3348.51</v>
      </c>
      <c r="J1154" s="223">
        <f>I1154/D1148</f>
        <v>11</v>
      </c>
      <c r="K1154" s="230">
        <v>11</v>
      </c>
    </row>
    <row r="1155" spans="1:11" x14ac:dyDescent="0.25">
      <c r="A1155" s="369">
        <f>A1148+1</f>
        <v>4</v>
      </c>
      <c r="B1155" s="369">
        <v>4486</v>
      </c>
      <c r="C1155" s="371" t="s">
        <v>345</v>
      </c>
      <c r="D1155" s="384">
        <v>285.2</v>
      </c>
      <c r="E1155" s="369" t="s">
        <v>68</v>
      </c>
      <c r="F1155" s="369">
        <v>2</v>
      </c>
      <c r="G1155" s="145"/>
      <c r="H1155" s="87" t="s">
        <v>66</v>
      </c>
      <c r="I1155" s="223">
        <f>SUM(I1156:I1157)</f>
        <v>92041.17</v>
      </c>
      <c r="J1155" s="223">
        <f>SUM(J1156:J1157)</f>
        <v>322.73</v>
      </c>
      <c r="K1155" s="223">
        <f>SUM(K1156:K1157)</f>
        <v>333</v>
      </c>
    </row>
    <row r="1156" spans="1:11" ht="63" x14ac:dyDescent="0.25">
      <c r="A1156" s="370"/>
      <c r="B1156" s="370"/>
      <c r="C1156" s="372"/>
      <c r="D1156" s="385"/>
      <c r="E1156" s="370"/>
      <c r="F1156" s="370"/>
      <c r="G1156" s="145" t="s">
        <v>70</v>
      </c>
      <c r="H1156" s="149" t="s">
        <v>168</v>
      </c>
      <c r="I1156" s="223">
        <v>58551.56</v>
      </c>
      <c r="J1156" s="223">
        <f>I1156/D1155</f>
        <v>205.3</v>
      </c>
      <c r="K1156" s="230">
        <f>116+98</f>
        <v>214</v>
      </c>
    </row>
    <row r="1157" spans="1:11" ht="63" x14ac:dyDescent="0.25">
      <c r="A1157" s="370"/>
      <c r="B1157" s="370"/>
      <c r="C1157" s="372"/>
      <c r="D1157" s="385"/>
      <c r="E1157" s="370"/>
      <c r="F1157" s="370"/>
      <c r="G1157" s="145" t="s">
        <v>71</v>
      </c>
      <c r="H1157" s="149" t="s">
        <v>168</v>
      </c>
      <c r="I1157" s="223">
        <v>33489.61</v>
      </c>
      <c r="J1157" s="223">
        <f>I1157/D1155</f>
        <v>117.43</v>
      </c>
      <c r="K1157" s="223">
        <f>21+98</f>
        <v>119</v>
      </c>
    </row>
    <row r="1158" spans="1:11" x14ac:dyDescent="0.25">
      <c r="A1158" s="369">
        <f>A1155+1</f>
        <v>5</v>
      </c>
      <c r="B1158" s="369">
        <v>4616</v>
      </c>
      <c r="C1158" s="371" t="s">
        <v>346</v>
      </c>
      <c r="D1158" s="384">
        <v>404.18</v>
      </c>
      <c r="E1158" s="369" t="s">
        <v>68</v>
      </c>
      <c r="F1158" s="369">
        <v>2</v>
      </c>
      <c r="G1158" s="307" t="s">
        <v>65</v>
      </c>
      <c r="H1158" s="87" t="s">
        <v>66</v>
      </c>
      <c r="I1158" s="223">
        <f>SUM(I1159:I1159)</f>
        <v>95255.12</v>
      </c>
      <c r="J1158" s="223">
        <f>SUM(J1159:J1159)</f>
        <v>235.67</v>
      </c>
      <c r="K1158" s="223">
        <f>SUM(K1159:K1159)</f>
        <v>247</v>
      </c>
    </row>
    <row r="1159" spans="1:11" ht="63" x14ac:dyDescent="0.25">
      <c r="A1159" s="370"/>
      <c r="B1159" s="370"/>
      <c r="C1159" s="372"/>
      <c r="D1159" s="385"/>
      <c r="E1159" s="370"/>
      <c r="F1159" s="370"/>
      <c r="G1159" s="309"/>
      <c r="H1159" s="149" t="s">
        <v>178</v>
      </c>
      <c r="I1159" s="223">
        <v>95255.12</v>
      </c>
      <c r="J1159" s="223">
        <f>I1159/D1158</f>
        <v>235.67</v>
      </c>
      <c r="K1159" s="223">
        <f>151+96</f>
        <v>247</v>
      </c>
    </row>
    <row r="1160" spans="1:11" x14ac:dyDescent="0.25">
      <c r="A1160" s="437">
        <v>6</v>
      </c>
      <c r="B1160" s="437">
        <v>4399</v>
      </c>
      <c r="C1160" s="348" t="s">
        <v>431</v>
      </c>
      <c r="D1160" s="439">
        <v>351</v>
      </c>
      <c r="E1160" s="369" t="s">
        <v>68</v>
      </c>
      <c r="F1160" s="369">
        <v>2</v>
      </c>
      <c r="G1160" s="307" t="s">
        <v>65</v>
      </c>
      <c r="H1160" s="87" t="s">
        <v>66</v>
      </c>
      <c r="I1160" s="223">
        <f>SUM(I1161:I1161)</f>
        <v>82721.929999999993</v>
      </c>
      <c r="J1160" s="223">
        <f>SUM(J1161:J1161)</f>
        <v>235.68</v>
      </c>
      <c r="K1160" s="223">
        <f>SUM(K1161:K1161)</f>
        <v>247</v>
      </c>
    </row>
    <row r="1161" spans="1:11" ht="63" x14ac:dyDescent="0.25">
      <c r="A1161" s="438"/>
      <c r="B1161" s="438"/>
      <c r="C1161" s="349"/>
      <c r="D1161" s="440"/>
      <c r="E1161" s="370"/>
      <c r="F1161" s="370"/>
      <c r="G1161" s="309"/>
      <c r="H1161" s="149" t="s">
        <v>178</v>
      </c>
      <c r="I1161" s="223">
        <v>82721.929999999993</v>
      </c>
      <c r="J1161" s="223">
        <f>I1161/D1160</f>
        <v>235.68</v>
      </c>
      <c r="K1161" s="223">
        <f>151+96</f>
        <v>247</v>
      </c>
    </row>
    <row r="1162" spans="1:11" x14ac:dyDescent="0.25">
      <c r="A1162" s="307">
        <f>A1160+1</f>
        <v>7</v>
      </c>
      <c r="B1162" s="307">
        <v>4429</v>
      </c>
      <c r="C1162" s="315" t="s">
        <v>432</v>
      </c>
      <c r="D1162" s="318">
        <v>2632.73</v>
      </c>
      <c r="E1162" s="307" t="s">
        <v>68</v>
      </c>
      <c r="F1162" s="307">
        <v>5</v>
      </c>
      <c r="G1162" s="307" t="s">
        <v>65</v>
      </c>
      <c r="H1162" s="87" t="s">
        <v>66</v>
      </c>
      <c r="I1162" s="223">
        <f>I1163+I1164</f>
        <v>7100735.6299999999</v>
      </c>
      <c r="J1162" s="223">
        <f>J1163+J1164</f>
        <v>2697.1</v>
      </c>
      <c r="K1162" s="223">
        <f>K1163+K1164</f>
        <v>3878</v>
      </c>
    </row>
    <row r="1163" spans="1:11" x14ac:dyDescent="0.25">
      <c r="A1163" s="308"/>
      <c r="B1163" s="308"/>
      <c r="C1163" s="317"/>
      <c r="D1163" s="319"/>
      <c r="E1163" s="308"/>
      <c r="F1163" s="308"/>
      <c r="G1163" s="308"/>
      <c r="H1163" s="87" t="s">
        <v>67</v>
      </c>
      <c r="I1163" s="223">
        <v>6951963.6100000003</v>
      </c>
      <c r="J1163" s="223">
        <f>I1163/D1162</f>
        <v>2640.59</v>
      </c>
      <c r="K1163" s="223">
        <v>3797</v>
      </c>
    </row>
    <row r="1164" spans="1:11" x14ac:dyDescent="0.25">
      <c r="A1164" s="309"/>
      <c r="B1164" s="309"/>
      <c r="C1164" s="316"/>
      <c r="D1164" s="329"/>
      <c r="E1164" s="309"/>
      <c r="F1164" s="309"/>
      <c r="G1164" s="309"/>
      <c r="H1164" s="87" t="s">
        <v>69</v>
      </c>
      <c r="I1164" s="223">
        <f>I1163*0.0214</f>
        <v>148772.01999999999</v>
      </c>
      <c r="J1164" s="223">
        <f>I1164/D1162</f>
        <v>56.51</v>
      </c>
      <c r="K1164" s="223">
        <v>81</v>
      </c>
    </row>
    <row r="1165" spans="1:11" x14ac:dyDescent="0.25">
      <c r="A1165" s="307">
        <f>A1162+1</f>
        <v>8</v>
      </c>
      <c r="B1165" s="369">
        <v>4437</v>
      </c>
      <c r="C1165" s="371" t="s">
        <v>347</v>
      </c>
      <c r="D1165" s="384">
        <v>965.1</v>
      </c>
      <c r="E1165" s="369" t="s">
        <v>68</v>
      </c>
      <c r="F1165" s="369">
        <v>2</v>
      </c>
      <c r="G1165" s="307" t="s">
        <v>65</v>
      </c>
      <c r="H1165" s="87" t="s">
        <v>66</v>
      </c>
      <c r="I1165" s="223">
        <f>SUM(I1166:I1166)</f>
        <v>227449.94</v>
      </c>
      <c r="J1165" s="223">
        <f>SUM(J1166:J1166)</f>
        <v>235.67</v>
      </c>
      <c r="K1165" s="223">
        <f>SUM(K1166:K1166)</f>
        <v>247</v>
      </c>
    </row>
    <row r="1166" spans="1:11" ht="63" x14ac:dyDescent="0.25">
      <c r="A1166" s="308"/>
      <c r="B1166" s="370"/>
      <c r="C1166" s="372"/>
      <c r="D1166" s="385"/>
      <c r="E1166" s="370"/>
      <c r="F1166" s="370"/>
      <c r="G1166" s="309"/>
      <c r="H1166" s="149" t="s">
        <v>178</v>
      </c>
      <c r="I1166" s="223">
        <v>227449.94</v>
      </c>
      <c r="J1166" s="223">
        <f>I1166/D1165</f>
        <v>235.67</v>
      </c>
      <c r="K1166" s="223">
        <f>151+96</f>
        <v>247</v>
      </c>
    </row>
    <row r="1167" spans="1:11" x14ac:dyDescent="0.25">
      <c r="A1167" s="310">
        <f>A1165+1</f>
        <v>9</v>
      </c>
      <c r="B1167" s="376">
        <v>4438</v>
      </c>
      <c r="C1167" s="390" t="s">
        <v>662</v>
      </c>
      <c r="D1167" s="413">
        <v>986.2</v>
      </c>
      <c r="E1167" s="376" t="s">
        <v>68</v>
      </c>
      <c r="F1167" s="376">
        <v>2</v>
      </c>
      <c r="G1167" s="310" t="s">
        <v>65</v>
      </c>
      <c r="H1167" s="91" t="s">
        <v>66</v>
      </c>
      <c r="I1167" s="229">
        <f>I1168</f>
        <v>243591.4</v>
      </c>
      <c r="J1167" s="229">
        <f>J1168</f>
        <v>247</v>
      </c>
      <c r="K1167" s="229">
        <f>K1168</f>
        <v>247</v>
      </c>
    </row>
    <row r="1168" spans="1:11" ht="63" x14ac:dyDescent="0.25">
      <c r="A1168" s="310"/>
      <c r="B1168" s="376"/>
      <c r="C1168" s="390"/>
      <c r="D1168" s="413"/>
      <c r="E1168" s="376"/>
      <c r="F1168" s="376"/>
      <c r="G1168" s="310"/>
      <c r="H1168" s="91" t="s">
        <v>168</v>
      </c>
      <c r="I1168" s="229">
        <f>K1168*D1167</f>
        <v>243591.4</v>
      </c>
      <c r="J1168" s="229">
        <f>I1168/D1167</f>
        <v>247</v>
      </c>
      <c r="K1168" s="223">
        <f>151+96</f>
        <v>247</v>
      </c>
    </row>
    <row r="1169" spans="1:11" x14ac:dyDescent="0.25">
      <c r="A1169" s="369">
        <f>A1167+1</f>
        <v>10</v>
      </c>
      <c r="B1169" s="369">
        <v>8083</v>
      </c>
      <c r="C1169" s="371" t="s">
        <v>348</v>
      </c>
      <c r="D1169" s="384">
        <v>325.16000000000003</v>
      </c>
      <c r="E1169" s="318" t="s">
        <v>167</v>
      </c>
      <c r="F1169" s="369">
        <v>2</v>
      </c>
      <c r="G1169" s="307" t="s">
        <v>70</v>
      </c>
      <c r="H1169" s="87" t="s">
        <v>66</v>
      </c>
      <c r="I1169" s="223">
        <f>SUM(I1170:I1171)</f>
        <v>686791.35</v>
      </c>
      <c r="J1169" s="223">
        <f>SUM(J1170:J1171)</f>
        <v>2112.16</v>
      </c>
      <c r="K1169" s="223">
        <f>SUM(K1170:K1171)</f>
        <v>2973</v>
      </c>
    </row>
    <row r="1170" spans="1:11" ht="15.75" customHeight="1" x14ac:dyDescent="0.25">
      <c r="A1170" s="370"/>
      <c r="B1170" s="370"/>
      <c r="C1170" s="372"/>
      <c r="D1170" s="385"/>
      <c r="E1170" s="319"/>
      <c r="F1170" s="370"/>
      <c r="G1170" s="308"/>
      <c r="H1170" s="87" t="s">
        <v>67</v>
      </c>
      <c r="I1170" s="223">
        <v>672401.95</v>
      </c>
      <c r="J1170" s="223">
        <f>I1170/D1169</f>
        <v>2067.91</v>
      </c>
      <c r="K1170" s="230">
        <v>2911</v>
      </c>
    </row>
    <row r="1171" spans="1:11" x14ac:dyDescent="0.25">
      <c r="A1171" s="370"/>
      <c r="B1171" s="370"/>
      <c r="C1171" s="372"/>
      <c r="D1171" s="385"/>
      <c r="E1171" s="329"/>
      <c r="F1171" s="370"/>
      <c r="G1171" s="309"/>
      <c r="H1171" s="87" t="s">
        <v>69</v>
      </c>
      <c r="I1171" s="223">
        <v>14389.4</v>
      </c>
      <c r="J1171" s="223">
        <f>I1171/D1169</f>
        <v>44.25</v>
      </c>
      <c r="K1171" s="230">
        <v>62</v>
      </c>
    </row>
    <row r="1172" spans="1:11" ht="15.75" customHeight="1" x14ac:dyDescent="0.25">
      <c r="A1172" s="307">
        <f>A1169+1</f>
        <v>11</v>
      </c>
      <c r="B1172" s="307">
        <v>4478</v>
      </c>
      <c r="C1172" s="315" t="s">
        <v>115</v>
      </c>
      <c r="D1172" s="318">
        <v>2933.1</v>
      </c>
      <c r="E1172" s="307" t="s">
        <v>64</v>
      </c>
      <c r="F1172" s="307">
        <v>5</v>
      </c>
      <c r="G1172" s="307" t="s">
        <v>75</v>
      </c>
      <c r="H1172" s="87" t="s">
        <v>66</v>
      </c>
      <c r="I1172" s="223">
        <f>I1173+I1174+I1175+I1176</f>
        <v>10979952.140000001</v>
      </c>
      <c r="J1172" s="223">
        <f>J1173+J1174+J1175+J1176</f>
        <v>3743.46</v>
      </c>
      <c r="K1172" s="223">
        <f>K1173+K1174+K1175+K1176</f>
        <v>7631</v>
      </c>
    </row>
    <row r="1173" spans="1:11" x14ac:dyDescent="0.25">
      <c r="A1173" s="308"/>
      <c r="B1173" s="308"/>
      <c r="C1173" s="317"/>
      <c r="D1173" s="319"/>
      <c r="E1173" s="308"/>
      <c r="F1173" s="308"/>
      <c r="G1173" s="308"/>
      <c r="H1173" s="87" t="s">
        <v>67</v>
      </c>
      <c r="I1173" s="223">
        <f>(2865697+10034.46)*1.02*1.2</f>
        <v>3519895.31</v>
      </c>
      <c r="J1173" s="223">
        <f>I1173/D1172</f>
        <v>1200.06</v>
      </c>
      <c r="K1173" s="223">
        <v>1733</v>
      </c>
    </row>
    <row r="1174" spans="1:11" x14ac:dyDescent="0.25">
      <c r="A1174" s="308"/>
      <c r="B1174" s="308"/>
      <c r="C1174" s="317"/>
      <c r="D1174" s="319"/>
      <c r="E1174" s="308"/>
      <c r="F1174" s="308"/>
      <c r="G1174" s="308"/>
      <c r="H1174" s="87" t="s">
        <v>69</v>
      </c>
      <c r="I1174" s="223">
        <f>I1173*0.0214</f>
        <v>75325.759999999995</v>
      </c>
      <c r="J1174" s="223">
        <f>I1174/D1172</f>
        <v>25.68</v>
      </c>
      <c r="K1174" s="223">
        <v>37</v>
      </c>
    </row>
    <row r="1175" spans="1:11" x14ac:dyDescent="0.25">
      <c r="A1175" s="308"/>
      <c r="B1175" s="308"/>
      <c r="C1175" s="317"/>
      <c r="D1175" s="319"/>
      <c r="E1175" s="308"/>
      <c r="F1175" s="308"/>
      <c r="G1175" s="308"/>
      <c r="H1175" s="87" t="s">
        <v>179</v>
      </c>
      <c r="I1175" s="223">
        <v>7230008.8799999999</v>
      </c>
      <c r="J1175" s="223">
        <f>I1175/D1172</f>
        <v>2464.9699999999998</v>
      </c>
      <c r="K1175" s="223">
        <v>5738</v>
      </c>
    </row>
    <row r="1176" spans="1:11" x14ac:dyDescent="0.25">
      <c r="A1176" s="309"/>
      <c r="B1176" s="309"/>
      <c r="C1176" s="316"/>
      <c r="D1176" s="329"/>
      <c r="E1176" s="309"/>
      <c r="F1176" s="309"/>
      <c r="G1176" s="309"/>
      <c r="H1176" s="87" t="s">
        <v>69</v>
      </c>
      <c r="I1176" s="223">
        <v>154722.19</v>
      </c>
      <c r="J1176" s="223">
        <f>I1176/D1172</f>
        <v>52.75</v>
      </c>
      <c r="K1176" s="223">
        <v>123</v>
      </c>
    </row>
    <row r="1177" spans="1:11" x14ac:dyDescent="0.25">
      <c r="A1177" s="307">
        <f>A1172+1</f>
        <v>12</v>
      </c>
      <c r="B1177" s="359">
        <v>4440</v>
      </c>
      <c r="C1177" s="371" t="s">
        <v>349</v>
      </c>
      <c r="D1177" s="291">
        <v>386.57</v>
      </c>
      <c r="E1177" s="359" t="s">
        <v>68</v>
      </c>
      <c r="F1177" s="359">
        <v>2</v>
      </c>
      <c r="G1177" s="307" t="s">
        <v>65</v>
      </c>
      <c r="H1177" s="87" t="s">
        <v>66</v>
      </c>
      <c r="I1177" s="223">
        <f>SUM(I1178:I1180)</f>
        <v>3063055.04</v>
      </c>
      <c r="J1177" s="223">
        <f t="shared" ref="J1177:K1177" si="55">SUM(J1178:J1180)</f>
        <v>7923.67</v>
      </c>
      <c r="K1177" s="223">
        <f t="shared" si="55"/>
        <v>7935</v>
      </c>
    </row>
    <row r="1178" spans="1:11" ht="63" x14ac:dyDescent="0.25">
      <c r="A1178" s="308"/>
      <c r="B1178" s="360"/>
      <c r="C1178" s="372"/>
      <c r="D1178" s="292"/>
      <c r="E1178" s="360"/>
      <c r="F1178" s="360"/>
      <c r="G1178" s="308"/>
      <c r="H1178" s="91" t="s">
        <v>168</v>
      </c>
      <c r="I1178" s="229">
        <v>91104.88</v>
      </c>
      <c r="J1178" s="229">
        <f>I1178/D1177</f>
        <v>235.67</v>
      </c>
      <c r="K1178" s="223">
        <f>151+96</f>
        <v>247</v>
      </c>
    </row>
    <row r="1179" spans="1:11" x14ac:dyDescent="0.25">
      <c r="A1179" s="308"/>
      <c r="B1179" s="360"/>
      <c r="C1179" s="372"/>
      <c r="D1179" s="292"/>
      <c r="E1179" s="360"/>
      <c r="F1179" s="360"/>
      <c r="G1179" s="308"/>
      <c r="H1179" s="87" t="s">
        <v>67</v>
      </c>
      <c r="I1179" s="223">
        <f>K1179*D1177</f>
        <v>2909712.39</v>
      </c>
      <c r="J1179" s="223">
        <f>I1179/D1177</f>
        <v>7527</v>
      </c>
      <c r="K1179" s="230">
        <v>7527</v>
      </c>
    </row>
    <row r="1180" spans="1:11" x14ac:dyDescent="0.25">
      <c r="A1180" s="309"/>
      <c r="B1180" s="368"/>
      <c r="C1180" s="396"/>
      <c r="D1180" s="293"/>
      <c r="E1180" s="368"/>
      <c r="F1180" s="368"/>
      <c r="G1180" s="309"/>
      <c r="H1180" s="87" t="s">
        <v>69</v>
      </c>
      <c r="I1180" s="223">
        <f>K1180*D1177</f>
        <v>62237.77</v>
      </c>
      <c r="J1180" s="223">
        <f>I1180/D1177</f>
        <v>161</v>
      </c>
      <c r="K1180" s="230">
        <v>161</v>
      </c>
    </row>
    <row r="1181" spans="1:11" x14ac:dyDescent="0.25">
      <c r="A1181" s="369">
        <f>A1177+1</f>
        <v>13</v>
      </c>
      <c r="B1181" s="369">
        <v>4480</v>
      </c>
      <c r="C1181" s="371" t="s">
        <v>350</v>
      </c>
      <c r="D1181" s="384">
        <v>385</v>
      </c>
      <c r="E1181" s="369" t="s">
        <v>68</v>
      </c>
      <c r="F1181" s="369">
        <v>2</v>
      </c>
      <c r="G1181" s="307" t="s">
        <v>65</v>
      </c>
      <c r="H1181" s="87" t="s">
        <v>66</v>
      </c>
      <c r="I1181" s="223">
        <f>SUM(I1182:I1183)</f>
        <v>2544589.5499999998</v>
      </c>
      <c r="J1181" s="223">
        <f>SUM(J1182:J1183)</f>
        <v>6609.32</v>
      </c>
      <c r="K1181" s="223">
        <f>SUM(K1182:K1183)</f>
        <v>7688</v>
      </c>
    </row>
    <row r="1182" spans="1:11" x14ac:dyDescent="0.25">
      <c r="A1182" s="370"/>
      <c r="B1182" s="370"/>
      <c r="C1182" s="372"/>
      <c r="D1182" s="385"/>
      <c r="E1182" s="370"/>
      <c r="F1182" s="370"/>
      <c r="G1182" s="308"/>
      <c r="H1182" s="87" t="s">
        <v>67</v>
      </c>
      <c r="I1182" s="223">
        <v>2491276.2400000002</v>
      </c>
      <c r="J1182" s="223">
        <f>I1182/D1181-0.01</f>
        <v>6470.84</v>
      </c>
      <c r="K1182" s="230">
        <v>7527</v>
      </c>
    </row>
    <row r="1183" spans="1:11" x14ac:dyDescent="0.25">
      <c r="A1183" s="370"/>
      <c r="B1183" s="370"/>
      <c r="C1183" s="372"/>
      <c r="D1183" s="385"/>
      <c r="E1183" s="370"/>
      <c r="F1183" s="370"/>
      <c r="G1183" s="309"/>
      <c r="H1183" s="87" t="s">
        <v>69</v>
      </c>
      <c r="I1183" s="223">
        <v>53313.31</v>
      </c>
      <c r="J1183" s="223">
        <f>I1183/D1181</f>
        <v>138.47999999999999</v>
      </c>
      <c r="K1183" s="230">
        <v>161</v>
      </c>
    </row>
    <row r="1184" spans="1:11" x14ac:dyDescent="0.25">
      <c r="A1184" s="369">
        <f>A1181+1</f>
        <v>14</v>
      </c>
      <c r="B1184" s="369">
        <v>4481</v>
      </c>
      <c r="C1184" s="371" t="s">
        <v>351</v>
      </c>
      <c r="D1184" s="384">
        <v>388.18</v>
      </c>
      <c r="E1184" s="369" t="s">
        <v>68</v>
      </c>
      <c r="F1184" s="369">
        <v>2</v>
      </c>
      <c r="G1184" s="307" t="s">
        <v>65</v>
      </c>
      <c r="H1184" s="87" t="s">
        <v>66</v>
      </c>
      <c r="I1184" s="223">
        <f>SUM(I1185:I1185)</f>
        <v>91484.32</v>
      </c>
      <c r="J1184" s="223">
        <f>SUM(J1185:J1185)</f>
        <v>235.67</v>
      </c>
      <c r="K1184" s="223">
        <f>SUM(K1185:K1185)</f>
        <v>247</v>
      </c>
    </row>
    <row r="1185" spans="1:142" ht="63" x14ac:dyDescent="0.25">
      <c r="A1185" s="370"/>
      <c r="B1185" s="370"/>
      <c r="C1185" s="372"/>
      <c r="D1185" s="385"/>
      <c r="E1185" s="370"/>
      <c r="F1185" s="370"/>
      <c r="G1185" s="309"/>
      <c r="H1185" s="149" t="s">
        <v>178</v>
      </c>
      <c r="I1185" s="223">
        <v>91484.32</v>
      </c>
      <c r="J1185" s="223">
        <f>I1185/D1184</f>
        <v>235.67</v>
      </c>
      <c r="K1185" s="223">
        <f>151+96</f>
        <v>247</v>
      </c>
    </row>
    <row r="1186" spans="1:142" x14ac:dyDescent="0.25">
      <c r="A1186" s="369">
        <f>A1184+1</f>
        <v>15</v>
      </c>
      <c r="B1186" s="369">
        <v>4532</v>
      </c>
      <c r="C1186" s="371" t="s">
        <v>352</v>
      </c>
      <c r="D1186" s="384">
        <v>317.3</v>
      </c>
      <c r="E1186" s="369" t="s">
        <v>68</v>
      </c>
      <c r="F1186" s="369">
        <v>2</v>
      </c>
      <c r="G1186" s="145"/>
      <c r="H1186" s="87" t="s">
        <v>66</v>
      </c>
      <c r="I1186" s="223">
        <f>SUM(I1187:I1190)</f>
        <v>608573.91</v>
      </c>
      <c r="J1186" s="223">
        <f>SUM(J1187:J1190)</f>
        <v>1917.98</v>
      </c>
      <c r="K1186" s="223">
        <f>SUM(K1187:K1190)</f>
        <v>3497</v>
      </c>
    </row>
    <row r="1187" spans="1:142" x14ac:dyDescent="0.25">
      <c r="A1187" s="370"/>
      <c r="B1187" s="370"/>
      <c r="C1187" s="372"/>
      <c r="D1187" s="385"/>
      <c r="E1187" s="370"/>
      <c r="F1187" s="370"/>
      <c r="G1187" s="307" t="s">
        <v>70</v>
      </c>
      <c r="H1187" s="87" t="s">
        <v>67</v>
      </c>
      <c r="I1187" s="223">
        <v>466714.55</v>
      </c>
      <c r="J1187" s="223">
        <f>I1187/D1186</f>
        <v>1470.89</v>
      </c>
      <c r="K1187" s="230">
        <v>2911</v>
      </c>
    </row>
    <row r="1188" spans="1:142" x14ac:dyDescent="0.25">
      <c r="A1188" s="370"/>
      <c r="B1188" s="370"/>
      <c r="C1188" s="372"/>
      <c r="D1188" s="385"/>
      <c r="E1188" s="370"/>
      <c r="F1188" s="370"/>
      <c r="G1188" s="309"/>
      <c r="H1188" s="87" t="s">
        <v>69</v>
      </c>
      <c r="I1188" s="223">
        <v>9987.69</v>
      </c>
      <c r="J1188" s="223">
        <f>I1188/D1186</f>
        <v>31.48</v>
      </c>
      <c r="K1188" s="230">
        <v>62</v>
      </c>
    </row>
    <row r="1189" spans="1:142" x14ac:dyDescent="0.25">
      <c r="A1189" s="370"/>
      <c r="B1189" s="370"/>
      <c r="C1189" s="372"/>
      <c r="D1189" s="385"/>
      <c r="E1189" s="370"/>
      <c r="F1189" s="370"/>
      <c r="G1189" s="307" t="s">
        <v>71</v>
      </c>
      <c r="H1189" s="87" t="s">
        <v>67</v>
      </c>
      <c r="I1189" s="223">
        <v>129108.74</v>
      </c>
      <c r="J1189" s="223">
        <f>I1189/D1186</f>
        <v>406.9</v>
      </c>
      <c r="K1189" s="230">
        <v>513</v>
      </c>
    </row>
    <row r="1190" spans="1:142" x14ac:dyDescent="0.25">
      <c r="A1190" s="395"/>
      <c r="B1190" s="395"/>
      <c r="C1190" s="396"/>
      <c r="D1190" s="412"/>
      <c r="E1190" s="395"/>
      <c r="F1190" s="395"/>
      <c r="G1190" s="309"/>
      <c r="H1190" s="87" t="s">
        <v>69</v>
      </c>
      <c r="I1190" s="223">
        <v>2762.93</v>
      </c>
      <c r="J1190" s="223">
        <f>I1190/D1186</f>
        <v>8.7100000000000009</v>
      </c>
      <c r="K1190" s="230">
        <v>11</v>
      </c>
    </row>
    <row r="1191" spans="1:142" x14ac:dyDescent="0.25">
      <c r="A1191" s="394">
        <f>A1186+1</f>
        <v>16</v>
      </c>
      <c r="B1191" s="394">
        <v>4624</v>
      </c>
      <c r="C1191" s="394" t="s">
        <v>663</v>
      </c>
      <c r="D1191" s="391">
        <v>218.4</v>
      </c>
      <c r="E1191" s="326" t="s">
        <v>68</v>
      </c>
      <c r="F1191" s="326">
        <v>2</v>
      </c>
      <c r="G1191" s="310" t="s">
        <v>65</v>
      </c>
      <c r="H1191" s="121" t="s">
        <v>66</v>
      </c>
      <c r="I1191" s="223">
        <f>I1192</f>
        <v>53944.800000000003</v>
      </c>
      <c r="J1191" s="223">
        <f>J1192</f>
        <v>247</v>
      </c>
      <c r="K1191" s="223">
        <f>K1192</f>
        <v>247</v>
      </c>
    </row>
    <row r="1192" spans="1:142" ht="63" x14ac:dyDescent="0.25">
      <c r="A1192" s="394"/>
      <c r="B1192" s="394"/>
      <c r="C1192" s="394"/>
      <c r="D1192" s="391"/>
      <c r="E1192" s="326"/>
      <c r="F1192" s="326"/>
      <c r="G1192" s="310"/>
      <c r="H1192" s="121" t="s">
        <v>168</v>
      </c>
      <c r="I1192" s="223">
        <f>K1192*D1191</f>
        <v>53944.800000000003</v>
      </c>
      <c r="J1192" s="223">
        <f>I1192/D1191</f>
        <v>247</v>
      </c>
      <c r="K1192" s="230">
        <f>151+96</f>
        <v>247</v>
      </c>
    </row>
    <row r="1193" spans="1:142" x14ac:dyDescent="0.25">
      <c r="A1193" s="86" t="s">
        <v>515</v>
      </c>
      <c r="B1193" s="214"/>
      <c r="C1193" s="157"/>
      <c r="D1193" s="151">
        <f>D1194+D1197</f>
        <v>757.6</v>
      </c>
      <c r="E1193" s="160"/>
      <c r="F1193" s="160"/>
      <c r="G1193" s="151"/>
      <c r="H1193" s="85"/>
      <c r="I1193" s="223">
        <f>I1194+I1197</f>
        <v>3002380.03</v>
      </c>
      <c r="J1193" s="223"/>
      <c r="K1193" s="223"/>
    </row>
    <row r="1194" spans="1:142" x14ac:dyDescent="0.25">
      <c r="A1194" s="326">
        <v>1</v>
      </c>
      <c r="B1194" s="326">
        <v>4784</v>
      </c>
      <c r="C1194" s="278" t="s">
        <v>514</v>
      </c>
      <c r="D1194" s="326">
        <v>381.3</v>
      </c>
      <c r="E1194" s="326" t="s">
        <v>68</v>
      </c>
      <c r="F1194" s="326">
        <v>2</v>
      </c>
      <c r="G1194" s="307" t="s">
        <v>65</v>
      </c>
      <c r="H1194" s="121" t="s">
        <v>66</v>
      </c>
      <c r="I1194" s="223">
        <f>SUM(I1195:I1196)</f>
        <v>2912651.29</v>
      </c>
      <c r="J1194" s="223">
        <f>SUM(J1195:J1196)</f>
        <v>7638.74</v>
      </c>
      <c r="K1194" s="223">
        <f>SUM(K1195:K1196)</f>
        <v>8203</v>
      </c>
    </row>
    <row r="1195" spans="1:142" x14ac:dyDescent="0.25">
      <c r="A1195" s="326"/>
      <c r="B1195" s="326"/>
      <c r="C1195" s="278"/>
      <c r="D1195" s="326"/>
      <c r="E1195" s="326"/>
      <c r="F1195" s="326"/>
      <c r="G1195" s="308"/>
      <c r="H1195" s="87" t="s">
        <v>67</v>
      </c>
      <c r="I1195" s="223">
        <v>2851626.48</v>
      </c>
      <c r="J1195" s="223">
        <f>I1195/D1194</f>
        <v>7478.7</v>
      </c>
      <c r="K1195" s="223">
        <v>8031</v>
      </c>
    </row>
    <row r="1196" spans="1:142" x14ac:dyDescent="0.25">
      <c r="A1196" s="326"/>
      <c r="B1196" s="326"/>
      <c r="C1196" s="278"/>
      <c r="D1196" s="326"/>
      <c r="E1196" s="326"/>
      <c r="F1196" s="326"/>
      <c r="G1196" s="309"/>
      <c r="H1196" s="89" t="s">
        <v>69</v>
      </c>
      <c r="I1196" s="217">
        <f>I1195*0.0214</f>
        <v>61024.81</v>
      </c>
      <c r="J1196" s="225">
        <f>I1196/D1194</f>
        <v>160.04</v>
      </c>
      <c r="K1196" s="225">
        <v>172</v>
      </c>
    </row>
    <row r="1197" spans="1:142" x14ac:dyDescent="0.25">
      <c r="A1197" s="392">
        <f>A1194+1</f>
        <v>2</v>
      </c>
      <c r="B1197" s="392">
        <v>4777</v>
      </c>
      <c r="C1197" s="408" t="s">
        <v>542</v>
      </c>
      <c r="D1197" s="392">
        <v>376.3</v>
      </c>
      <c r="E1197" s="392" t="s">
        <v>68</v>
      </c>
      <c r="F1197" s="392">
        <v>2</v>
      </c>
      <c r="G1197" s="307" t="s">
        <v>65</v>
      </c>
      <c r="H1197" s="87" t="s">
        <v>66</v>
      </c>
      <c r="I1197" s="223">
        <f>I1198</f>
        <v>89728.74</v>
      </c>
      <c r="J1197" s="223">
        <f>J1198</f>
        <v>238.45</v>
      </c>
      <c r="K1197" s="223">
        <f>K1198</f>
        <v>250</v>
      </c>
    </row>
    <row r="1198" spans="1:142" ht="63" x14ac:dyDescent="0.25">
      <c r="A1198" s="393"/>
      <c r="B1198" s="393"/>
      <c r="C1198" s="410"/>
      <c r="D1198" s="393"/>
      <c r="E1198" s="393"/>
      <c r="F1198" s="393"/>
      <c r="G1198" s="309"/>
      <c r="H1198" s="87" t="s">
        <v>168</v>
      </c>
      <c r="I1198" s="223">
        <v>89728.74</v>
      </c>
      <c r="J1198" s="223">
        <f>I1198/D1197</f>
        <v>238.45</v>
      </c>
      <c r="K1198" s="223">
        <f>154+96</f>
        <v>250</v>
      </c>
    </row>
    <row r="1199" spans="1:142" s="71" customFormat="1" x14ac:dyDescent="0.25">
      <c r="A1199" s="97" t="s">
        <v>30</v>
      </c>
      <c r="B1199" s="214"/>
      <c r="C1199" s="157"/>
      <c r="D1199" s="151">
        <f>D1200+D1205</f>
        <v>1400.2</v>
      </c>
      <c r="E1199" s="160"/>
      <c r="F1199" s="160"/>
      <c r="G1199" s="151"/>
      <c r="H1199" s="85"/>
      <c r="I1199" s="223">
        <f>I1200+I1205</f>
        <v>1918152.99</v>
      </c>
      <c r="J1199" s="223"/>
      <c r="K1199" s="223"/>
      <c r="L1199" s="72"/>
      <c r="M1199" s="72"/>
      <c r="N1199" s="72"/>
      <c r="O1199" s="72"/>
      <c r="P1199" s="72"/>
      <c r="Q1199" s="72"/>
      <c r="R1199" s="72"/>
      <c r="S1199" s="72"/>
      <c r="T1199" s="72"/>
      <c r="U1199" s="72"/>
      <c r="V1199" s="72"/>
      <c r="W1199" s="72"/>
      <c r="X1199" s="72"/>
      <c r="Y1199" s="72"/>
      <c r="Z1199" s="72"/>
      <c r="AA1199" s="72"/>
      <c r="AB1199" s="72"/>
      <c r="AC1199" s="72"/>
      <c r="AD1199" s="72"/>
      <c r="AE1199" s="72"/>
      <c r="AF1199" s="72"/>
      <c r="AG1199" s="72"/>
      <c r="AH1199" s="72"/>
      <c r="AI1199" s="72"/>
      <c r="AJ1199" s="72"/>
      <c r="AK1199" s="72"/>
      <c r="AL1199" s="72"/>
      <c r="AM1199" s="72"/>
      <c r="AN1199" s="72"/>
      <c r="AO1199" s="72"/>
      <c r="AP1199" s="72"/>
      <c r="AQ1199" s="72"/>
      <c r="AR1199" s="72"/>
      <c r="AS1199" s="72"/>
      <c r="AT1199" s="72"/>
      <c r="AU1199" s="72"/>
      <c r="AV1199" s="72"/>
      <c r="AW1199" s="72"/>
      <c r="AX1199" s="72"/>
      <c r="AY1199" s="72"/>
      <c r="AZ1199" s="72"/>
      <c r="BA1199" s="72"/>
      <c r="BB1199" s="72"/>
      <c r="BC1199" s="72"/>
      <c r="BD1199" s="72"/>
      <c r="BE1199" s="72"/>
      <c r="BF1199" s="72"/>
      <c r="BG1199" s="72"/>
      <c r="BH1199" s="72"/>
      <c r="BI1199" s="72"/>
      <c r="BJ1199" s="72"/>
      <c r="BK1199" s="72"/>
      <c r="BL1199" s="72"/>
      <c r="BM1199" s="72"/>
      <c r="BN1199" s="72"/>
      <c r="BO1199" s="72"/>
      <c r="BP1199" s="72"/>
      <c r="BQ1199" s="72"/>
      <c r="BR1199" s="72"/>
      <c r="BS1199" s="72"/>
      <c r="BT1199" s="72"/>
      <c r="BU1199" s="72"/>
      <c r="BV1199" s="72"/>
      <c r="BW1199" s="72"/>
      <c r="BX1199" s="72"/>
      <c r="BY1199" s="72"/>
      <c r="BZ1199" s="72"/>
      <c r="CA1199" s="72"/>
      <c r="CB1199" s="72"/>
      <c r="CC1199" s="72"/>
      <c r="CD1199" s="72"/>
      <c r="CE1199" s="72"/>
      <c r="CF1199" s="72"/>
      <c r="CG1199" s="72"/>
      <c r="CH1199" s="72"/>
      <c r="CI1199" s="72"/>
      <c r="CJ1199" s="72"/>
      <c r="CK1199" s="72"/>
      <c r="CL1199" s="72"/>
      <c r="CM1199" s="72"/>
      <c r="CN1199" s="72"/>
      <c r="CO1199" s="72"/>
      <c r="CP1199" s="72"/>
      <c r="CQ1199" s="72"/>
      <c r="CR1199" s="72"/>
      <c r="CS1199" s="72"/>
      <c r="CT1199" s="72"/>
      <c r="CU1199" s="72"/>
      <c r="CV1199" s="72"/>
      <c r="CW1199" s="72"/>
      <c r="CX1199" s="72"/>
      <c r="CY1199" s="72"/>
      <c r="CZ1199" s="72"/>
      <c r="DA1199" s="72"/>
      <c r="DB1199" s="72"/>
      <c r="DC1199" s="72"/>
      <c r="DD1199" s="72"/>
      <c r="DE1199" s="72"/>
      <c r="DF1199" s="72"/>
      <c r="DG1199" s="72"/>
      <c r="DH1199" s="72"/>
      <c r="DI1199" s="72"/>
      <c r="DJ1199" s="72"/>
      <c r="DK1199" s="72"/>
      <c r="DL1199" s="72"/>
      <c r="DM1199" s="72"/>
      <c r="DN1199" s="72"/>
      <c r="DO1199" s="72"/>
      <c r="DP1199" s="72"/>
      <c r="DQ1199" s="72"/>
      <c r="DR1199" s="72"/>
      <c r="DS1199" s="72"/>
      <c r="DT1199" s="72"/>
      <c r="DU1199" s="72"/>
      <c r="DV1199" s="72"/>
      <c r="DW1199" s="72"/>
      <c r="DX1199" s="72"/>
      <c r="DY1199" s="72"/>
      <c r="DZ1199" s="72"/>
      <c r="EA1199" s="72"/>
      <c r="EB1199" s="72"/>
      <c r="EC1199" s="72"/>
      <c r="ED1199" s="72"/>
      <c r="EE1199" s="72"/>
      <c r="EF1199" s="72"/>
      <c r="EG1199" s="72"/>
      <c r="EH1199" s="72"/>
      <c r="EI1199" s="72"/>
      <c r="EJ1199" s="72"/>
      <c r="EK1199" s="72"/>
      <c r="EL1199" s="72"/>
    </row>
    <row r="1200" spans="1:142" s="71" customFormat="1" x14ac:dyDescent="0.25">
      <c r="A1200" s="392">
        <v>1</v>
      </c>
      <c r="B1200" s="392">
        <v>6711</v>
      </c>
      <c r="C1200" s="408" t="s">
        <v>459</v>
      </c>
      <c r="D1200" s="392">
        <v>721.7</v>
      </c>
      <c r="E1200" s="392" t="s">
        <v>68</v>
      </c>
      <c r="F1200" s="392">
        <v>2</v>
      </c>
      <c r="G1200" s="156"/>
      <c r="H1200" s="87" t="s">
        <v>66</v>
      </c>
      <c r="I1200" s="223">
        <f>SUM(I1201:I1204)</f>
        <v>1748527.99</v>
      </c>
      <c r="J1200" s="223">
        <f>SUM(J1201:J1204)</f>
        <v>2422.79</v>
      </c>
      <c r="K1200" s="223">
        <f>SUM(K1201:K1204)</f>
        <v>3568</v>
      </c>
      <c r="L1200" s="72"/>
      <c r="M1200" s="72"/>
      <c r="N1200" s="72"/>
      <c r="O1200" s="72"/>
      <c r="P1200" s="72"/>
      <c r="Q1200" s="72"/>
      <c r="R1200" s="72"/>
      <c r="S1200" s="72"/>
      <c r="T1200" s="72"/>
      <c r="U1200" s="72"/>
      <c r="V1200" s="72"/>
      <c r="W1200" s="72"/>
      <c r="X1200" s="72"/>
      <c r="Y1200" s="72"/>
      <c r="Z1200" s="72"/>
      <c r="AA1200" s="72"/>
      <c r="AB1200" s="72"/>
      <c r="AC1200" s="72"/>
      <c r="AD1200" s="72"/>
      <c r="AE1200" s="72"/>
      <c r="AF1200" s="72"/>
      <c r="AG1200" s="72"/>
      <c r="AH1200" s="72"/>
      <c r="AI1200" s="72"/>
      <c r="AJ1200" s="72"/>
      <c r="AK1200" s="72"/>
      <c r="AL1200" s="72"/>
      <c r="AM1200" s="72"/>
      <c r="AN1200" s="72"/>
      <c r="AO1200" s="72"/>
      <c r="AP1200" s="72"/>
      <c r="AQ1200" s="72"/>
      <c r="AR1200" s="72"/>
      <c r="AS1200" s="72"/>
      <c r="AT1200" s="72"/>
      <c r="AU1200" s="72"/>
      <c r="AV1200" s="72"/>
      <c r="AW1200" s="72"/>
      <c r="AX1200" s="72"/>
      <c r="AY1200" s="72"/>
      <c r="AZ1200" s="72"/>
      <c r="BA1200" s="72"/>
      <c r="BB1200" s="72"/>
      <c r="BC1200" s="72"/>
      <c r="BD1200" s="72"/>
      <c r="BE1200" s="72"/>
      <c r="BF1200" s="72"/>
      <c r="BG1200" s="72"/>
      <c r="BH1200" s="72"/>
      <c r="BI1200" s="72"/>
      <c r="BJ1200" s="72"/>
      <c r="BK1200" s="72"/>
      <c r="BL1200" s="72"/>
      <c r="BM1200" s="72"/>
      <c r="BN1200" s="72"/>
      <c r="BO1200" s="72"/>
      <c r="BP1200" s="72"/>
      <c r="BQ1200" s="72"/>
      <c r="BR1200" s="72"/>
      <c r="BS1200" s="72"/>
      <c r="BT1200" s="72"/>
      <c r="BU1200" s="72"/>
      <c r="BV1200" s="72"/>
      <c r="BW1200" s="72"/>
      <c r="BX1200" s="72"/>
      <c r="BY1200" s="72"/>
      <c r="BZ1200" s="72"/>
      <c r="CA1200" s="72"/>
      <c r="CB1200" s="72"/>
      <c r="CC1200" s="72"/>
      <c r="CD1200" s="72"/>
      <c r="CE1200" s="72"/>
      <c r="CF1200" s="72"/>
      <c r="CG1200" s="72"/>
      <c r="CH1200" s="72"/>
      <c r="CI1200" s="72"/>
      <c r="CJ1200" s="72"/>
      <c r="CK1200" s="72"/>
      <c r="CL1200" s="72"/>
      <c r="CM1200" s="72"/>
      <c r="CN1200" s="72"/>
      <c r="CO1200" s="72"/>
      <c r="CP1200" s="72"/>
      <c r="CQ1200" s="72"/>
      <c r="CR1200" s="72"/>
      <c r="CS1200" s="72"/>
      <c r="CT1200" s="72"/>
      <c r="CU1200" s="72"/>
      <c r="CV1200" s="72"/>
      <c r="CW1200" s="72"/>
      <c r="CX1200" s="72"/>
      <c r="CY1200" s="72"/>
      <c r="CZ1200" s="72"/>
      <c r="DA1200" s="72"/>
      <c r="DB1200" s="72"/>
      <c r="DC1200" s="72"/>
      <c r="DD1200" s="72"/>
      <c r="DE1200" s="72"/>
      <c r="DF1200" s="72"/>
      <c r="DG1200" s="72"/>
      <c r="DH1200" s="72"/>
      <c r="DI1200" s="72"/>
      <c r="DJ1200" s="72"/>
      <c r="DK1200" s="72"/>
      <c r="DL1200" s="72"/>
      <c r="DM1200" s="72"/>
      <c r="DN1200" s="72"/>
      <c r="DO1200" s="72"/>
      <c r="DP1200" s="72"/>
      <c r="DQ1200" s="72"/>
      <c r="DR1200" s="72"/>
      <c r="DS1200" s="72"/>
      <c r="DT1200" s="72"/>
      <c r="DU1200" s="72"/>
      <c r="DV1200" s="72"/>
      <c r="DW1200" s="72"/>
      <c r="DX1200" s="72"/>
      <c r="DY1200" s="72"/>
      <c r="DZ1200" s="72"/>
      <c r="EA1200" s="72"/>
      <c r="EB1200" s="72"/>
      <c r="EC1200" s="72"/>
      <c r="ED1200" s="72"/>
      <c r="EE1200" s="72"/>
      <c r="EF1200" s="72"/>
      <c r="EG1200" s="72"/>
      <c r="EH1200" s="72"/>
      <c r="EI1200" s="72"/>
      <c r="EJ1200" s="72"/>
      <c r="EK1200" s="72"/>
      <c r="EL1200" s="72"/>
    </row>
    <row r="1201" spans="1:142" s="71" customFormat="1" ht="15.75" customHeight="1" x14ac:dyDescent="0.25">
      <c r="A1201" s="407"/>
      <c r="B1201" s="407"/>
      <c r="C1201" s="409"/>
      <c r="D1201" s="407"/>
      <c r="E1201" s="407"/>
      <c r="F1201" s="407"/>
      <c r="G1201" s="392" t="s">
        <v>70</v>
      </c>
      <c r="H1201" s="87" t="s">
        <v>67</v>
      </c>
      <c r="I1201" s="223">
        <v>1429351.72</v>
      </c>
      <c r="J1201" s="223">
        <f>I1201/D1200+0.01</f>
        <v>1980.54</v>
      </c>
      <c r="K1201" s="223">
        <f>2967</f>
        <v>2967</v>
      </c>
      <c r="L1201" s="72"/>
      <c r="M1201" s="72"/>
      <c r="N1201" s="72"/>
      <c r="O1201" s="72"/>
      <c r="P1201" s="72"/>
      <c r="Q1201" s="72"/>
      <c r="R1201" s="72"/>
      <c r="S1201" s="72"/>
      <c r="T1201" s="72"/>
      <c r="U1201" s="72"/>
      <c r="V1201" s="72"/>
      <c r="W1201" s="72"/>
      <c r="X1201" s="72"/>
      <c r="Y1201" s="72"/>
      <c r="Z1201" s="72"/>
      <c r="AA1201" s="72"/>
      <c r="AB1201" s="72"/>
      <c r="AC1201" s="72"/>
      <c r="AD1201" s="72"/>
      <c r="AE1201" s="72"/>
      <c r="AF1201" s="72"/>
      <c r="AG1201" s="72"/>
      <c r="AH1201" s="72"/>
      <c r="AI1201" s="72"/>
      <c r="AJ1201" s="72"/>
      <c r="AK1201" s="72"/>
      <c r="AL1201" s="72"/>
      <c r="AM1201" s="72"/>
      <c r="AN1201" s="72"/>
      <c r="AO1201" s="72"/>
      <c r="AP1201" s="72"/>
      <c r="AQ1201" s="72"/>
      <c r="AR1201" s="72"/>
      <c r="AS1201" s="72"/>
      <c r="AT1201" s="72"/>
      <c r="AU1201" s="72"/>
      <c r="AV1201" s="72"/>
      <c r="AW1201" s="72"/>
      <c r="AX1201" s="72"/>
      <c r="AY1201" s="72"/>
      <c r="AZ1201" s="72"/>
      <c r="BA1201" s="72"/>
      <c r="BB1201" s="72"/>
      <c r="BC1201" s="72"/>
      <c r="BD1201" s="72"/>
      <c r="BE1201" s="72"/>
      <c r="BF1201" s="72"/>
      <c r="BG1201" s="72"/>
      <c r="BH1201" s="72"/>
      <c r="BI1201" s="72"/>
      <c r="BJ1201" s="72"/>
      <c r="BK1201" s="72"/>
      <c r="BL1201" s="72"/>
      <c r="BM1201" s="72"/>
      <c r="BN1201" s="72"/>
      <c r="BO1201" s="72"/>
      <c r="BP1201" s="72"/>
      <c r="BQ1201" s="72"/>
      <c r="BR1201" s="72"/>
      <c r="BS1201" s="72"/>
      <c r="BT1201" s="72"/>
      <c r="BU1201" s="72"/>
      <c r="BV1201" s="72"/>
      <c r="BW1201" s="72"/>
      <c r="BX1201" s="72"/>
      <c r="BY1201" s="72"/>
      <c r="BZ1201" s="72"/>
      <c r="CA1201" s="72"/>
      <c r="CB1201" s="72"/>
      <c r="CC1201" s="72"/>
      <c r="CD1201" s="72"/>
      <c r="CE1201" s="72"/>
      <c r="CF1201" s="72"/>
      <c r="CG1201" s="72"/>
      <c r="CH1201" s="72"/>
      <c r="CI1201" s="72"/>
      <c r="CJ1201" s="72"/>
      <c r="CK1201" s="72"/>
      <c r="CL1201" s="72"/>
      <c r="CM1201" s="72"/>
      <c r="CN1201" s="72"/>
      <c r="CO1201" s="72"/>
      <c r="CP1201" s="72"/>
      <c r="CQ1201" s="72"/>
      <c r="CR1201" s="72"/>
      <c r="CS1201" s="72"/>
      <c r="CT1201" s="72"/>
      <c r="CU1201" s="72"/>
      <c r="CV1201" s="72"/>
      <c r="CW1201" s="72"/>
      <c r="CX1201" s="72"/>
      <c r="CY1201" s="72"/>
      <c r="CZ1201" s="72"/>
      <c r="DA1201" s="72"/>
      <c r="DB1201" s="72"/>
      <c r="DC1201" s="72"/>
      <c r="DD1201" s="72"/>
      <c r="DE1201" s="72"/>
      <c r="DF1201" s="72"/>
      <c r="DG1201" s="72"/>
      <c r="DH1201" s="72"/>
      <c r="DI1201" s="72"/>
      <c r="DJ1201" s="72"/>
      <c r="DK1201" s="72"/>
      <c r="DL1201" s="72"/>
      <c r="DM1201" s="72"/>
      <c r="DN1201" s="72"/>
      <c r="DO1201" s="72"/>
      <c r="DP1201" s="72"/>
      <c r="DQ1201" s="72"/>
      <c r="DR1201" s="72"/>
      <c r="DS1201" s="72"/>
      <c r="DT1201" s="72"/>
      <c r="DU1201" s="72"/>
      <c r="DV1201" s="72"/>
      <c r="DW1201" s="72"/>
      <c r="DX1201" s="72"/>
      <c r="DY1201" s="72"/>
      <c r="DZ1201" s="72"/>
      <c r="EA1201" s="72"/>
      <c r="EB1201" s="72"/>
      <c r="EC1201" s="72"/>
      <c r="ED1201" s="72"/>
      <c r="EE1201" s="72"/>
      <c r="EF1201" s="72"/>
      <c r="EG1201" s="72"/>
      <c r="EH1201" s="72"/>
      <c r="EI1201" s="72"/>
      <c r="EJ1201" s="72"/>
      <c r="EK1201" s="72"/>
      <c r="EL1201" s="72"/>
    </row>
    <row r="1202" spans="1:142" s="71" customFormat="1" x14ac:dyDescent="0.25">
      <c r="A1202" s="407"/>
      <c r="B1202" s="407"/>
      <c r="C1202" s="409"/>
      <c r="D1202" s="407"/>
      <c r="E1202" s="407"/>
      <c r="F1202" s="407"/>
      <c r="G1202" s="393"/>
      <c r="H1202" s="87" t="s">
        <v>69</v>
      </c>
      <c r="I1202" s="223">
        <f>I1201*0.0214</f>
        <v>30588.13</v>
      </c>
      <c r="J1202" s="223">
        <f>I1202/D1200</f>
        <v>42.38</v>
      </c>
      <c r="K1202" s="223">
        <v>63</v>
      </c>
      <c r="L1202" s="72"/>
      <c r="M1202" s="72"/>
      <c r="N1202" s="72"/>
      <c r="O1202" s="72"/>
      <c r="P1202" s="72"/>
      <c r="Q1202" s="72"/>
      <c r="R1202" s="72"/>
      <c r="S1202" s="72"/>
      <c r="T1202" s="72"/>
      <c r="U1202" s="72"/>
      <c r="V1202" s="72"/>
      <c r="W1202" s="72"/>
      <c r="X1202" s="72"/>
      <c r="Y1202" s="72"/>
      <c r="Z1202" s="72"/>
      <c r="AA1202" s="72"/>
      <c r="AB1202" s="72"/>
      <c r="AC1202" s="72"/>
      <c r="AD1202" s="72"/>
      <c r="AE1202" s="72"/>
      <c r="AF1202" s="72"/>
      <c r="AG1202" s="72"/>
      <c r="AH1202" s="72"/>
      <c r="AI1202" s="72"/>
      <c r="AJ1202" s="72"/>
      <c r="AK1202" s="72"/>
      <c r="AL1202" s="72"/>
      <c r="AM1202" s="72"/>
      <c r="AN1202" s="72"/>
      <c r="AO1202" s="72"/>
      <c r="AP1202" s="72"/>
      <c r="AQ1202" s="72"/>
      <c r="AR1202" s="72"/>
      <c r="AS1202" s="72"/>
      <c r="AT1202" s="72"/>
      <c r="AU1202" s="72"/>
      <c r="AV1202" s="72"/>
      <c r="AW1202" s="72"/>
      <c r="AX1202" s="72"/>
      <c r="AY1202" s="72"/>
      <c r="AZ1202" s="72"/>
      <c r="BA1202" s="72"/>
      <c r="BB1202" s="72"/>
      <c r="BC1202" s="72"/>
      <c r="BD1202" s="72"/>
      <c r="BE1202" s="72"/>
      <c r="BF1202" s="72"/>
      <c r="BG1202" s="72"/>
      <c r="BH1202" s="72"/>
      <c r="BI1202" s="72"/>
      <c r="BJ1202" s="72"/>
      <c r="BK1202" s="72"/>
      <c r="BL1202" s="72"/>
      <c r="BM1202" s="72"/>
      <c r="BN1202" s="72"/>
      <c r="BO1202" s="72"/>
      <c r="BP1202" s="72"/>
      <c r="BQ1202" s="72"/>
      <c r="BR1202" s="72"/>
      <c r="BS1202" s="72"/>
      <c r="BT1202" s="72"/>
      <c r="BU1202" s="72"/>
      <c r="BV1202" s="72"/>
      <c r="BW1202" s="72"/>
      <c r="BX1202" s="72"/>
      <c r="BY1202" s="72"/>
      <c r="BZ1202" s="72"/>
      <c r="CA1202" s="72"/>
      <c r="CB1202" s="72"/>
      <c r="CC1202" s="72"/>
      <c r="CD1202" s="72"/>
      <c r="CE1202" s="72"/>
      <c r="CF1202" s="72"/>
      <c r="CG1202" s="72"/>
      <c r="CH1202" s="72"/>
      <c r="CI1202" s="72"/>
      <c r="CJ1202" s="72"/>
      <c r="CK1202" s="72"/>
      <c r="CL1202" s="72"/>
      <c r="CM1202" s="72"/>
      <c r="CN1202" s="72"/>
      <c r="CO1202" s="72"/>
      <c r="CP1202" s="72"/>
      <c r="CQ1202" s="72"/>
      <c r="CR1202" s="72"/>
      <c r="CS1202" s="72"/>
      <c r="CT1202" s="72"/>
      <c r="CU1202" s="72"/>
      <c r="CV1202" s="72"/>
      <c r="CW1202" s="72"/>
      <c r="CX1202" s="72"/>
      <c r="CY1202" s="72"/>
      <c r="CZ1202" s="72"/>
      <c r="DA1202" s="72"/>
      <c r="DB1202" s="72"/>
      <c r="DC1202" s="72"/>
      <c r="DD1202" s="72"/>
      <c r="DE1202" s="72"/>
      <c r="DF1202" s="72"/>
      <c r="DG1202" s="72"/>
      <c r="DH1202" s="72"/>
      <c r="DI1202" s="72"/>
      <c r="DJ1202" s="72"/>
      <c r="DK1202" s="72"/>
      <c r="DL1202" s="72"/>
      <c r="DM1202" s="72"/>
      <c r="DN1202" s="72"/>
      <c r="DO1202" s="72"/>
      <c r="DP1202" s="72"/>
      <c r="DQ1202" s="72"/>
      <c r="DR1202" s="72"/>
      <c r="DS1202" s="72"/>
      <c r="DT1202" s="72"/>
      <c r="DU1202" s="72"/>
      <c r="DV1202" s="72"/>
      <c r="DW1202" s="72"/>
      <c r="DX1202" s="72"/>
      <c r="DY1202" s="72"/>
      <c r="DZ1202" s="72"/>
      <c r="EA1202" s="72"/>
      <c r="EB1202" s="72"/>
      <c r="EC1202" s="72"/>
      <c r="ED1202" s="72"/>
      <c r="EE1202" s="72"/>
      <c r="EF1202" s="72"/>
      <c r="EG1202" s="72"/>
      <c r="EH1202" s="72"/>
      <c r="EI1202" s="72"/>
      <c r="EJ1202" s="72"/>
      <c r="EK1202" s="72"/>
      <c r="EL1202" s="72"/>
    </row>
    <row r="1203" spans="1:142" s="71" customFormat="1" ht="15.75" customHeight="1" x14ac:dyDescent="0.25">
      <c r="A1203" s="407"/>
      <c r="B1203" s="407"/>
      <c r="C1203" s="409"/>
      <c r="D1203" s="407"/>
      <c r="E1203" s="407"/>
      <c r="F1203" s="407"/>
      <c r="G1203" s="392" t="s">
        <v>78</v>
      </c>
      <c r="H1203" s="87" t="s">
        <v>67</v>
      </c>
      <c r="I1203" s="223">
        <v>282541.75</v>
      </c>
      <c r="J1203" s="223">
        <f>I1203/D1200</f>
        <v>391.49</v>
      </c>
      <c r="K1203" s="223">
        <f>527</f>
        <v>527</v>
      </c>
      <c r="L1203" s="72"/>
      <c r="M1203" s="72"/>
      <c r="N1203" s="72"/>
      <c r="O1203" s="72"/>
      <c r="P1203" s="72"/>
      <c r="Q1203" s="72"/>
      <c r="R1203" s="72"/>
      <c r="S1203" s="72"/>
      <c r="T1203" s="72"/>
      <c r="U1203" s="72"/>
      <c r="V1203" s="72"/>
      <c r="W1203" s="72"/>
      <c r="X1203" s="72"/>
      <c r="Y1203" s="72"/>
      <c r="Z1203" s="72"/>
      <c r="AA1203" s="72"/>
      <c r="AB1203" s="72"/>
      <c r="AC1203" s="72"/>
      <c r="AD1203" s="72"/>
      <c r="AE1203" s="72"/>
      <c r="AF1203" s="72"/>
      <c r="AG1203" s="72"/>
      <c r="AH1203" s="72"/>
      <c r="AI1203" s="72"/>
      <c r="AJ1203" s="72"/>
      <c r="AK1203" s="72"/>
      <c r="AL1203" s="72"/>
      <c r="AM1203" s="72"/>
      <c r="AN1203" s="72"/>
      <c r="AO1203" s="72"/>
      <c r="AP1203" s="72"/>
      <c r="AQ1203" s="72"/>
      <c r="AR1203" s="72"/>
      <c r="AS1203" s="72"/>
      <c r="AT1203" s="72"/>
      <c r="AU1203" s="72"/>
      <c r="AV1203" s="72"/>
      <c r="AW1203" s="72"/>
      <c r="AX1203" s="72"/>
      <c r="AY1203" s="72"/>
      <c r="AZ1203" s="72"/>
      <c r="BA1203" s="72"/>
      <c r="BB1203" s="72"/>
      <c r="BC1203" s="72"/>
      <c r="BD1203" s="72"/>
      <c r="BE1203" s="72"/>
      <c r="BF1203" s="72"/>
      <c r="BG1203" s="72"/>
      <c r="BH1203" s="72"/>
      <c r="BI1203" s="72"/>
      <c r="BJ1203" s="72"/>
      <c r="BK1203" s="72"/>
      <c r="BL1203" s="72"/>
      <c r="BM1203" s="72"/>
      <c r="BN1203" s="72"/>
      <c r="BO1203" s="72"/>
      <c r="BP1203" s="72"/>
      <c r="BQ1203" s="72"/>
      <c r="BR1203" s="72"/>
      <c r="BS1203" s="72"/>
      <c r="BT1203" s="72"/>
      <c r="BU1203" s="72"/>
      <c r="BV1203" s="72"/>
      <c r="BW1203" s="72"/>
      <c r="BX1203" s="72"/>
      <c r="BY1203" s="72"/>
      <c r="BZ1203" s="72"/>
      <c r="CA1203" s="72"/>
      <c r="CB1203" s="72"/>
      <c r="CC1203" s="72"/>
      <c r="CD1203" s="72"/>
      <c r="CE1203" s="72"/>
      <c r="CF1203" s="72"/>
      <c r="CG1203" s="72"/>
      <c r="CH1203" s="72"/>
      <c r="CI1203" s="72"/>
      <c r="CJ1203" s="72"/>
      <c r="CK1203" s="72"/>
      <c r="CL1203" s="72"/>
      <c r="CM1203" s="72"/>
      <c r="CN1203" s="72"/>
      <c r="CO1203" s="72"/>
      <c r="CP1203" s="72"/>
      <c r="CQ1203" s="72"/>
      <c r="CR1203" s="72"/>
      <c r="CS1203" s="72"/>
      <c r="CT1203" s="72"/>
      <c r="CU1203" s="72"/>
      <c r="CV1203" s="72"/>
      <c r="CW1203" s="72"/>
      <c r="CX1203" s="72"/>
      <c r="CY1203" s="72"/>
      <c r="CZ1203" s="72"/>
      <c r="DA1203" s="72"/>
      <c r="DB1203" s="72"/>
      <c r="DC1203" s="72"/>
      <c r="DD1203" s="72"/>
      <c r="DE1203" s="72"/>
      <c r="DF1203" s="72"/>
      <c r="DG1203" s="72"/>
      <c r="DH1203" s="72"/>
      <c r="DI1203" s="72"/>
      <c r="DJ1203" s="72"/>
      <c r="DK1203" s="72"/>
      <c r="DL1203" s="72"/>
      <c r="DM1203" s="72"/>
      <c r="DN1203" s="72"/>
      <c r="DO1203" s="72"/>
      <c r="DP1203" s="72"/>
      <c r="DQ1203" s="72"/>
      <c r="DR1203" s="72"/>
      <c r="DS1203" s="72"/>
      <c r="DT1203" s="72"/>
      <c r="DU1203" s="72"/>
      <c r="DV1203" s="72"/>
      <c r="DW1203" s="72"/>
      <c r="DX1203" s="72"/>
      <c r="DY1203" s="72"/>
      <c r="DZ1203" s="72"/>
      <c r="EA1203" s="72"/>
      <c r="EB1203" s="72"/>
      <c r="EC1203" s="72"/>
      <c r="ED1203" s="72"/>
      <c r="EE1203" s="72"/>
      <c r="EF1203" s="72"/>
      <c r="EG1203" s="72"/>
      <c r="EH1203" s="72"/>
      <c r="EI1203" s="72"/>
      <c r="EJ1203" s="72"/>
      <c r="EK1203" s="72"/>
      <c r="EL1203" s="72"/>
    </row>
    <row r="1204" spans="1:142" s="71" customFormat="1" x14ac:dyDescent="0.25">
      <c r="A1204" s="393"/>
      <c r="B1204" s="393"/>
      <c r="C1204" s="410"/>
      <c r="D1204" s="393"/>
      <c r="E1204" s="393"/>
      <c r="F1204" s="393"/>
      <c r="G1204" s="393"/>
      <c r="H1204" s="87" t="s">
        <v>69</v>
      </c>
      <c r="I1204" s="223">
        <f>I1203*0.0214</f>
        <v>6046.39</v>
      </c>
      <c r="J1204" s="223">
        <f>I1204/D1200</f>
        <v>8.3800000000000008</v>
      </c>
      <c r="K1204" s="223">
        <f>11</f>
        <v>11</v>
      </c>
      <c r="L1204" s="72"/>
      <c r="M1204" s="72"/>
      <c r="N1204" s="72"/>
      <c r="O1204" s="72"/>
      <c r="P1204" s="72"/>
      <c r="Q1204" s="72"/>
      <c r="R1204" s="72"/>
      <c r="S1204" s="72"/>
      <c r="T1204" s="72"/>
      <c r="U1204" s="72"/>
      <c r="V1204" s="72"/>
      <c r="W1204" s="72"/>
      <c r="X1204" s="72"/>
      <c r="Y1204" s="72"/>
      <c r="Z1204" s="72"/>
      <c r="AA1204" s="72"/>
      <c r="AB1204" s="72"/>
      <c r="AC1204" s="72"/>
      <c r="AD1204" s="72"/>
      <c r="AE1204" s="72"/>
      <c r="AF1204" s="72"/>
      <c r="AG1204" s="72"/>
      <c r="AH1204" s="72"/>
      <c r="AI1204" s="72"/>
      <c r="AJ1204" s="72"/>
      <c r="AK1204" s="72"/>
      <c r="AL1204" s="72"/>
      <c r="AM1204" s="72"/>
      <c r="AN1204" s="72"/>
      <c r="AO1204" s="72"/>
      <c r="AP1204" s="72"/>
      <c r="AQ1204" s="72"/>
      <c r="AR1204" s="72"/>
      <c r="AS1204" s="72"/>
      <c r="AT1204" s="72"/>
      <c r="AU1204" s="72"/>
      <c r="AV1204" s="72"/>
      <c r="AW1204" s="72"/>
      <c r="AX1204" s="72"/>
      <c r="AY1204" s="72"/>
      <c r="AZ1204" s="72"/>
      <c r="BA1204" s="72"/>
      <c r="BB1204" s="72"/>
      <c r="BC1204" s="72"/>
      <c r="BD1204" s="72"/>
      <c r="BE1204" s="72"/>
      <c r="BF1204" s="72"/>
      <c r="BG1204" s="72"/>
      <c r="BH1204" s="72"/>
      <c r="BI1204" s="72"/>
      <c r="BJ1204" s="72"/>
      <c r="BK1204" s="72"/>
      <c r="BL1204" s="72"/>
      <c r="BM1204" s="72"/>
      <c r="BN1204" s="72"/>
      <c r="BO1204" s="72"/>
      <c r="BP1204" s="72"/>
      <c r="BQ1204" s="72"/>
      <c r="BR1204" s="72"/>
      <c r="BS1204" s="72"/>
      <c r="BT1204" s="72"/>
      <c r="BU1204" s="72"/>
      <c r="BV1204" s="72"/>
      <c r="BW1204" s="72"/>
      <c r="BX1204" s="72"/>
      <c r="BY1204" s="72"/>
      <c r="BZ1204" s="72"/>
      <c r="CA1204" s="72"/>
      <c r="CB1204" s="72"/>
      <c r="CC1204" s="72"/>
      <c r="CD1204" s="72"/>
      <c r="CE1204" s="72"/>
      <c r="CF1204" s="72"/>
      <c r="CG1204" s="72"/>
      <c r="CH1204" s="72"/>
      <c r="CI1204" s="72"/>
      <c r="CJ1204" s="72"/>
      <c r="CK1204" s="72"/>
      <c r="CL1204" s="72"/>
      <c r="CM1204" s="72"/>
      <c r="CN1204" s="72"/>
      <c r="CO1204" s="72"/>
      <c r="CP1204" s="72"/>
      <c r="CQ1204" s="72"/>
      <c r="CR1204" s="72"/>
      <c r="CS1204" s="72"/>
      <c r="CT1204" s="72"/>
      <c r="CU1204" s="72"/>
      <c r="CV1204" s="72"/>
      <c r="CW1204" s="72"/>
      <c r="CX1204" s="72"/>
      <c r="CY1204" s="72"/>
      <c r="CZ1204" s="72"/>
      <c r="DA1204" s="72"/>
      <c r="DB1204" s="72"/>
      <c r="DC1204" s="72"/>
      <c r="DD1204" s="72"/>
      <c r="DE1204" s="72"/>
      <c r="DF1204" s="72"/>
      <c r="DG1204" s="72"/>
      <c r="DH1204" s="72"/>
      <c r="DI1204" s="72"/>
      <c r="DJ1204" s="72"/>
      <c r="DK1204" s="72"/>
      <c r="DL1204" s="72"/>
      <c r="DM1204" s="72"/>
      <c r="DN1204" s="72"/>
      <c r="DO1204" s="72"/>
      <c r="DP1204" s="72"/>
      <c r="DQ1204" s="72"/>
      <c r="DR1204" s="72"/>
      <c r="DS1204" s="72"/>
      <c r="DT1204" s="72"/>
      <c r="DU1204" s="72"/>
      <c r="DV1204" s="72"/>
      <c r="DW1204" s="72"/>
      <c r="DX1204" s="72"/>
      <c r="DY1204" s="72"/>
      <c r="DZ1204" s="72"/>
      <c r="EA1204" s="72"/>
      <c r="EB1204" s="72"/>
      <c r="EC1204" s="72"/>
      <c r="ED1204" s="72"/>
      <c r="EE1204" s="72"/>
      <c r="EF1204" s="72"/>
      <c r="EG1204" s="72"/>
      <c r="EH1204" s="72"/>
      <c r="EI1204" s="72"/>
      <c r="EJ1204" s="72"/>
      <c r="EK1204" s="72"/>
      <c r="EL1204" s="72"/>
    </row>
    <row r="1205" spans="1:142" s="71" customFormat="1" x14ac:dyDescent="0.25">
      <c r="A1205" s="392">
        <f>A1200+1</f>
        <v>2</v>
      </c>
      <c r="B1205" s="392">
        <v>6712</v>
      </c>
      <c r="C1205" s="392" t="s">
        <v>673</v>
      </c>
      <c r="D1205" s="392">
        <v>678.5</v>
      </c>
      <c r="E1205" s="392" t="s">
        <v>68</v>
      </c>
      <c r="F1205" s="392">
        <v>2</v>
      </c>
      <c r="G1205" s="392" t="s">
        <v>65</v>
      </c>
      <c r="H1205" s="121" t="s">
        <v>66</v>
      </c>
      <c r="I1205" s="223">
        <f>I1206</f>
        <v>169625</v>
      </c>
      <c r="J1205" s="223">
        <f>J1206</f>
        <v>250</v>
      </c>
      <c r="K1205" s="223">
        <f>K1206</f>
        <v>250</v>
      </c>
      <c r="L1205" s="72"/>
      <c r="M1205" s="72"/>
      <c r="N1205" s="72"/>
      <c r="O1205" s="72"/>
      <c r="P1205" s="72"/>
      <c r="Q1205" s="72"/>
      <c r="R1205" s="72"/>
      <c r="S1205" s="72"/>
      <c r="T1205" s="72"/>
      <c r="U1205" s="72"/>
      <c r="V1205" s="72"/>
      <c r="W1205" s="72"/>
      <c r="X1205" s="72"/>
      <c r="Y1205" s="72"/>
      <c r="Z1205" s="72"/>
      <c r="AA1205" s="72"/>
      <c r="AB1205" s="72"/>
      <c r="AC1205" s="72"/>
      <c r="AD1205" s="72"/>
      <c r="AE1205" s="72"/>
      <c r="AF1205" s="72"/>
      <c r="AG1205" s="72"/>
      <c r="AH1205" s="72"/>
      <c r="AI1205" s="72"/>
      <c r="AJ1205" s="72"/>
      <c r="AK1205" s="72"/>
      <c r="AL1205" s="72"/>
      <c r="AM1205" s="72"/>
      <c r="AN1205" s="72"/>
      <c r="AO1205" s="72"/>
      <c r="AP1205" s="72"/>
      <c r="AQ1205" s="72"/>
      <c r="AR1205" s="72"/>
      <c r="AS1205" s="72"/>
      <c r="AT1205" s="72"/>
      <c r="AU1205" s="72"/>
      <c r="AV1205" s="72"/>
      <c r="AW1205" s="72"/>
      <c r="AX1205" s="72"/>
      <c r="AY1205" s="72"/>
      <c r="AZ1205" s="72"/>
      <c r="BA1205" s="72"/>
      <c r="BB1205" s="72"/>
      <c r="BC1205" s="72"/>
      <c r="BD1205" s="72"/>
      <c r="BE1205" s="72"/>
      <c r="BF1205" s="72"/>
      <c r="BG1205" s="72"/>
      <c r="BH1205" s="72"/>
      <c r="BI1205" s="72"/>
      <c r="BJ1205" s="72"/>
      <c r="BK1205" s="72"/>
      <c r="BL1205" s="72"/>
      <c r="BM1205" s="72"/>
      <c r="BN1205" s="72"/>
      <c r="BO1205" s="72"/>
      <c r="BP1205" s="72"/>
      <c r="BQ1205" s="72"/>
      <c r="BR1205" s="72"/>
      <c r="BS1205" s="72"/>
      <c r="BT1205" s="72"/>
      <c r="BU1205" s="72"/>
      <c r="BV1205" s="72"/>
      <c r="BW1205" s="72"/>
      <c r="BX1205" s="72"/>
      <c r="BY1205" s="72"/>
      <c r="BZ1205" s="72"/>
      <c r="CA1205" s="72"/>
      <c r="CB1205" s="72"/>
      <c r="CC1205" s="72"/>
      <c r="CD1205" s="72"/>
      <c r="CE1205" s="72"/>
      <c r="CF1205" s="72"/>
      <c r="CG1205" s="72"/>
      <c r="CH1205" s="72"/>
      <c r="CI1205" s="72"/>
      <c r="CJ1205" s="72"/>
      <c r="CK1205" s="72"/>
      <c r="CL1205" s="72"/>
      <c r="CM1205" s="72"/>
      <c r="CN1205" s="72"/>
      <c r="CO1205" s="72"/>
      <c r="CP1205" s="72"/>
      <c r="CQ1205" s="72"/>
      <c r="CR1205" s="72"/>
      <c r="CS1205" s="72"/>
      <c r="CT1205" s="72"/>
      <c r="CU1205" s="72"/>
      <c r="CV1205" s="72"/>
      <c r="CW1205" s="72"/>
      <c r="CX1205" s="72"/>
      <c r="CY1205" s="72"/>
      <c r="CZ1205" s="72"/>
      <c r="DA1205" s="72"/>
      <c r="DB1205" s="72"/>
      <c r="DC1205" s="72"/>
      <c r="DD1205" s="72"/>
      <c r="DE1205" s="72"/>
      <c r="DF1205" s="72"/>
      <c r="DG1205" s="72"/>
      <c r="DH1205" s="72"/>
      <c r="DI1205" s="72"/>
      <c r="DJ1205" s="72"/>
      <c r="DK1205" s="72"/>
      <c r="DL1205" s="72"/>
      <c r="DM1205" s="72"/>
      <c r="DN1205" s="72"/>
      <c r="DO1205" s="72"/>
      <c r="DP1205" s="72"/>
      <c r="DQ1205" s="72"/>
      <c r="DR1205" s="72"/>
      <c r="DS1205" s="72"/>
      <c r="DT1205" s="72"/>
      <c r="DU1205" s="72"/>
      <c r="DV1205" s="72"/>
      <c r="DW1205" s="72"/>
      <c r="DX1205" s="72"/>
      <c r="DY1205" s="72"/>
      <c r="DZ1205" s="72"/>
      <c r="EA1205" s="72"/>
      <c r="EB1205" s="72"/>
      <c r="EC1205" s="72"/>
      <c r="ED1205" s="72"/>
      <c r="EE1205" s="72"/>
      <c r="EF1205" s="72"/>
      <c r="EG1205" s="72"/>
      <c r="EH1205" s="72"/>
      <c r="EI1205" s="72"/>
      <c r="EJ1205" s="72"/>
      <c r="EK1205" s="72"/>
      <c r="EL1205" s="72"/>
    </row>
    <row r="1206" spans="1:142" s="71" customFormat="1" ht="63" x14ac:dyDescent="0.25">
      <c r="A1206" s="393"/>
      <c r="B1206" s="393"/>
      <c r="C1206" s="393"/>
      <c r="D1206" s="393"/>
      <c r="E1206" s="393"/>
      <c r="F1206" s="393"/>
      <c r="G1206" s="393"/>
      <c r="H1206" s="121" t="s">
        <v>168</v>
      </c>
      <c r="I1206" s="223">
        <f>K1206*D1205</f>
        <v>169625</v>
      </c>
      <c r="J1206" s="223">
        <f>I1206/D1205</f>
        <v>250</v>
      </c>
      <c r="K1206" s="223">
        <f>154+96</f>
        <v>250</v>
      </c>
      <c r="L1206" s="72"/>
      <c r="M1206" s="72"/>
      <c r="N1206" s="72"/>
      <c r="O1206" s="72"/>
      <c r="P1206" s="72"/>
      <c r="Q1206" s="72"/>
      <c r="R1206" s="72"/>
      <c r="S1206" s="72"/>
      <c r="T1206" s="72"/>
      <c r="U1206" s="72"/>
      <c r="V1206" s="72"/>
      <c r="W1206" s="72"/>
      <c r="X1206" s="72"/>
      <c r="Y1206" s="72"/>
      <c r="Z1206" s="72"/>
      <c r="AA1206" s="72"/>
      <c r="AB1206" s="72"/>
      <c r="AC1206" s="72"/>
      <c r="AD1206" s="72"/>
      <c r="AE1206" s="72"/>
      <c r="AF1206" s="72"/>
      <c r="AG1206" s="72"/>
      <c r="AH1206" s="72"/>
      <c r="AI1206" s="72"/>
      <c r="AJ1206" s="72"/>
      <c r="AK1206" s="72"/>
      <c r="AL1206" s="72"/>
      <c r="AM1206" s="72"/>
      <c r="AN1206" s="72"/>
      <c r="AO1206" s="72"/>
      <c r="AP1206" s="72"/>
      <c r="AQ1206" s="72"/>
      <c r="AR1206" s="72"/>
      <c r="AS1206" s="72"/>
      <c r="AT1206" s="72"/>
      <c r="AU1206" s="72"/>
      <c r="AV1206" s="72"/>
      <c r="AW1206" s="72"/>
      <c r="AX1206" s="72"/>
      <c r="AY1206" s="72"/>
      <c r="AZ1206" s="72"/>
      <c r="BA1206" s="72"/>
      <c r="BB1206" s="72"/>
      <c r="BC1206" s="72"/>
      <c r="BD1206" s="72"/>
      <c r="BE1206" s="72"/>
      <c r="BF1206" s="72"/>
      <c r="BG1206" s="72"/>
      <c r="BH1206" s="72"/>
      <c r="BI1206" s="72"/>
      <c r="BJ1206" s="72"/>
      <c r="BK1206" s="72"/>
      <c r="BL1206" s="72"/>
      <c r="BM1206" s="72"/>
      <c r="BN1206" s="72"/>
      <c r="BO1206" s="72"/>
      <c r="BP1206" s="72"/>
      <c r="BQ1206" s="72"/>
      <c r="BR1206" s="72"/>
      <c r="BS1206" s="72"/>
      <c r="BT1206" s="72"/>
      <c r="BU1206" s="72"/>
      <c r="BV1206" s="72"/>
      <c r="BW1206" s="72"/>
      <c r="BX1206" s="72"/>
      <c r="BY1206" s="72"/>
      <c r="BZ1206" s="72"/>
      <c r="CA1206" s="72"/>
      <c r="CB1206" s="72"/>
      <c r="CC1206" s="72"/>
      <c r="CD1206" s="72"/>
      <c r="CE1206" s="72"/>
      <c r="CF1206" s="72"/>
      <c r="CG1206" s="72"/>
      <c r="CH1206" s="72"/>
      <c r="CI1206" s="72"/>
      <c r="CJ1206" s="72"/>
      <c r="CK1206" s="72"/>
      <c r="CL1206" s="72"/>
      <c r="CM1206" s="72"/>
      <c r="CN1206" s="72"/>
      <c r="CO1206" s="72"/>
      <c r="CP1206" s="72"/>
      <c r="CQ1206" s="72"/>
      <c r="CR1206" s="72"/>
      <c r="CS1206" s="72"/>
      <c r="CT1206" s="72"/>
      <c r="CU1206" s="72"/>
      <c r="CV1206" s="72"/>
      <c r="CW1206" s="72"/>
      <c r="CX1206" s="72"/>
      <c r="CY1206" s="72"/>
      <c r="CZ1206" s="72"/>
      <c r="DA1206" s="72"/>
      <c r="DB1206" s="72"/>
      <c r="DC1206" s="72"/>
      <c r="DD1206" s="72"/>
      <c r="DE1206" s="72"/>
      <c r="DF1206" s="72"/>
      <c r="DG1206" s="72"/>
      <c r="DH1206" s="72"/>
      <c r="DI1206" s="72"/>
      <c r="DJ1206" s="72"/>
      <c r="DK1206" s="72"/>
      <c r="DL1206" s="72"/>
      <c r="DM1206" s="72"/>
      <c r="DN1206" s="72"/>
      <c r="DO1206" s="72"/>
      <c r="DP1206" s="72"/>
      <c r="DQ1206" s="72"/>
      <c r="DR1206" s="72"/>
      <c r="DS1206" s="72"/>
      <c r="DT1206" s="72"/>
      <c r="DU1206" s="72"/>
      <c r="DV1206" s="72"/>
      <c r="DW1206" s="72"/>
      <c r="DX1206" s="72"/>
      <c r="DY1206" s="72"/>
      <c r="DZ1206" s="72"/>
      <c r="EA1206" s="72"/>
      <c r="EB1206" s="72"/>
      <c r="EC1206" s="72"/>
      <c r="ED1206" s="72"/>
      <c r="EE1206" s="72"/>
      <c r="EF1206" s="72"/>
      <c r="EG1206" s="72"/>
      <c r="EH1206" s="72"/>
      <c r="EI1206" s="72"/>
      <c r="EJ1206" s="72"/>
      <c r="EK1206" s="72"/>
      <c r="EL1206" s="72"/>
    </row>
    <row r="1207" spans="1:142" s="71" customFormat="1" x14ac:dyDescent="0.25">
      <c r="A1207" s="97" t="s">
        <v>40</v>
      </c>
      <c r="B1207" s="214"/>
      <c r="C1207" s="157"/>
      <c r="D1207" s="152">
        <f>D1208+D1215+D1218+D1220+D1222+D1224+D1227+D1230+D1232+D1235+D1237+D1253+D1256+D1259+D1262+D1264+D1267+D1271+D1274+D1277+D1279+D1281+D1283+D1286+D1290+D1292+D1294+D1297+D1300+D1303+D1305+D1309+D1317+D1321+D1325+D1329+D1332+D1336+D1345+D1356+D1359+D1363+D1366+D1373+D1378+D1380+D1383+D1386+D1388+D1395</f>
        <v>276871.33</v>
      </c>
      <c r="E1207" s="152"/>
      <c r="F1207" s="98"/>
      <c r="G1207" s="146"/>
      <c r="H1207" s="13"/>
      <c r="I1207" s="229">
        <f>I1208+I1215+I1218+I1220+I1222+I1224+I1227+I1230+I1232+I1235+I1237+I1253+I1256+I1259+I1262+I1264+I1267+I1271+I1274+I1277+I1279+I1281+I1283+I1286+I1290+I1292+I1294+I1297+I1300+I1303+I1305+I1309+I1317+I1321+I1325+I1329+I1332+I1336+I1345+I1356+I1359+I1363+I1366+I1373+I1378+I1380+I1383+I1386+I1388+I1395</f>
        <v>237266285.27000001</v>
      </c>
      <c r="J1207" s="229"/>
      <c r="K1207" s="229"/>
    </row>
    <row r="1208" spans="1:142" s="71" customFormat="1" x14ac:dyDescent="0.25">
      <c r="A1208" s="359">
        <v>1</v>
      </c>
      <c r="B1208" s="359">
        <v>5956</v>
      </c>
      <c r="C1208" s="371" t="s">
        <v>390</v>
      </c>
      <c r="D1208" s="291">
        <v>1225.2</v>
      </c>
      <c r="E1208" s="366" t="s">
        <v>68</v>
      </c>
      <c r="F1208" s="366">
        <v>3</v>
      </c>
      <c r="G1208" s="27"/>
      <c r="H1208" s="91" t="s">
        <v>66</v>
      </c>
      <c r="I1208" s="229">
        <f>SUM(I1209:I1214)</f>
        <v>1696656.96</v>
      </c>
      <c r="J1208" s="229">
        <f>SUM(J1209:J1214)</f>
        <v>1384.8</v>
      </c>
      <c r="K1208" s="229">
        <f>SUM(K1209:K1214)</f>
        <v>4161</v>
      </c>
    </row>
    <row r="1209" spans="1:142" s="71" customFormat="1" ht="63" x14ac:dyDescent="0.25">
      <c r="A1209" s="360"/>
      <c r="B1209" s="360"/>
      <c r="C1209" s="372"/>
      <c r="D1209" s="292"/>
      <c r="E1209" s="367"/>
      <c r="F1209" s="367"/>
      <c r="G1209" s="359" t="s">
        <v>70</v>
      </c>
      <c r="H1209" s="91" t="s">
        <v>168</v>
      </c>
      <c r="I1209" s="229">
        <f>D1208*K1209</f>
        <v>167852.4</v>
      </c>
      <c r="J1209" s="229">
        <f>I1209/D1208</f>
        <v>137</v>
      </c>
      <c r="K1209" s="229">
        <f>116+21</f>
        <v>137</v>
      </c>
    </row>
    <row r="1210" spans="1:142" s="71" customFormat="1" x14ac:dyDescent="0.25">
      <c r="A1210" s="360"/>
      <c r="B1210" s="360"/>
      <c r="C1210" s="372"/>
      <c r="D1210" s="292"/>
      <c r="E1210" s="367"/>
      <c r="F1210" s="367"/>
      <c r="G1210" s="368"/>
      <c r="H1210" s="91" t="s">
        <v>169</v>
      </c>
      <c r="I1210" s="229">
        <f>D1208*K1210*30/100</f>
        <v>1069967.1599999999</v>
      </c>
      <c r="J1210" s="229">
        <f>I1210/D1208</f>
        <v>873.3</v>
      </c>
      <c r="K1210" s="229">
        <v>2911</v>
      </c>
    </row>
    <row r="1211" spans="1:142" s="71" customFormat="1" ht="63" x14ac:dyDescent="0.25">
      <c r="A1211" s="360"/>
      <c r="B1211" s="360"/>
      <c r="C1211" s="372"/>
      <c r="D1211" s="292"/>
      <c r="E1211" s="367"/>
      <c r="F1211" s="367"/>
      <c r="G1211" s="359" t="s">
        <v>71</v>
      </c>
      <c r="H1211" s="91" t="s">
        <v>168</v>
      </c>
      <c r="I1211" s="229">
        <f>D1208*K1211</f>
        <v>35530.800000000003</v>
      </c>
      <c r="J1211" s="229">
        <f>I1211/D1208</f>
        <v>29</v>
      </c>
      <c r="K1211" s="229">
        <f>21+8</f>
        <v>29</v>
      </c>
    </row>
    <row r="1212" spans="1:142" s="71" customFormat="1" x14ac:dyDescent="0.25">
      <c r="A1212" s="360"/>
      <c r="B1212" s="360"/>
      <c r="C1212" s="372"/>
      <c r="D1212" s="292"/>
      <c r="E1212" s="367"/>
      <c r="F1212" s="367"/>
      <c r="G1212" s="368"/>
      <c r="H1212" s="91" t="s">
        <v>169</v>
      </c>
      <c r="I1212" s="229">
        <f>D1208*K1212*30/100</f>
        <v>188558.28</v>
      </c>
      <c r="J1212" s="229">
        <f>I1212/D1208</f>
        <v>153.9</v>
      </c>
      <c r="K1212" s="229">
        <v>513</v>
      </c>
    </row>
    <row r="1213" spans="1:142" s="71" customFormat="1" ht="63" x14ac:dyDescent="0.25">
      <c r="A1213" s="360"/>
      <c r="B1213" s="360"/>
      <c r="C1213" s="372"/>
      <c r="D1213" s="292"/>
      <c r="E1213" s="367"/>
      <c r="F1213" s="367"/>
      <c r="G1213" s="359" t="s">
        <v>72</v>
      </c>
      <c r="H1213" s="91" t="s">
        <v>168</v>
      </c>
      <c r="I1213" s="229">
        <f>D1208*K1213</f>
        <v>35530.800000000003</v>
      </c>
      <c r="J1213" s="229">
        <f>I1213/D1208</f>
        <v>29</v>
      </c>
      <c r="K1213" s="229">
        <f>22+7</f>
        <v>29</v>
      </c>
    </row>
    <row r="1214" spans="1:142" s="71" customFormat="1" x14ac:dyDescent="0.25">
      <c r="A1214" s="360"/>
      <c r="B1214" s="360"/>
      <c r="C1214" s="372"/>
      <c r="D1214" s="292"/>
      <c r="E1214" s="367"/>
      <c r="F1214" s="367"/>
      <c r="G1214" s="368"/>
      <c r="H1214" s="91" t="s">
        <v>169</v>
      </c>
      <c r="I1214" s="229">
        <f>D1208*K1214*30/100</f>
        <v>199217.52</v>
      </c>
      <c r="J1214" s="229">
        <f>I1214/D1208</f>
        <v>162.6</v>
      </c>
      <c r="K1214" s="229">
        <v>542</v>
      </c>
    </row>
    <row r="1215" spans="1:142" s="71" customFormat="1" x14ac:dyDescent="0.25">
      <c r="A1215" s="359">
        <f>A1208+1</f>
        <v>2</v>
      </c>
      <c r="B1215" s="359">
        <v>5990</v>
      </c>
      <c r="C1215" s="371" t="s">
        <v>391</v>
      </c>
      <c r="D1215" s="291">
        <v>3134</v>
      </c>
      <c r="E1215" s="366" t="s">
        <v>68</v>
      </c>
      <c r="F1215" s="366">
        <v>5</v>
      </c>
      <c r="G1215" s="27"/>
      <c r="H1215" s="91" t="s">
        <v>66</v>
      </c>
      <c r="I1215" s="229">
        <f>SUM(I1216:I1217)</f>
        <v>3997602.75</v>
      </c>
      <c r="J1215" s="229">
        <f>SUM(J1216:J1217)</f>
        <v>1275.56</v>
      </c>
      <c r="K1215" s="229">
        <f>SUM(K1216:K1217)</f>
        <v>3966</v>
      </c>
    </row>
    <row r="1216" spans="1:142" s="71" customFormat="1" ht="63" x14ac:dyDescent="0.25">
      <c r="A1216" s="360"/>
      <c r="B1216" s="360"/>
      <c r="C1216" s="372"/>
      <c r="D1216" s="292"/>
      <c r="E1216" s="367"/>
      <c r="F1216" s="367"/>
      <c r="G1216" s="359" t="s">
        <v>65</v>
      </c>
      <c r="H1216" s="91" t="s">
        <v>168</v>
      </c>
      <c r="I1216" s="229">
        <v>427663.35</v>
      </c>
      <c r="J1216" s="229">
        <f>I1216/D1215</f>
        <v>136.46</v>
      </c>
      <c r="K1216" s="229">
        <f>151+18</f>
        <v>169</v>
      </c>
    </row>
    <row r="1217" spans="1:11" s="71" customFormat="1" x14ac:dyDescent="0.25">
      <c r="A1217" s="360"/>
      <c r="B1217" s="360"/>
      <c r="C1217" s="372"/>
      <c r="D1217" s="292"/>
      <c r="E1217" s="367"/>
      <c r="F1217" s="367"/>
      <c r="G1217" s="360"/>
      <c r="H1217" s="91" t="s">
        <v>169</v>
      </c>
      <c r="I1217" s="229">
        <f>D1215*K1217*30/100</f>
        <v>3569939.4</v>
      </c>
      <c r="J1217" s="229">
        <f>I1217/D1215</f>
        <v>1139.0999999999999</v>
      </c>
      <c r="K1217" s="229">
        <v>3797</v>
      </c>
    </row>
    <row r="1218" spans="1:11" s="71" customFormat="1" x14ac:dyDescent="0.25">
      <c r="A1218" s="359">
        <f>A1215+1</f>
        <v>3</v>
      </c>
      <c r="B1218" s="359">
        <v>5997</v>
      </c>
      <c r="C1218" s="359" t="s">
        <v>674</v>
      </c>
      <c r="D1218" s="291">
        <v>3458.9</v>
      </c>
      <c r="E1218" s="366" t="s">
        <v>64</v>
      </c>
      <c r="F1218" s="366">
        <v>5</v>
      </c>
      <c r="G1218" s="27"/>
      <c r="H1218" s="91" t="s">
        <v>66</v>
      </c>
      <c r="I1218" s="229">
        <f>I1219</f>
        <v>584554.1</v>
      </c>
      <c r="J1218" s="229">
        <f>J1219</f>
        <v>169</v>
      </c>
      <c r="K1218" s="229">
        <f>K1219</f>
        <v>169</v>
      </c>
    </row>
    <row r="1219" spans="1:11" s="71" customFormat="1" ht="63" x14ac:dyDescent="0.25">
      <c r="A1219" s="360"/>
      <c r="B1219" s="360"/>
      <c r="C1219" s="360"/>
      <c r="D1219" s="292"/>
      <c r="E1219" s="367"/>
      <c r="F1219" s="367"/>
      <c r="G1219" s="147" t="s">
        <v>65</v>
      </c>
      <c r="H1219" s="91" t="s">
        <v>178</v>
      </c>
      <c r="I1219" s="229">
        <f>D1218*K1219</f>
        <v>584554.1</v>
      </c>
      <c r="J1219" s="229">
        <f>I1219/D1218</f>
        <v>169</v>
      </c>
      <c r="K1219" s="229">
        <f>151+18</f>
        <v>169</v>
      </c>
    </row>
    <row r="1220" spans="1:11" s="71" customFormat="1" x14ac:dyDescent="0.25">
      <c r="A1220" s="359">
        <f>A1218+1</f>
        <v>4</v>
      </c>
      <c r="B1220" s="359">
        <v>6007</v>
      </c>
      <c r="C1220" s="371" t="s">
        <v>392</v>
      </c>
      <c r="D1220" s="291">
        <v>3159.5</v>
      </c>
      <c r="E1220" s="366" t="s">
        <v>68</v>
      </c>
      <c r="F1220" s="366">
        <v>5</v>
      </c>
      <c r="G1220" s="27"/>
      <c r="H1220" s="91" t="s">
        <v>66</v>
      </c>
      <c r="I1220" s="229">
        <f>SUM(I1221:I1221)</f>
        <v>434435.47</v>
      </c>
      <c r="J1220" s="229">
        <f>SUM(J1221:J1221)</f>
        <v>137.5</v>
      </c>
      <c r="K1220" s="229">
        <f>SUM(K1221:K1221)</f>
        <v>169</v>
      </c>
    </row>
    <row r="1221" spans="1:11" s="71" customFormat="1" ht="63" x14ac:dyDescent="0.25">
      <c r="A1221" s="360"/>
      <c r="B1221" s="360"/>
      <c r="C1221" s="372"/>
      <c r="D1221" s="292"/>
      <c r="E1221" s="367"/>
      <c r="F1221" s="367"/>
      <c r="G1221" s="147" t="s">
        <v>65</v>
      </c>
      <c r="H1221" s="91" t="s">
        <v>168</v>
      </c>
      <c r="I1221" s="229">
        <v>434435.47</v>
      </c>
      <c r="J1221" s="229">
        <f>I1221/D1220</f>
        <v>137.5</v>
      </c>
      <c r="K1221" s="229">
        <f>151+18</f>
        <v>169</v>
      </c>
    </row>
    <row r="1222" spans="1:11" s="71" customFormat="1" x14ac:dyDescent="0.25">
      <c r="A1222" s="359">
        <f>A1220+1</f>
        <v>5</v>
      </c>
      <c r="B1222" s="359">
        <v>6024</v>
      </c>
      <c r="C1222" s="371" t="s">
        <v>393</v>
      </c>
      <c r="D1222" s="291">
        <v>2445.6</v>
      </c>
      <c r="E1222" s="291" t="s">
        <v>68</v>
      </c>
      <c r="F1222" s="366">
        <v>9</v>
      </c>
      <c r="G1222" s="359" t="s">
        <v>65</v>
      </c>
      <c r="H1222" s="91" t="s">
        <v>66</v>
      </c>
      <c r="I1222" s="229">
        <f>I1223</f>
        <v>401078.4</v>
      </c>
      <c r="J1222" s="229">
        <f>J1223</f>
        <v>164</v>
      </c>
      <c r="K1222" s="229">
        <f>K1223</f>
        <v>164</v>
      </c>
    </row>
    <row r="1223" spans="1:11" s="71" customFormat="1" ht="63" x14ac:dyDescent="0.25">
      <c r="A1223" s="360"/>
      <c r="B1223" s="360"/>
      <c r="C1223" s="372"/>
      <c r="D1223" s="292"/>
      <c r="E1223" s="292"/>
      <c r="F1223" s="367"/>
      <c r="G1223" s="360"/>
      <c r="H1223" s="91" t="s">
        <v>178</v>
      </c>
      <c r="I1223" s="229">
        <f>D1222*K1223</f>
        <v>401078.4</v>
      </c>
      <c r="J1223" s="229">
        <f>I1223/D1222</f>
        <v>164</v>
      </c>
      <c r="K1223" s="229">
        <f>151+13</f>
        <v>164</v>
      </c>
    </row>
    <row r="1224" spans="1:11" s="71" customFormat="1" x14ac:dyDescent="0.25">
      <c r="A1224" s="359">
        <f>A1222+1</f>
        <v>6</v>
      </c>
      <c r="B1224" s="359">
        <v>6026</v>
      </c>
      <c r="C1224" s="371" t="s">
        <v>382</v>
      </c>
      <c r="D1224" s="291">
        <v>2728.7</v>
      </c>
      <c r="E1224" s="291" t="s">
        <v>64</v>
      </c>
      <c r="F1224" s="366">
        <v>5</v>
      </c>
      <c r="G1224" s="359" t="s">
        <v>65</v>
      </c>
      <c r="H1224" s="91" t="s">
        <v>66</v>
      </c>
      <c r="I1224" s="229">
        <f>I1225+I1226</f>
        <v>6428255.9900000002</v>
      </c>
      <c r="J1224" s="229">
        <f>J1225+J1226</f>
        <v>2355.79</v>
      </c>
      <c r="K1224" s="229">
        <f>K1225+K1226</f>
        <v>3878</v>
      </c>
    </row>
    <row r="1225" spans="1:11" s="71" customFormat="1" x14ac:dyDescent="0.25">
      <c r="A1225" s="360"/>
      <c r="B1225" s="360"/>
      <c r="C1225" s="372"/>
      <c r="D1225" s="292"/>
      <c r="E1225" s="292"/>
      <c r="F1225" s="367"/>
      <c r="G1225" s="360"/>
      <c r="H1225" s="91" t="s">
        <v>67</v>
      </c>
      <c r="I1225" s="229">
        <v>6428255.9900000002</v>
      </c>
      <c r="J1225" s="229">
        <f>I1225/D1224</f>
        <v>2355.79</v>
      </c>
      <c r="K1225" s="229">
        <v>3797</v>
      </c>
    </row>
    <row r="1226" spans="1:11" s="71" customFormat="1" x14ac:dyDescent="0.25">
      <c r="A1226" s="368"/>
      <c r="B1226" s="368"/>
      <c r="C1226" s="396"/>
      <c r="D1226" s="293"/>
      <c r="E1226" s="293"/>
      <c r="F1226" s="383"/>
      <c r="G1226" s="368"/>
      <c r="H1226" s="91" t="s">
        <v>69</v>
      </c>
      <c r="I1226" s="229">
        <f>0</f>
        <v>0</v>
      </c>
      <c r="J1226" s="229">
        <f>I1226/D1224</f>
        <v>0</v>
      </c>
      <c r="K1226" s="229">
        <v>81</v>
      </c>
    </row>
    <row r="1227" spans="1:11" s="71" customFormat="1" x14ac:dyDescent="0.25">
      <c r="A1227" s="359">
        <f>A1224+1</f>
        <v>7</v>
      </c>
      <c r="B1227" s="359">
        <v>6030</v>
      </c>
      <c r="C1227" s="371" t="s">
        <v>383</v>
      </c>
      <c r="D1227" s="291">
        <v>16127.59</v>
      </c>
      <c r="E1227" s="291" t="s">
        <v>68</v>
      </c>
      <c r="F1227" s="366">
        <v>9</v>
      </c>
      <c r="G1227" s="359" t="s">
        <v>65</v>
      </c>
      <c r="H1227" s="91" t="s">
        <v>66</v>
      </c>
      <c r="I1227" s="229">
        <f>I1228+I1229</f>
        <v>10578755.75</v>
      </c>
      <c r="J1227" s="229">
        <f>J1228+J1229</f>
        <v>655.94</v>
      </c>
      <c r="K1227" s="229">
        <f>K1228+K1229</f>
        <v>2492</v>
      </c>
    </row>
    <row r="1228" spans="1:11" s="71" customFormat="1" x14ac:dyDescent="0.25">
      <c r="A1228" s="360"/>
      <c r="B1228" s="360"/>
      <c r="C1228" s="372"/>
      <c r="D1228" s="292"/>
      <c r="E1228" s="292"/>
      <c r="F1228" s="367"/>
      <c r="G1228" s="360"/>
      <c r="H1228" s="91" t="s">
        <v>67</v>
      </c>
      <c r="I1228" s="229">
        <v>10578755.75</v>
      </c>
      <c r="J1228" s="229">
        <f>I1228/D1227</f>
        <v>655.94</v>
      </c>
      <c r="K1228" s="229">
        <v>2440</v>
      </c>
    </row>
    <row r="1229" spans="1:11" s="71" customFormat="1" x14ac:dyDescent="0.25">
      <c r="A1229" s="368"/>
      <c r="B1229" s="368"/>
      <c r="C1229" s="396"/>
      <c r="D1229" s="293"/>
      <c r="E1229" s="293"/>
      <c r="F1229" s="383"/>
      <c r="G1229" s="368"/>
      <c r="H1229" s="91" t="s">
        <v>69</v>
      </c>
      <c r="I1229" s="229">
        <v>0</v>
      </c>
      <c r="J1229" s="229">
        <f>I1229/D1227</f>
        <v>0</v>
      </c>
      <c r="K1229" s="229">
        <v>52</v>
      </c>
    </row>
    <row r="1230" spans="1:11" s="71" customFormat="1" ht="15.75" customHeight="1" x14ac:dyDescent="0.25">
      <c r="A1230" s="359">
        <f>A1227+1</f>
        <v>8</v>
      </c>
      <c r="B1230" s="359">
        <v>6031</v>
      </c>
      <c r="C1230" s="371" t="s">
        <v>416</v>
      </c>
      <c r="D1230" s="291">
        <v>5197.3900000000003</v>
      </c>
      <c r="E1230" s="291" t="s">
        <v>68</v>
      </c>
      <c r="F1230" s="366">
        <v>5</v>
      </c>
      <c r="G1230" s="359" t="s">
        <v>65</v>
      </c>
      <c r="H1230" s="91" t="s">
        <v>66</v>
      </c>
      <c r="I1230" s="229">
        <f>I1231</f>
        <v>553549.34</v>
      </c>
      <c r="J1230" s="229">
        <f>J1231</f>
        <v>106.51</v>
      </c>
      <c r="K1230" s="229">
        <f>K1231</f>
        <v>169</v>
      </c>
    </row>
    <row r="1231" spans="1:11" s="71" customFormat="1" ht="63" x14ac:dyDescent="0.25">
      <c r="A1231" s="360"/>
      <c r="B1231" s="360"/>
      <c r="C1231" s="372"/>
      <c r="D1231" s="292"/>
      <c r="E1231" s="292"/>
      <c r="F1231" s="367"/>
      <c r="G1231" s="360"/>
      <c r="H1231" s="91" t="s">
        <v>178</v>
      </c>
      <c r="I1231" s="229">
        <v>553549.34</v>
      </c>
      <c r="J1231" s="229">
        <f>I1231/D1230</f>
        <v>106.51</v>
      </c>
      <c r="K1231" s="229">
        <f>151+18</f>
        <v>169</v>
      </c>
    </row>
    <row r="1232" spans="1:11" s="71" customFormat="1" x14ac:dyDescent="0.25">
      <c r="A1232" s="359">
        <f>A1230+1</f>
        <v>9</v>
      </c>
      <c r="B1232" s="359">
        <v>6039</v>
      </c>
      <c r="C1232" s="371" t="s">
        <v>550</v>
      </c>
      <c r="D1232" s="291">
        <v>6661.52</v>
      </c>
      <c r="E1232" s="291" t="s">
        <v>68</v>
      </c>
      <c r="F1232" s="366">
        <v>10</v>
      </c>
      <c r="G1232" s="158"/>
      <c r="H1232" s="91" t="s">
        <v>66</v>
      </c>
      <c r="I1232" s="229">
        <f>SUM(I1233:I1234)</f>
        <v>2458756</v>
      </c>
      <c r="J1232" s="229">
        <f>SUM(J1233:J1234)</f>
        <v>369.1</v>
      </c>
      <c r="K1232" s="229">
        <f>SUM(K1233:K1234)</f>
        <v>377</v>
      </c>
    </row>
    <row r="1233" spans="1:11" s="71" customFormat="1" ht="15.75" customHeight="1" x14ac:dyDescent="0.25">
      <c r="A1233" s="360"/>
      <c r="B1233" s="360"/>
      <c r="C1233" s="372"/>
      <c r="D1233" s="292"/>
      <c r="E1233" s="292"/>
      <c r="F1233" s="367"/>
      <c r="G1233" s="360" t="s">
        <v>173</v>
      </c>
      <c r="H1233" s="91" t="s">
        <v>171</v>
      </c>
      <c r="I1233" s="229">
        <v>2458756</v>
      </c>
      <c r="J1233" s="229">
        <f>I1233/D1232</f>
        <v>369.1</v>
      </c>
      <c r="K1233" s="229">
        <f>2458756/D1232</f>
        <v>369.1</v>
      </c>
    </row>
    <row r="1234" spans="1:11" s="71" customFormat="1" x14ac:dyDescent="0.25">
      <c r="A1234" s="360"/>
      <c r="B1234" s="360"/>
      <c r="C1234" s="372"/>
      <c r="D1234" s="292"/>
      <c r="E1234" s="292"/>
      <c r="F1234" s="367"/>
      <c r="G1234" s="368"/>
      <c r="H1234" s="91" t="s">
        <v>69</v>
      </c>
      <c r="I1234" s="229">
        <v>0</v>
      </c>
      <c r="J1234" s="229">
        <f>I1234/D1232</f>
        <v>0</v>
      </c>
      <c r="K1234" s="229">
        <f>52617/D1232</f>
        <v>7.9</v>
      </c>
    </row>
    <row r="1235" spans="1:11" s="71" customFormat="1" x14ac:dyDescent="0.25">
      <c r="A1235" s="359">
        <f>A1232+1</f>
        <v>10</v>
      </c>
      <c r="B1235" s="359">
        <v>6045</v>
      </c>
      <c r="C1235" s="371" t="s">
        <v>560</v>
      </c>
      <c r="D1235" s="291">
        <v>34688.300000000003</v>
      </c>
      <c r="E1235" s="291" t="s">
        <v>68</v>
      </c>
      <c r="F1235" s="366">
        <v>9</v>
      </c>
      <c r="G1235" s="158"/>
      <c r="H1235" s="91" t="s">
        <v>66</v>
      </c>
      <c r="I1235" s="229">
        <f>SUM(I1236:I1236)</f>
        <v>32281</v>
      </c>
      <c r="J1235" s="229">
        <f>SUM(J1236:J1236)</f>
        <v>0.93</v>
      </c>
      <c r="K1235" s="229">
        <f>SUM(K1236:K1236)</f>
        <v>0.93</v>
      </c>
    </row>
    <row r="1236" spans="1:11" s="71" customFormat="1" ht="63" x14ac:dyDescent="0.25">
      <c r="A1236" s="360"/>
      <c r="B1236" s="360"/>
      <c r="C1236" s="372"/>
      <c r="D1236" s="292"/>
      <c r="E1236" s="292"/>
      <c r="F1236" s="367"/>
      <c r="G1236" s="147" t="s">
        <v>561</v>
      </c>
      <c r="H1236" s="91" t="s">
        <v>168</v>
      </c>
      <c r="I1236" s="229">
        <v>32281</v>
      </c>
      <c r="J1236" s="229">
        <f>I1236/D1235</f>
        <v>0.93</v>
      </c>
      <c r="K1236" s="229">
        <f>(22681+9600)/D1235</f>
        <v>0.93</v>
      </c>
    </row>
    <row r="1237" spans="1:11" s="71" customFormat="1" x14ac:dyDescent="0.25">
      <c r="A1237" s="359">
        <f>A1235+1</f>
        <v>11</v>
      </c>
      <c r="B1237" s="359">
        <v>6061</v>
      </c>
      <c r="C1237" s="371" t="s">
        <v>462</v>
      </c>
      <c r="D1237" s="291">
        <v>43711.7</v>
      </c>
      <c r="E1237" s="291" t="s">
        <v>68</v>
      </c>
      <c r="F1237" s="366">
        <v>9</v>
      </c>
      <c r="G1237" s="158"/>
      <c r="H1237" s="91" t="s">
        <v>66</v>
      </c>
      <c r="I1237" s="229">
        <f>SUM(I1238:I1252)</f>
        <v>11369640</v>
      </c>
      <c r="J1237" s="229">
        <f>SUM(J1238:J1252)</f>
        <v>260.11</v>
      </c>
      <c r="K1237" s="229">
        <f>SUM(K1238:K1252)</f>
        <v>265.61</v>
      </c>
    </row>
    <row r="1238" spans="1:11" s="71" customFormat="1" ht="63" x14ac:dyDescent="0.25">
      <c r="A1238" s="360"/>
      <c r="B1238" s="360"/>
      <c r="C1238" s="372"/>
      <c r="D1238" s="292"/>
      <c r="E1238" s="292"/>
      <c r="F1238" s="367"/>
      <c r="G1238" s="147" t="s">
        <v>170</v>
      </c>
      <c r="H1238" s="91" t="s">
        <v>168</v>
      </c>
      <c r="I1238" s="229">
        <v>32281</v>
      </c>
      <c r="J1238" s="229">
        <f>I1238/D1237</f>
        <v>0.74</v>
      </c>
      <c r="K1238" s="229">
        <f>(22681+9600)/D1237</f>
        <v>0.74</v>
      </c>
    </row>
    <row r="1239" spans="1:11" s="71" customFormat="1" ht="63" x14ac:dyDescent="0.25">
      <c r="A1239" s="360"/>
      <c r="B1239" s="360"/>
      <c r="C1239" s="372"/>
      <c r="D1239" s="292"/>
      <c r="E1239" s="292"/>
      <c r="F1239" s="367"/>
      <c r="G1239" s="147" t="s">
        <v>173</v>
      </c>
      <c r="H1239" s="91" t="s">
        <v>168</v>
      </c>
      <c r="I1239" s="229">
        <v>32281</v>
      </c>
      <c r="J1239" s="229">
        <f>I1239/D1237</f>
        <v>0.74</v>
      </c>
      <c r="K1239" s="229">
        <f>(22681+9600)/D1237</f>
        <v>0.74</v>
      </c>
    </row>
    <row r="1240" spans="1:11" s="71" customFormat="1" ht="63" x14ac:dyDescent="0.25">
      <c r="A1240" s="360"/>
      <c r="B1240" s="360"/>
      <c r="C1240" s="372"/>
      <c r="D1240" s="292"/>
      <c r="E1240" s="292"/>
      <c r="F1240" s="367"/>
      <c r="G1240" s="147" t="s">
        <v>174</v>
      </c>
      <c r="H1240" s="91" t="s">
        <v>168</v>
      </c>
      <c r="I1240" s="229">
        <v>32281</v>
      </c>
      <c r="J1240" s="229">
        <f>I1240/D1237</f>
        <v>0.74</v>
      </c>
      <c r="K1240" s="229">
        <f>(22681+9600)/D1237</f>
        <v>0.74</v>
      </c>
    </row>
    <row r="1241" spans="1:11" s="71" customFormat="1" ht="63" x14ac:dyDescent="0.25">
      <c r="A1241" s="360"/>
      <c r="B1241" s="360"/>
      <c r="C1241" s="372"/>
      <c r="D1241" s="292"/>
      <c r="E1241" s="292"/>
      <c r="F1241" s="367"/>
      <c r="G1241" s="146" t="s">
        <v>175</v>
      </c>
      <c r="H1241" s="91" t="s">
        <v>168</v>
      </c>
      <c r="I1241" s="229">
        <v>32281</v>
      </c>
      <c r="J1241" s="229">
        <f>I1241/D1237</f>
        <v>0.74</v>
      </c>
      <c r="K1241" s="229">
        <f>(22681+9600)/D1237</f>
        <v>0.74</v>
      </c>
    </row>
    <row r="1242" spans="1:11" s="71" customFormat="1" x14ac:dyDescent="0.25">
      <c r="A1242" s="360"/>
      <c r="B1242" s="360"/>
      <c r="C1242" s="372"/>
      <c r="D1242" s="292"/>
      <c r="E1242" s="292"/>
      <c r="F1242" s="367"/>
      <c r="G1242" s="360" t="s">
        <v>457</v>
      </c>
      <c r="H1242" s="91" t="s">
        <v>171</v>
      </c>
      <c r="I1242" s="229">
        <v>2241647</v>
      </c>
      <c r="J1242" s="229">
        <f>I1242/D1237+0.01</f>
        <v>51.29</v>
      </c>
      <c r="K1242" s="229">
        <f>2241647/D1237+0.01</f>
        <v>51.29</v>
      </c>
    </row>
    <row r="1243" spans="1:11" s="71" customFormat="1" x14ac:dyDescent="0.25">
      <c r="A1243" s="360"/>
      <c r="B1243" s="360"/>
      <c r="C1243" s="372"/>
      <c r="D1243" s="292"/>
      <c r="E1243" s="292"/>
      <c r="F1243" s="367"/>
      <c r="G1243" s="368"/>
      <c r="H1243" s="91" t="s">
        <v>69</v>
      </c>
      <c r="I1243" s="229">
        <v>0</v>
      </c>
      <c r="J1243" s="229">
        <f>I1243/D1237</f>
        <v>0</v>
      </c>
      <c r="K1243" s="229">
        <f>47971/D1237</f>
        <v>1.1000000000000001</v>
      </c>
    </row>
    <row r="1244" spans="1:11" s="71" customFormat="1" x14ac:dyDescent="0.25">
      <c r="A1244" s="360"/>
      <c r="B1244" s="360"/>
      <c r="C1244" s="372"/>
      <c r="D1244" s="292"/>
      <c r="E1244" s="292"/>
      <c r="F1244" s="367"/>
      <c r="G1244" s="360" t="s">
        <v>551</v>
      </c>
      <c r="H1244" s="91" t="s">
        <v>171</v>
      </c>
      <c r="I1244" s="229">
        <v>2241647</v>
      </c>
      <c r="J1244" s="229">
        <f>I1244/D1237</f>
        <v>51.28</v>
      </c>
      <c r="K1244" s="229">
        <f>2241647/D1237</f>
        <v>51.28</v>
      </c>
    </row>
    <row r="1245" spans="1:11" s="71" customFormat="1" x14ac:dyDescent="0.25">
      <c r="A1245" s="360"/>
      <c r="B1245" s="360"/>
      <c r="C1245" s="372"/>
      <c r="D1245" s="292"/>
      <c r="E1245" s="292"/>
      <c r="F1245" s="367"/>
      <c r="G1245" s="368"/>
      <c r="H1245" s="91" t="s">
        <v>69</v>
      </c>
      <c r="I1245" s="229">
        <v>0</v>
      </c>
      <c r="J1245" s="229">
        <f>I1245/D1237</f>
        <v>0</v>
      </c>
      <c r="K1245" s="229">
        <f>47971/D1237</f>
        <v>1.1000000000000001</v>
      </c>
    </row>
    <row r="1246" spans="1:11" s="71" customFormat="1" ht="63" x14ac:dyDescent="0.25">
      <c r="A1246" s="360"/>
      <c r="B1246" s="360"/>
      <c r="C1246" s="372"/>
      <c r="D1246" s="292"/>
      <c r="E1246" s="292"/>
      <c r="F1246" s="367"/>
      <c r="G1246" s="146" t="s">
        <v>562</v>
      </c>
      <c r="H1246" s="91" t="s">
        <v>168</v>
      </c>
      <c r="I1246" s="229">
        <v>32281</v>
      </c>
      <c r="J1246" s="229">
        <f>I1246/D1237</f>
        <v>0.74</v>
      </c>
      <c r="K1246" s="229">
        <f>(22681+9600)/D1237</f>
        <v>0.74</v>
      </c>
    </row>
    <row r="1247" spans="1:11" s="71" customFormat="1" x14ac:dyDescent="0.25">
      <c r="A1247" s="360"/>
      <c r="B1247" s="360"/>
      <c r="C1247" s="372"/>
      <c r="D1247" s="292"/>
      <c r="E1247" s="292"/>
      <c r="F1247" s="367"/>
      <c r="G1247" s="360" t="s">
        <v>552</v>
      </c>
      <c r="H1247" s="91" t="s">
        <v>171</v>
      </c>
      <c r="I1247" s="229">
        <v>2241647</v>
      </c>
      <c r="J1247" s="229">
        <f>I1247/D1237</f>
        <v>51.28</v>
      </c>
      <c r="K1247" s="229">
        <f>2241647/D1237</f>
        <v>51.28</v>
      </c>
    </row>
    <row r="1248" spans="1:11" s="71" customFormat="1" x14ac:dyDescent="0.25">
      <c r="A1248" s="360"/>
      <c r="B1248" s="360"/>
      <c r="C1248" s="372"/>
      <c r="D1248" s="292"/>
      <c r="E1248" s="292"/>
      <c r="F1248" s="367"/>
      <c r="G1248" s="368"/>
      <c r="H1248" s="91" t="s">
        <v>69</v>
      </c>
      <c r="I1248" s="229">
        <v>0</v>
      </c>
      <c r="J1248" s="229">
        <f>I1248/D1237</f>
        <v>0</v>
      </c>
      <c r="K1248" s="229">
        <f>47971/D1237</f>
        <v>1.1000000000000001</v>
      </c>
    </row>
    <row r="1249" spans="1:11" s="71" customFormat="1" x14ac:dyDescent="0.25">
      <c r="A1249" s="360"/>
      <c r="B1249" s="360"/>
      <c r="C1249" s="372"/>
      <c r="D1249" s="292"/>
      <c r="E1249" s="292"/>
      <c r="F1249" s="367"/>
      <c r="G1249" s="360" t="s">
        <v>553</v>
      </c>
      <c r="H1249" s="91" t="s">
        <v>171</v>
      </c>
      <c r="I1249" s="229">
        <v>2241647</v>
      </c>
      <c r="J1249" s="229">
        <f>I1249/D1237</f>
        <v>51.28</v>
      </c>
      <c r="K1249" s="229">
        <f>2241647/D1237</f>
        <v>51.28</v>
      </c>
    </row>
    <row r="1250" spans="1:11" s="71" customFormat="1" x14ac:dyDescent="0.25">
      <c r="A1250" s="360"/>
      <c r="B1250" s="360"/>
      <c r="C1250" s="372"/>
      <c r="D1250" s="292"/>
      <c r="E1250" s="292"/>
      <c r="F1250" s="367"/>
      <c r="G1250" s="368"/>
      <c r="H1250" s="91" t="s">
        <v>69</v>
      </c>
      <c r="I1250" s="229">
        <v>0</v>
      </c>
      <c r="J1250" s="229">
        <f>I1250/D1237</f>
        <v>0</v>
      </c>
      <c r="K1250" s="229">
        <f>47971/D1237</f>
        <v>1.1000000000000001</v>
      </c>
    </row>
    <row r="1251" spans="1:11" s="71" customFormat="1" x14ac:dyDescent="0.25">
      <c r="A1251" s="360"/>
      <c r="B1251" s="360"/>
      <c r="C1251" s="372"/>
      <c r="D1251" s="292"/>
      <c r="E1251" s="292"/>
      <c r="F1251" s="367"/>
      <c r="G1251" s="360" t="s">
        <v>554</v>
      </c>
      <c r="H1251" s="91" t="s">
        <v>171</v>
      </c>
      <c r="I1251" s="229">
        <v>2241647</v>
      </c>
      <c r="J1251" s="229">
        <f>I1251/D1237</f>
        <v>51.28</v>
      </c>
      <c r="K1251" s="229">
        <f>2241647/D1237</f>
        <v>51.28</v>
      </c>
    </row>
    <row r="1252" spans="1:11" s="71" customFormat="1" x14ac:dyDescent="0.25">
      <c r="A1252" s="360"/>
      <c r="B1252" s="360"/>
      <c r="C1252" s="372"/>
      <c r="D1252" s="292"/>
      <c r="E1252" s="292"/>
      <c r="F1252" s="367"/>
      <c r="G1252" s="368"/>
      <c r="H1252" s="91" t="s">
        <v>69</v>
      </c>
      <c r="I1252" s="229">
        <v>0</v>
      </c>
      <c r="J1252" s="229">
        <f>I1252/D1237</f>
        <v>0</v>
      </c>
      <c r="K1252" s="229">
        <f>47971/D1237</f>
        <v>1.1000000000000001</v>
      </c>
    </row>
    <row r="1253" spans="1:11" s="71" customFormat="1" x14ac:dyDescent="0.25">
      <c r="A1253" s="359">
        <f>A1237+1</f>
        <v>12</v>
      </c>
      <c r="B1253" s="359">
        <v>5835</v>
      </c>
      <c r="C1253" s="371" t="s">
        <v>394</v>
      </c>
      <c r="D1253" s="291">
        <v>3133.1</v>
      </c>
      <c r="E1253" s="366" t="s">
        <v>68</v>
      </c>
      <c r="F1253" s="366">
        <v>5</v>
      </c>
      <c r="G1253" s="27"/>
      <c r="H1253" s="91" t="s">
        <v>66</v>
      </c>
      <c r="I1253" s="229">
        <f>SUM(I1254:I1255)</f>
        <v>3997122.8</v>
      </c>
      <c r="J1253" s="229">
        <f>SUM(J1254:J1255)</f>
        <v>1275.77</v>
      </c>
      <c r="K1253" s="229">
        <f>SUM(K1254:K1255)</f>
        <v>3966</v>
      </c>
    </row>
    <row r="1254" spans="1:11" s="71" customFormat="1" ht="63" x14ac:dyDescent="0.25">
      <c r="A1254" s="360"/>
      <c r="B1254" s="360"/>
      <c r="C1254" s="372"/>
      <c r="D1254" s="292"/>
      <c r="E1254" s="367"/>
      <c r="F1254" s="367"/>
      <c r="G1254" s="359" t="s">
        <v>65</v>
      </c>
      <c r="H1254" s="91" t="s">
        <v>168</v>
      </c>
      <c r="I1254" s="229">
        <v>428208.59</v>
      </c>
      <c r="J1254" s="229">
        <f>I1254/D1253</f>
        <v>136.66999999999999</v>
      </c>
      <c r="K1254" s="229">
        <f>151+18</f>
        <v>169</v>
      </c>
    </row>
    <row r="1255" spans="1:11" s="71" customFormat="1" x14ac:dyDescent="0.25">
      <c r="A1255" s="360"/>
      <c r="B1255" s="360"/>
      <c r="C1255" s="372"/>
      <c r="D1255" s="292"/>
      <c r="E1255" s="367"/>
      <c r="F1255" s="367"/>
      <c r="G1255" s="360"/>
      <c r="H1255" s="91" t="s">
        <v>169</v>
      </c>
      <c r="I1255" s="229">
        <f>D1253*K1255*30/100</f>
        <v>3568914.21</v>
      </c>
      <c r="J1255" s="229">
        <f>I1255/D1253</f>
        <v>1139.0999999999999</v>
      </c>
      <c r="K1255" s="229">
        <v>3797</v>
      </c>
    </row>
    <row r="1256" spans="1:11" s="71" customFormat="1" x14ac:dyDescent="0.25">
      <c r="A1256" s="359">
        <f>A1253+1</f>
        <v>13</v>
      </c>
      <c r="B1256" s="359">
        <v>5836</v>
      </c>
      <c r="C1256" s="371" t="s">
        <v>395</v>
      </c>
      <c r="D1256" s="291">
        <v>1222.0999999999999</v>
      </c>
      <c r="E1256" s="366" t="s">
        <v>68</v>
      </c>
      <c r="F1256" s="366">
        <v>4</v>
      </c>
      <c r="G1256" s="27"/>
      <c r="H1256" s="91" t="s">
        <v>66</v>
      </c>
      <c r="I1256" s="229">
        <f>SUM(I1257:I1258)</f>
        <v>2138430.58</v>
      </c>
      <c r="J1256" s="229">
        <f>SUM(J1257:J1258)</f>
        <v>1749.8</v>
      </c>
      <c r="K1256" s="229">
        <f>SUM(K1257:K1258)</f>
        <v>5275</v>
      </c>
    </row>
    <row r="1257" spans="1:11" s="71" customFormat="1" ht="63" x14ac:dyDescent="0.25">
      <c r="A1257" s="360"/>
      <c r="B1257" s="360"/>
      <c r="C1257" s="372"/>
      <c r="D1257" s="292"/>
      <c r="E1257" s="367"/>
      <c r="F1257" s="367"/>
      <c r="G1257" s="359" t="s">
        <v>65</v>
      </c>
      <c r="H1257" s="91" t="s">
        <v>168</v>
      </c>
      <c r="I1257" s="229">
        <f>D1256*K1257</f>
        <v>292081.90000000002</v>
      </c>
      <c r="J1257" s="229">
        <f>I1257/D1256</f>
        <v>239</v>
      </c>
      <c r="K1257" s="229">
        <f>151+88</f>
        <v>239</v>
      </c>
    </row>
    <row r="1258" spans="1:11" s="71" customFormat="1" x14ac:dyDescent="0.25">
      <c r="A1258" s="360"/>
      <c r="B1258" s="360"/>
      <c r="C1258" s="372"/>
      <c r="D1258" s="292"/>
      <c r="E1258" s="367"/>
      <c r="F1258" s="367"/>
      <c r="G1258" s="360"/>
      <c r="H1258" s="91" t="s">
        <v>169</v>
      </c>
      <c r="I1258" s="229">
        <f>D1256*K1258*30/100</f>
        <v>1846348.68</v>
      </c>
      <c r="J1258" s="229">
        <f>I1258/D1256</f>
        <v>1510.8</v>
      </c>
      <c r="K1258" s="229">
        <v>5036</v>
      </c>
    </row>
    <row r="1259" spans="1:11" s="71" customFormat="1" x14ac:dyDescent="0.25">
      <c r="A1259" s="359">
        <f>A1256+1</f>
        <v>14</v>
      </c>
      <c r="B1259" s="359">
        <v>5847</v>
      </c>
      <c r="C1259" s="371" t="s">
        <v>396</v>
      </c>
      <c r="D1259" s="291">
        <v>3433.2</v>
      </c>
      <c r="E1259" s="291" t="s">
        <v>68</v>
      </c>
      <c r="F1259" s="366">
        <v>5</v>
      </c>
      <c r="G1259" s="359" t="s">
        <v>65</v>
      </c>
      <c r="H1259" s="91" t="s">
        <v>66</v>
      </c>
      <c r="I1259" s="229">
        <f>I1260+I1261</f>
        <v>4353954.0199999996</v>
      </c>
      <c r="J1259" s="229">
        <f>J1260+J1261</f>
        <v>1268.19</v>
      </c>
      <c r="K1259" s="229">
        <f>K1260+K1261</f>
        <v>3966</v>
      </c>
    </row>
    <row r="1260" spans="1:11" s="71" customFormat="1" ht="63" x14ac:dyDescent="0.25">
      <c r="A1260" s="360"/>
      <c r="B1260" s="360"/>
      <c r="C1260" s="372"/>
      <c r="D1260" s="292"/>
      <c r="E1260" s="292"/>
      <c r="F1260" s="367"/>
      <c r="G1260" s="360"/>
      <c r="H1260" s="91" t="s">
        <v>178</v>
      </c>
      <c r="I1260" s="229">
        <v>443195.9</v>
      </c>
      <c r="J1260" s="229">
        <f>I1260/D1259</f>
        <v>129.09</v>
      </c>
      <c r="K1260" s="229">
        <f>151+18</f>
        <v>169</v>
      </c>
    </row>
    <row r="1261" spans="1:11" s="71" customFormat="1" x14ac:dyDescent="0.25">
      <c r="A1261" s="360"/>
      <c r="B1261" s="360"/>
      <c r="C1261" s="372"/>
      <c r="D1261" s="292"/>
      <c r="E1261" s="292"/>
      <c r="F1261" s="367"/>
      <c r="G1261" s="360"/>
      <c r="H1261" s="91" t="s">
        <v>67</v>
      </c>
      <c r="I1261" s="229">
        <f>D1259*K1261*30/100</f>
        <v>3910758.12</v>
      </c>
      <c r="J1261" s="229">
        <f>I1261/D1259</f>
        <v>1139.0999999999999</v>
      </c>
      <c r="K1261" s="229">
        <v>3797</v>
      </c>
    </row>
    <row r="1262" spans="1:11" s="71" customFormat="1" x14ac:dyDescent="0.25">
      <c r="A1262" s="359">
        <f>A1259+1</f>
        <v>15</v>
      </c>
      <c r="B1262" s="359">
        <v>5851</v>
      </c>
      <c r="C1262" s="371" t="s">
        <v>675</v>
      </c>
      <c r="D1262" s="291">
        <v>878.68</v>
      </c>
      <c r="E1262" s="291" t="s">
        <v>73</v>
      </c>
      <c r="F1262" s="366">
        <v>2</v>
      </c>
      <c r="G1262" s="359" t="s">
        <v>65</v>
      </c>
      <c r="H1262" s="91" t="s">
        <v>66</v>
      </c>
      <c r="I1262" s="229">
        <f>I1263</f>
        <v>228456.8</v>
      </c>
      <c r="J1262" s="229">
        <f>J1263</f>
        <v>260</v>
      </c>
      <c r="K1262" s="229">
        <f>K1263</f>
        <v>260</v>
      </c>
    </row>
    <row r="1263" spans="1:11" s="71" customFormat="1" ht="63" x14ac:dyDescent="0.25">
      <c r="A1263" s="360"/>
      <c r="B1263" s="360"/>
      <c r="C1263" s="372"/>
      <c r="D1263" s="292"/>
      <c r="E1263" s="292"/>
      <c r="F1263" s="367"/>
      <c r="G1263" s="360"/>
      <c r="H1263" s="91" t="s">
        <v>178</v>
      </c>
      <c r="I1263" s="229">
        <f>D1262*K1263</f>
        <v>228456.8</v>
      </c>
      <c r="J1263" s="229">
        <f>I1263/D1262</f>
        <v>260</v>
      </c>
      <c r="K1263" s="229">
        <f>164+96</f>
        <v>260</v>
      </c>
    </row>
    <row r="1264" spans="1:11" s="71" customFormat="1" x14ac:dyDescent="0.25">
      <c r="A1264" s="359">
        <f>A1262+1</f>
        <v>16</v>
      </c>
      <c r="B1264" s="359">
        <v>5864</v>
      </c>
      <c r="C1264" s="371" t="s">
        <v>384</v>
      </c>
      <c r="D1264" s="291">
        <v>2829</v>
      </c>
      <c r="E1264" s="366" t="s">
        <v>68</v>
      </c>
      <c r="F1264" s="366">
        <v>4</v>
      </c>
      <c r="G1264" s="359" t="s">
        <v>65</v>
      </c>
      <c r="H1264" s="91" t="s">
        <v>66</v>
      </c>
      <c r="I1264" s="229">
        <f>SUM(I1265:I1266)</f>
        <v>6279270.4699999997</v>
      </c>
      <c r="J1264" s="229">
        <f>SUM(J1265:J1266)</f>
        <v>2219.61</v>
      </c>
      <c r="K1264" s="229">
        <f>SUM(K1265:K1266)</f>
        <v>5144</v>
      </c>
    </row>
    <row r="1265" spans="1:11" s="71" customFormat="1" x14ac:dyDescent="0.25">
      <c r="A1265" s="360"/>
      <c r="B1265" s="360"/>
      <c r="C1265" s="372"/>
      <c r="D1265" s="292"/>
      <c r="E1265" s="367"/>
      <c r="F1265" s="367"/>
      <c r="G1265" s="360"/>
      <c r="H1265" s="91" t="s">
        <v>169</v>
      </c>
      <c r="I1265" s="229">
        <v>6279270.4699999997</v>
      </c>
      <c r="J1265" s="229">
        <f>I1265/D1264</f>
        <v>2219.61</v>
      </c>
      <c r="K1265" s="229">
        <v>5036</v>
      </c>
    </row>
    <row r="1266" spans="1:11" s="71" customFormat="1" x14ac:dyDescent="0.25">
      <c r="A1266" s="360"/>
      <c r="B1266" s="360"/>
      <c r="C1266" s="372"/>
      <c r="D1266" s="292"/>
      <c r="E1266" s="367"/>
      <c r="F1266" s="367"/>
      <c r="G1266" s="368"/>
      <c r="H1266" s="91" t="s">
        <v>69</v>
      </c>
      <c r="I1266" s="229">
        <v>0</v>
      </c>
      <c r="J1266" s="229">
        <f>I1266/D1264</f>
        <v>0</v>
      </c>
      <c r="K1266" s="229">
        <v>108</v>
      </c>
    </row>
    <row r="1267" spans="1:11" s="71" customFormat="1" x14ac:dyDescent="0.25">
      <c r="A1267" s="359">
        <f>A1264+1</f>
        <v>17</v>
      </c>
      <c r="B1267" s="359">
        <v>5922</v>
      </c>
      <c r="C1267" s="371" t="s">
        <v>397</v>
      </c>
      <c r="D1267" s="291">
        <v>5449.1</v>
      </c>
      <c r="E1267" s="291" t="s">
        <v>68</v>
      </c>
      <c r="F1267" s="366">
        <v>5</v>
      </c>
      <c r="G1267" s="359" t="s">
        <v>65</v>
      </c>
      <c r="H1267" s="91" t="s">
        <v>66</v>
      </c>
      <c r="I1267" s="229">
        <f>I1268+I1269+I1270</f>
        <v>21274453.170000002</v>
      </c>
      <c r="J1267" s="229">
        <f t="shared" ref="J1267:K1267" si="56">J1268+J1269+J1270</f>
        <v>3904.21</v>
      </c>
      <c r="K1267" s="229">
        <f t="shared" si="56"/>
        <v>4047</v>
      </c>
    </row>
    <row r="1268" spans="1:11" s="71" customFormat="1" ht="63" x14ac:dyDescent="0.25">
      <c r="A1268" s="360"/>
      <c r="B1268" s="360"/>
      <c r="C1268" s="372"/>
      <c r="D1268" s="292"/>
      <c r="E1268" s="292"/>
      <c r="F1268" s="367"/>
      <c r="G1268" s="360"/>
      <c r="H1268" s="91" t="s">
        <v>178</v>
      </c>
      <c r="I1268" s="229">
        <v>584220.47</v>
      </c>
      <c r="J1268" s="229">
        <f>I1268/D1267</f>
        <v>107.21</v>
      </c>
      <c r="K1268" s="229">
        <f>151+18</f>
        <v>169</v>
      </c>
    </row>
    <row r="1269" spans="1:11" s="71" customFormat="1" x14ac:dyDescent="0.25">
      <c r="A1269" s="360"/>
      <c r="B1269" s="360"/>
      <c r="C1269" s="372"/>
      <c r="D1269" s="292"/>
      <c r="E1269" s="292"/>
      <c r="F1269" s="367"/>
      <c r="G1269" s="360"/>
      <c r="H1269" s="91" t="s">
        <v>67</v>
      </c>
      <c r="I1269" s="229">
        <f>D1267*K1269</f>
        <v>20690232.699999999</v>
      </c>
      <c r="J1269" s="229">
        <f>I1269/D1267</f>
        <v>3797</v>
      </c>
      <c r="K1269" s="229">
        <v>3797</v>
      </c>
    </row>
    <row r="1270" spans="1:11" s="71" customFormat="1" x14ac:dyDescent="0.25">
      <c r="A1270" s="360"/>
      <c r="B1270" s="360"/>
      <c r="C1270" s="372"/>
      <c r="D1270" s="292"/>
      <c r="E1270" s="292"/>
      <c r="F1270" s="367"/>
      <c r="G1270" s="360"/>
      <c r="H1270" s="91" t="s">
        <v>69</v>
      </c>
      <c r="I1270" s="229">
        <v>0</v>
      </c>
      <c r="J1270" s="229">
        <f>I1270/D1267</f>
        <v>0</v>
      </c>
      <c r="K1270" s="229">
        <v>81</v>
      </c>
    </row>
    <row r="1271" spans="1:11" s="71" customFormat="1" x14ac:dyDescent="0.25">
      <c r="A1271" s="359">
        <f>A1267+1</f>
        <v>18</v>
      </c>
      <c r="B1271" s="359">
        <v>5925</v>
      </c>
      <c r="C1271" s="371" t="s">
        <v>398</v>
      </c>
      <c r="D1271" s="291">
        <v>3413.9</v>
      </c>
      <c r="E1271" s="291" t="s">
        <v>68</v>
      </c>
      <c r="F1271" s="366">
        <v>5</v>
      </c>
      <c r="G1271" s="359" t="s">
        <v>65</v>
      </c>
      <c r="H1271" s="91" t="s">
        <v>66</v>
      </c>
      <c r="I1271" s="229">
        <f>I1272+I1273</f>
        <v>4325282.45</v>
      </c>
      <c r="J1271" s="229">
        <f>J1272+J1273</f>
        <v>1266.96</v>
      </c>
      <c r="K1271" s="229">
        <f>K1272+K1273</f>
        <v>3966</v>
      </c>
    </row>
    <row r="1272" spans="1:11" s="71" customFormat="1" ht="63" x14ac:dyDescent="0.25">
      <c r="A1272" s="360"/>
      <c r="B1272" s="360"/>
      <c r="C1272" s="372"/>
      <c r="D1272" s="292"/>
      <c r="E1272" s="292"/>
      <c r="F1272" s="367"/>
      <c r="G1272" s="360"/>
      <c r="H1272" s="91" t="s">
        <v>178</v>
      </c>
      <c r="I1272" s="229">
        <v>436508.96</v>
      </c>
      <c r="J1272" s="229">
        <f>I1272/D1271</f>
        <v>127.86</v>
      </c>
      <c r="K1272" s="229">
        <f>151+18</f>
        <v>169</v>
      </c>
    </row>
    <row r="1273" spans="1:11" s="71" customFormat="1" x14ac:dyDescent="0.25">
      <c r="A1273" s="360"/>
      <c r="B1273" s="360"/>
      <c r="C1273" s="372"/>
      <c r="D1273" s="292"/>
      <c r="E1273" s="292"/>
      <c r="F1273" s="367"/>
      <c r="G1273" s="360"/>
      <c r="H1273" s="91" t="s">
        <v>67</v>
      </c>
      <c r="I1273" s="229">
        <f>D1271*K1273*30/100</f>
        <v>3888773.49</v>
      </c>
      <c r="J1273" s="229">
        <f>I1273/D1271</f>
        <v>1139.0999999999999</v>
      </c>
      <c r="K1273" s="229">
        <v>3797</v>
      </c>
    </row>
    <row r="1274" spans="1:11" s="71" customFormat="1" x14ac:dyDescent="0.25">
      <c r="A1274" s="359">
        <f>A1271+1</f>
        <v>19</v>
      </c>
      <c r="B1274" s="359">
        <v>5928</v>
      </c>
      <c r="C1274" s="371" t="s">
        <v>399</v>
      </c>
      <c r="D1274" s="291">
        <v>5262.7</v>
      </c>
      <c r="E1274" s="291" t="s">
        <v>68</v>
      </c>
      <c r="F1274" s="366">
        <v>5</v>
      </c>
      <c r="G1274" s="359" t="s">
        <v>65</v>
      </c>
      <c r="H1274" s="91" t="s">
        <v>66</v>
      </c>
      <c r="I1274" s="229">
        <f>I1275+I1276</f>
        <v>6566241.5199999996</v>
      </c>
      <c r="J1274" s="229">
        <f>J1275+J1276</f>
        <v>1247.69</v>
      </c>
      <c r="K1274" s="229">
        <f>K1275+K1276</f>
        <v>3966</v>
      </c>
    </row>
    <row r="1275" spans="1:11" s="71" customFormat="1" ht="63" x14ac:dyDescent="0.25">
      <c r="A1275" s="360"/>
      <c r="B1275" s="360"/>
      <c r="C1275" s="372"/>
      <c r="D1275" s="292"/>
      <c r="E1275" s="292"/>
      <c r="F1275" s="367"/>
      <c r="G1275" s="360"/>
      <c r="H1275" s="91" t="s">
        <v>178</v>
      </c>
      <c r="I1275" s="229">
        <v>571499.94999999995</v>
      </c>
      <c r="J1275" s="229">
        <f>I1275/D1274</f>
        <v>108.59</v>
      </c>
      <c r="K1275" s="229">
        <f>151+18</f>
        <v>169</v>
      </c>
    </row>
    <row r="1276" spans="1:11" s="71" customFormat="1" x14ac:dyDescent="0.25">
      <c r="A1276" s="360"/>
      <c r="B1276" s="360"/>
      <c r="C1276" s="372"/>
      <c r="D1276" s="292"/>
      <c r="E1276" s="292"/>
      <c r="F1276" s="367"/>
      <c r="G1276" s="360"/>
      <c r="H1276" s="91" t="s">
        <v>67</v>
      </c>
      <c r="I1276" s="229">
        <f>D1274*K1276*30/100</f>
        <v>5994741.5700000003</v>
      </c>
      <c r="J1276" s="229">
        <f>I1276/D1274</f>
        <v>1139.0999999999999</v>
      </c>
      <c r="K1276" s="229">
        <v>3797</v>
      </c>
    </row>
    <row r="1277" spans="1:11" s="71" customFormat="1" x14ac:dyDescent="0.25">
      <c r="A1277" s="359">
        <f>A1274+1</f>
        <v>20</v>
      </c>
      <c r="B1277" s="359">
        <v>6080</v>
      </c>
      <c r="C1277" s="371" t="s">
        <v>400</v>
      </c>
      <c r="D1277" s="291">
        <v>2511.4</v>
      </c>
      <c r="E1277" s="366" t="s">
        <v>64</v>
      </c>
      <c r="F1277" s="366">
        <v>5</v>
      </c>
      <c r="G1277" s="27"/>
      <c r="H1277" s="91" t="s">
        <v>66</v>
      </c>
      <c r="I1277" s="229">
        <f>SUM(I1278:I1278)</f>
        <v>366807.82</v>
      </c>
      <c r="J1277" s="229">
        <f>SUM(J1278:J1278)</f>
        <v>146.06</v>
      </c>
      <c r="K1277" s="229">
        <f>SUM(K1278:K1278)</f>
        <v>169</v>
      </c>
    </row>
    <row r="1278" spans="1:11" s="71" customFormat="1" ht="63" x14ac:dyDescent="0.25">
      <c r="A1278" s="360"/>
      <c r="B1278" s="360"/>
      <c r="C1278" s="372"/>
      <c r="D1278" s="292"/>
      <c r="E1278" s="367"/>
      <c r="F1278" s="367"/>
      <c r="G1278" s="147" t="s">
        <v>65</v>
      </c>
      <c r="H1278" s="91" t="s">
        <v>168</v>
      </c>
      <c r="I1278" s="229">
        <v>366807.82</v>
      </c>
      <c r="J1278" s="229">
        <f>I1278/D1277</f>
        <v>146.06</v>
      </c>
      <c r="K1278" s="229">
        <f>151+18</f>
        <v>169</v>
      </c>
    </row>
    <row r="1279" spans="1:11" s="71" customFormat="1" x14ac:dyDescent="0.25">
      <c r="A1279" s="359">
        <f>A1277+1</f>
        <v>21</v>
      </c>
      <c r="B1279" s="359">
        <v>6090</v>
      </c>
      <c r="C1279" s="359" t="s">
        <v>676</v>
      </c>
      <c r="D1279" s="291">
        <v>3430.2</v>
      </c>
      <c r="E1279" s="366" t="s">
        <v>64</v>
      </c>
      <c r="F1279" s="366">
        <v>5</v>
      </c>
      <c r="G1279" s="27"/>
      <c r="H1279" s="91" t="s">
        <v>66</v>
      </c>
      <c r="I1279" s="229">
        <f>I1280</f>
        <v>579703.80000000005</v>
      </c>
      <c r="J1279" s="229">
        <f>J1280</f>
        <v>169</v>
      </c>
      <c r="K1279" s="229">
        <f>K1280</f>
        <v>169</v>
      </c>
    </row>
    <row r="1280" spans="1:11" s="71" customFormat="1" ht="63" x14ac:dyDescent="0.25">
      <c r="A1280" s="360"/>
      <c r="B1280" s="360"/>
      <c r="C1280" s="360"/>
      <c r="D1280" s="292"/>
      <c r="E1280" s="367"/>
      <c r="F1280" s="367"/>
      <c r="G1280" s="147" t="s">
        <v>65</v>
      </c>
      <c r="H1280" s="91" t="s">
        <v>178</v>
      </c>
      <c r="I1280" s="229">
        <f>D1279*K1280</f>
        <v>579703.80000000005</v>
      </c>
      <c r="J1280" s="229">
        <f>I1280/D1279</f>
        <v>169</v>
      </c>
      <c r="K1280" s="229">
        <f>151+18</f>
        <v>169</v>
      </c>
    </row>
    <row r="1281" spans="1:11" s="71" customFormat="1" ht="15.75" customHeight="1" x14ac:dyDescent="0.25">
      <c r="A1281" s="359">
        <f>A1279+1</f>
        <v>22</v>
      </c>
      <c r="B1281" s="359">
        <v>6117</v>
      </c>
      <c r="C1281" s="371" t="s">
        <v>417</v>
      </c>
      <c r="D1281" s="291">
        <v>4372.33</v>
      </c>
      <c r="E1281" s="291" t="s">
        <v>64</v>
      </c>
      <c r="F1281" s="366">
        <v>5</v>
      </c>
      <c r="G1281" s="359" t="s">
        <v>65</v>
      </c>
      <c r="H1281" s="91" t="s">
        <v>66</v>
      </c>
      <c r="I1281" s="229">
        <f>I1282</f>
        <v>481754</v>
      </c>
      <c r="J1281" s="229">
        <f>J1282</f>
        <v>110.18</v>
      </c>
      <c r="K1281" s="229">
        <f>K1282</f>
        <v>169</v>
      </c>
    </row>
    <row r="1282" spans="1:11" s="71" customFormat="1" ht="63" x14ac:dyDescent="0.25">
      <c r="A1282" s="360"/>
      <c r="B1282" s="360"/>
      <c r="C1282" s="372"/>
      <c r="D1282" s="292"/>
      <c r="E1282" s="292"/>
      <c r="F1282" s="367"/>
      <c r="G1282" s="360"/>
      <c r="H1282" s="91" t="s">
        <v>178</v>
      </c>
      <c r="I1282" s="229">
        <v>481754</v>
      </c>
      <c r="J1282" s="229">
        <f>I1282/D1281</f>
        <v>110.18</v>
      </c>
      <c r="K1282" s="229">
        <f>151+18</f>
        <v>169</v>
      </c>
    </row>
    <row r="1283" spans="1:11" s="71" customFormat="1" ht="15.75" customHeight="1" x14ac:dyDescent="0.25">
      <c r="A1283" s="359">
        <f>A1281+1</f>
        <v>23</v>
      </c>
      <c r="B1283" s="359">
        <v>6120</v>
      </c>
      <c r="C1283" s="371" t="s">
        <v>555</v>
      </c>
      <c r="D1283" s="291">
        <v>2259.1</v>
      </c>
      <c r="E1283" s="359" t="s">
        <v>68</v>
      </c>
      <c r="F1283" s="359">
        <v>9</v>
      </c>
      <c r="G1283" s="158"/>
      <c r="H1283" s="91" t="s">
        <v>66</v>
      </c>
      <c r="I1283" s="229">
        <f>SUM(I1284:I1285)</f>
        <v>1894191.72</v>
      </c>
      <c r="J1283" s="229">
        <f>SUM(J1284:J1285)</f>
        <v>838.47</v>
      </c>
      <c r="K1283" s="229">
        <f>SUM(K1284:K1285)</f>
        <v>1013.5</v>
      </c>
    </row>
    <row r="1284" spans="1:11" s="71" customFormat="1" x14ac:dyDescent="0.25">
      <c r="A1284" s="360"/>
      <c r="B1284" s="360"/>
      <c r="C1284" s="372"/>
      <c r="D1284" s="292"/>
      <c r="E1284" s="360"/>
      <c r="F1284" s="360"/>
      <c r="G1284" s="359" t="s">
        <v>170</v>
      </c>
      <c r="H1284" s="91" t="s">
        <v>171</v>
      </c>
      <c r="I1284" s="229">
        <v>1894191.72</v>
      </c>
      <c r="J1284" s="229">
        <f>I1284/D1283</f>
        <v>838.47</v>
      </c>
      <c r="K1284" s="229">
        <f>2241647/D1283</f>
        <v>992.27</v>
      </c>
    </row>
    <row r="1285" spans="1:11" s="71" customFormat="1" x14ac:dyDescent="0.25">
      <c r="A1285" s="368"/>
      <c r="B1285" s="368"/>
      <c r="C1285" s="396"/>
      <c r="D1285" s="293"/>
      <c r="E1285" s="368"/>
      <c r="F1285" s="368"/>
      <c r="G1285" s="368"/>
      <c r="H1285" s="91" t="s">
        <v>69</v>
      </c>
      <c r="I1285" s="229">
        <v>0</v>
      </c>
      <c r="J1285" s="229">
        <f>I1285/D1283</f>
        <v>0</v>
      </c>
      <c r="K1285" s="229">
        <f>47971/D1283</f>
        <v>21.23</v>
      </c>
    </row>
    <row r="1286" spans="1:11" s="71" customFormat="1" x14ac:dyDescent="0.25">
      <c r="A1286" s="359">
        <f>A1283+1</f>
        <v>24</v>
      </c>
      <c r="B1286" s="359">
        <v>6145</v>
      </c>
      <c r="C1286" s="371" t="s">
        <v>401</v>
      </c>
      <c r="D1286" s="291">
        <v>1653.94</v>
      </c>
      <c r="E1286" s="366" t="s">
        <v>180</v>
      </c>
      <c r="F1286" s="366">
        <v>4</v>
      </c>
      <c r="G1286" s="27"/>
      <c r="H1286" s="91" t="s">
        <v>66</v>
      </c>
      <c r="I1286" s="229">
        <f>SUM(I1287:I1289)</f>
        <v>322518.3</v>
      </c>
      <c r="J1286" s="229">
        <f>SUM(J1287:J1289)</f>
        <v>195</v>
      </c>
      <c r="K1286" s="229">
        <f>SUM(K1287:K1289)</f>
        <v>195</v>
      </c>
    </row>
    <row r="1287" spans="1:11" s="71" customFormat="1" ht="63" x14ac:dyDescent="0.25">
      <c r="A1287" s="360"/>
      <c r="B1287" s="360"/>
      <c r="C1287" s="372"/>
      <c r="D1287" s="292"/>
      <c r="E1287" s="367"/>
      <c r="F1287" s="367"/>
      <c r="G1287" s="147" t="s">
        <v>70</v>
      </c>
      <c r="H1287" s="91" t="s">
        <v>168</v>
      </c>
      <c r="I1287" s="229">
        <f>D1286*K1287</f>
        <v>226589.78</v>
      </c>
      <c r="J1287" s="229">
        <f>I1287/D1286</f>
        <v>137</v>
      </c>
      <c r="K1287" s="229">
        <f>116+21</f>
        <v>137</v>
      </c>
    </row>
    <row r="1288" spans="1:11" s="71" customFormat="1" ht="63" x14ac:dyDescent="0.25">
      <c r="A1288" s="360"/>
      <c r="B1288" s="360"/>
      <c r="C1288" s="372"/>
      <c r="D1288" s="292"/>
      <c r="E1288" s="367"/>
      <c r="F1288" s="367"/>
      <c r="G1288" s="147" t="s">
        <v>71</v>
      </c>
      <c r="H1288" s="91" t="s">
        <v>168</v>
      </c>
      <c r="I1288" s="229">
        <f>D1286*K1288</f>
        <v>47964.26</v>
      </c>
      <c r="J1288" s="229">
        <f>I1288/D1286</f>
        <v>29</v>
      </c>
      <c r="K1288" s="229">
        <f>21+8</f>
        <v>29</v>
      </c>
    </row>
    <row r="1289" spans="1:11" s="71" customFormat="1" ht="63" x14ac:dyDescent="0.25">
      <c r="A1289" s="360"/>
      <c r="B1289" s="360"/>
      <c r="C1289" s="372"/>
      <c r="D1289" s="292"/>
      <c r="E1289" s="367"/>
      <c r="F1289" s="367"/>
      <c r="G1289" s="147" t="s">
        <v>72</v>
      </c>
      <c r="H1289" s="91" t="s">
        <v>168</v>
      </c>
      <c r="I1289" s="229">
        <f>D1286*K1289</f>
        <v>47964.26</v>
      </c>
      <c r="J1289" s="229">
        <f>I1289/D1286</f>
        <v>29</v>
      </c>
      <c r="K1289" s="229">
        <f>22+7</f>
        <v>29</v>
      </c>
    </row>
    <row r="1290" spans="1:11" s="71" customFormat="1" x14ac:dyDescent="0.25">
      <c r="A1290" s="359">
        <f>A1286+1</f>
        <v>25</v>
      </c>
      <c r="B1290" s="359">
        <v>6162</v>
      </c>
      <c r="C1290" s="359" t="s">
        <v>677</v>
      </c>
      <c r="D1290" s="291">
        <v>2535.1</v>
      </c>
      <c r="E1290" s="366" t="s">
        <v>64</v>
      </c>
      <c r="F1290" s="366">
        <v>5</v>
      </c>
      <c r="G1290" s="27"/>
      <c r="H1290" s="91" t="s">
        <v>66</v>
      </c>
      <c r="I1290" s="229">
        <f>I1291</f>
        <v>428431.9</v>
      </c>
      <c r="J1290" s="229">
        <f>J1291</f>
        <v>169</v>
      </c>
      <c r="K1290" s="229">
        <f>K1291</f>
        <v>169</v>
      </c>
    </row>
    <row r="1291" spans="1:11" s="71" customFormat="1" ht="63" x14ac:dyDescent="0.25">
      <c r="A1291" s="360"/>
      <c r="B1291" s="360"/>
      <c r="C1291" s="360"/>
      <c r="D1291" s="292"/>
      <c r="E1291" s="367"/>
      <c r="F1291" s="367"/>
      <c r="G1291" s="147" t="s">
        <v>65</v>
      </c>
      <c r="H1291" s="91" t="s">
        <v>178</v>
      </c>
      <c r="I1291" s="229">
        <f>D1290*K1291</f>
        <v>428431.9</v>
      </c>
      <c r="J1291" s="229">
        <f>I1291/D1290</f>
        <v>169</v>
      </c>
      <c r="K1291" s="229">
        <f>151+18</f>
        <v>169</v>
      </c>
    </row>
    <row r="1292" spans="1:11" s="71" customFormat="1" x14ac:dyDescent="0.25">
      <c r="A1292" s="359">
        <f>A1290+1</f>
        <v>26</v>
      </c>
      <c r="B1292" s="359">
        <v>6163</v>
      </c>
      <c r="C1292" s="371" t="s">
        <v>402</v>
      </c>
      <c r="D1292" s="291">
        <v>2467.5</v>
      </c>
      <c r="E1292" s="366" t="s">
        <v>68</v>
      </c>
      <c r="F1292" s="366">
        <v>5</v>
      </c>
      <c r="G1292" s="27"/>
      <c r="H1292" s="91" t="s">
        <v>66</v>
      </c>
      <c r="I1292" s="229">
        <f>SUM(I1293:I1293)</f>
        <v>377868.87</v>
      </c>
      <c r="J1292" s="229">
        <f>SUM(J1293:J1293)</f>
        <v>153.13999999999999</v>
      </c>
      <c r="K1292" s="229">
        <f>SUM(K1293:K1293)</f>
        <v>169</v>
      </c>
    </row>
    <row r="1293" spans="1:11" s="71" customFormat="1" ht="63" x14ac:dyDescent="0.25">
      <c r="A1293" s="360"/>
      <c r="B1293" s="360"/>
      <c r="C1293" s="372"/>
      <c r="D1293" s="292"/>
      <c r="E1293" s="367"/>
      <c r="F1293" s="367"/>
      <c r="G1293" s="147" t="s">
        <v>65</v>
      </c>
      <c r="H1293" s="91" t="s">
        <v>168</v>
      </c>
      <c r="I1293" s="229">
        <v>377868.87</v>
      </c>
      <c r="J1293" s="229">
        <f>I1293/D1292</f>
        <v>153.13999999999999</v>
      </c>
      <c r="K1293" s="229">
        <f>151+18</f>
        <v>169</v>
      </c>
    </row>
    <row r="1294" spans="1:11" s="71" customFormat="1" x14ac:dyDescent="0.25">
      <c r="A1294" s="359">
        <f>A1292+1</f>
        <v>27</v>
      </c>
      <c r="B1294" s="359">
        <v>6183</v>
      </c>
      <c r="C1294" s="371" t="s">
        <v>386</v>
      </c>
      <c r="D1294" s="291">
        <v>9992</v>
      </c>
      <c r="E1294" s="291" t="s">
        <v>68</v>
      </c>
      <c r="F1294" s="366">
        <v>10</v>
      </c>
      <c r="G1294" s="359" t="s">
        <v>65</v>
      </c>
      <c r="H1294" s="91" t="s">
        <v>66</v>
      </c>
      <c r="I1294" s="229">
        <f>I1295+I1296</f>
        <v>12500227.42</v>
      </c>
      <c r="J1294" s="229">
        <f>J1295+J1296</f>
        <v>1251.02</v>
      </c>
      <c r="K1294" s="229">
        <f>K1295+K1296</f>
        <v>2492</v>
      </c>
    </row>
    <row r="1295" spans="1:11" s="71" customFormat="1" x14ac:dyDescent="0.25">
      <c r="A1295" s="360"/>
      <c r="B1295" s="360"/>
      <c r="C1295" s="372"/>
      <c r="D1295" s="292"/>
      <c r="E1295" s="292"/>
      <c r="F1295" s="367"/>
      <c r="G1295" s="360"/>
      <c r="H1295" s="91" t="s">
        <v>67</v>
      </c>
      <c r="I1295" s="229">
        <v>12500227.42</v>
      </c>
      <c r="J1295" s="229">
        <f>I1295/D1294</f>
        <v>1251.02</v>
      </c>
      <c r="K1295" s="229">
        <v>2440</v>
      </c>
    </row>
    <row r="1296" spans="1:11" s="71" customFormat="1" x14ac:dyDescent="0.25">
      <c r="A1296" s="368"/>
      <c r="B1296" s="368"/>
      <c r="C1296" s="396"/>
      <c r="D1296" s="293"/>
      <c r="E1296" s="293"/>
      <c r="F1296" s="383"/>
      <c r="G1296" s="368"/>
      <c r="H1296" s="91" t="s">
        <v>69</v>
      </c>
      <c r="I1296" s="229">
        <f>0</f>
        <v>0</v>
      </c>
      <c r="J1296" s="229">
        <f>I1296/D1294</f>
        <v>0</v>
      </c>
      <c r="K1296" s="229">
        <v>52</v>
      </c>
    </row>
    <row r="1297" spans="1:11" s="71" customFormat="1" x14ac:dyDescent="0.25">
      <c r="A1297" s="359">
        <f>A1294+1</f>
        <v>28</v>
      </c>
      <c r="B1297" s="359">
        <v>6184</v>
      </c>
      <c r="C1297" s="371" t="s">
        <v>387</v>
      </c>
      <c r="D1297" s="291">
        <v>10125.5</v>
      </c>
      <c r="E1297" s="291" t="s">
        <v>68</v>
      </c>
      <c r="F1297" s="366">
        <v>10</v>
      </c>
      <c r="G1297" s="359" t="s">
        <v>65</v>
      </c>
      <c r="H1297" s="91" t="s">
        <v>66</v>
      </c>
      <c r="I1297" s="229">
        <f>I1298+I1299</f>
        <v>12812071.470000001</v>
      </c>
      <c r="J1297" s="229">
        <f>J1298+J1299</f>
        <v>1265.33</v>
      </c>
      <c r="K1297" s="229">
        <f>K1298+K1299</f>
        <v>2492</v>
      </c>
    </row>
    <row r="1298" spans="1:11" s="71" customFormat="1" x14ac:dyDescent="0.25">
      <c r="A1298" s="360"/>
      <c r="B1298" s="360"/>
      <c r="C1298" s="372"/>
      <c r="D1298" s="292"/>
      <c r="E1298" s="292"/>
      <c r="F1298" s="367"/>
      <c r="G1298" s="360"/>
      <c r="H1298" s="91" t="s">
        <v>67</v>
      </c>
      <c r="I1298" s="229">
        <v>12812071.470000001</v>
      </c>
      <c r="J1298" s="229">
        <f>I1298/D1297</f>
        <v>1265.33</v>
      </c>
      <c r="K1298" s="229">
        <v>2440</v>
      </c>
    </row>
    <row r="1299" spans="1:11" s="71" customFormat="1" x14ac:dyDescent="0.25">
      <c r="A1299" s="368"/>
      <c r="B1299" s="368"/>
      <c r="C1299" s="396"/>
      <c r="D1299" s="293"/>
      <c r="E1299" s="293"/>
      <c r="F1299" s="383"/>
      <c r="G1299" s="368"/>
      <c r="H1299" s="91" t="s">
        <v>69</v>
      </c>
      <c r="I1299" s="229">
        <f>0</f>
        <v>0</v>
      </c>
      <c r="J1299" s="229">
        <f>I1299/D1297</f>
        <v>0</v>
      </c>
      <c r="K1299" s="229">
        <v>52</v>
      </c>
    </row>
    <row r="1300" spans="1:11" s="71" customFormat="1" x14ac:dyDescent="0.25">
      <c r="A1300" s="359">
        <f>A1297+1</f>
        <v>29</v>
      </c>
      <c r="B1300" s="359">
        <v>6193</v>
      </c>
      <c r="C1300" s="371" t="s">
        <v>556</v>
      </c>
      <c r="D1300" s="291">
        <v>11067.6</v>
      </c>
      <c r="E1300" s="359" t="s">
        <v>64</v>
      </c>
      <c r="F1300" s="359">
        <v>9</v>
      </c>
      <c r="G1300" s="158"/>
      <c r="H1300" s="91" t="s">
        <v>66</v>
      </c>
      <c r="I1300" s="229">
        <f>SUM(I1301:I1302)</f>
        <v>2241647</v>
      </c>
      <c r="J1300" s="229">
        <f>SUM(J1301:J1302)</f>
        <v>202.54</v>
      </c>
      <c r="K1300" s="229">
        <f>SUM(K1301:K1302)</f>
        <v>206.87</v>
      </c>
    </row>
    <row r="1301" spans="1:11" s="71" customFormat="1" x14ac:dyDescent="0.25">
      <c r="A1301" s="360"/>
      <c r="B1301" s="360"/>
      <c r="C1301" s="372"/>
      <c r="D1301" s="292"/>
      <c r="E1301" s="360"/>
      <c r="F1301" s="360"/>
      <c r="G1301" s="359" t="s">
        <v>170</v>
      </c>
      <c r="H1301" s="91" t="s">
        <v>171</v>
      </c>
      <c r="I1301" s="229">
        <f>2241647</f>
        <v>2241647</v>
      </c>
      <c r="J1301" s="229">
        <f>I1301/D1300</f>
        <v>202.54</v>
      </c>
      <c r="K1301" s="229">
        <f>2241647/D1300</f>
        <v>202.54</v>
      </c>
    </row>
    <row r="1302" spans="1:11" s="71" customFormat="1" x14ac:dyDescent="0.25">
      <c r="A1302" s="368"/>
      <c r="B1302" s="368"/>
      <c r="C1302" s="396"/>
      <c r="D1302" s="293"/>
      <c r="E1302" s="368"/>
      <c r="F1302" s="368"/>
      <c r="G1302" s="368"/>
      <c r="H1302" s="91" t="s">
        <v>69</v>
      </c>
      <c r="I1302" s="229">
        <v>0</v>
      </c>
      <c r="J1302" s="229">
        <f>I1302/D1300</f>
        <v>0</v>
      </c>
      <c r="K1302" s="229">
        <f>47971/D1300</f>
        <v>4.33</v>
      </c>
    </row>
    <row r="1303" spans="1:11" s="71" customFormat="1" x14ac:dyDescent="0.25">
      <c r="A1303" s="359">
        <f>A1300+1</f>
        <v>30</v>
      </c>
      <c r="B1303" s="359">
        <v>6304</v>
      </c>
      <c r="C1303" s="371" t="s">
        <v>403</v>
      </c>
      <c r="D1303" s="291">
        <v>3493.48</v>
      </c>
      <c r="E1303" s="291" t="s">
        <v>68</v>
      </c>
      <c r="F1303" s="366">
        <v>5</v>
      </c>
      <c r="G1303" s="359" t="s">
        <v>65</v>
      </c>
      <c r="H1303" s="91" t="s">
        <v>66</v>
      </c>
      <c r="I1303" s="229">
        <f>I1304</f>
        <v>444118.28</v>
      </c>
      <c r="J1303" s="229">
        <f>J1304</f>
        <v>127.13</v>
      </c>
      <c r="K1303" s="229">
        <f>K1304</f>
        <v>169</v>
      </c>
    </row>
    <row r="1304" spans="1:11" s="71" customFormat="1" ht="63" x14ac:dyDescent="0.25">
      <c r="A1304" s="360"/>
      <c r="B1304" s="360"/>
      <c r="C1304" s="372"/>
      <c r="D1304" s="292"/>
      <c r="E1304" s="292"/>
      <c r="F1304" s="367"/>
      <c r="G1304" s="360"/>
      <c r="H1304" s="91" t="s">
        <v>178</v>
      </c>
      <c r="I1304" s="229">
        <v>444118.28</v>
      </c>
      <c r="J1304" s="229">
        <f>I1304/D1303</f>
        <v>127.13</v>
      </c>
      <c r="K1304" s="229">
        <f>151+18</f>
        <v>169</v>
      </c>
    </row>
    <row r="1305" spans="1:11" s="71" customFormat="1" x14ac:dyDescent="0.25">
      <c r="A1305" s="359">
        <f>A1303+1</f>
        <v>31</v>
      </c>
      <c r="B1305" s="359">
        <v>6320</v>
      </c>
      <c r="C1305" s="371" t="s">
        <v>563</v>
      </c>
      <c r="D1305" s="291">
        <v>6684.9</v>
      </c>
      <c r="E1305" s="359" t="s">
        <v>64</v>
      </c>
      <c r="F1305" s="359">
        <v>10</v>
      </c>
      <c r="G1305" s="158"/>
      <c r="H1305" s="91" t="s">
        <v>66</v>
      </c>
      <c r="I1305" s="229">
        <f>SUM(I1306:I1308)</f>
        <v>96843</v>
      </c>
      <c r="J1305" s="229">
        <f>SUM(J1306:J1308)</f>
        <v>14.49</v>
      </c>
      <c r="K1305" s="229">
        <f>SUM(K1306:K1308)</f>
        <v>14.49</v>
      </c>
    </row>
    <row r="1306" spans="1:11" s="71" customFormat="1" ht="63" x14ac:dyDescent="0.25">
      <c r="A1306" s="360"/>
      <c r="B1306" s="360"/>
      <c r="C1306" s="372"/>
      <c r="D1306" s="292"/>
      <c r="E1306" s="360"/>
      <c r="F1306" s="360"/>
      <c r="G1306" s="147" t="s">
        <v>170</v>
      </c>
      <c r="H1306" s="91" t="s">
        <v>168</v>
      </c>
      <c r="I1306" s="229">
        <f>22681+9600</f>
        <v>32281</v>
      </c>
      <c r="J1306" s="229">
        <f>I1306/D1305</f>
        <v>4.83</v>
      </c>
      <c r="K1306" s="229">
        <f>(22681+9600)/D1305</f>
        <v>4.83</v>
      </c>
    </row>
    <row r="1307" spans="1:11" s="71" customFormat="1" ht="63" x14ac:dyDescent="0.25">
      <c r="A1307" s="360"/>
      <c r="B1307" s="360"/>
      <c r="C1307" s="372"/>
      <c r="D1307" s="292"/>
      <c r="E1307" s="360"/>
      <c r="F1307" s="360"/>
      <c r="G1307" s="147" t="s">
        <v>173</v>
      </c>
      <c r="H1307" s="91" t="s">
        <v>168</v>
      </c>
      <c r="I1307" s="229">
        <f>22681+9600</f>
        <v>32281</v>
      </c>
      <c r="J1307" s="229">
        <f>I1307/D1305</f>
        <v>4.83</v>
      </c>
      <c r="K1307" s="229">
        <f>(22681+9600)/D1305</f>
        <v>4.83</v>
      </c>
    </row>
    <row r="1308" spans="1:11" s="71" customFormat="1" ht="63" x14ac:dyDescent="0.25">
      <c r="A1308" s="360"/>
      <c r="B1308" s="360"/>
      <c r="C1308" s="372"/>
      <c r="D1308" s="292"/>
      <c r="E1308" s="360"/>
      <c r="F1308" s="360"/>
      <c r="G1308" s="147" t="s">
        <v>174</v>
      </c>
      <c r="H1308" s="91" t="s">
        <v>168</v>
      </c>
      <c r="I1308" s="229">
        <f>22681+9600</f>
        <v>32281</v>
      </c>
      <c r="J1308" s="229">
        <f>I1308/D1305</f>
        <v>4.83</v>
      </c>
      <c r="K1308" s="229">
        <f>(22681+9600)/D1305</f>
        <v>4.83</v>
      </c>
    </row>
    <row r="1309" spans="1:11" s="71" customFormat="1" x14ac:dyDescent="0.25">
      <c r="A1309" s="359">
        <f>A1305+1</f>
        <v>32</v>
      </c>
      <c r="B1309" s="359">
        <v>6330</v>
      </c>
      <c r="C1309" s="371" t="s">
        <v>557</v>
      </c>
      <c r="D1309" s="291">
        <v>10514.2</v>
      </c>
      <c r="E1309" s="291" t="s">
        <v>64</v>
      </c>
      <c r="F1309" s="366">
        <v>10</v>
      </c>
      <c r="G1309" s="158"/>
      <c r="H1309" s="91" t="s">
        <v>66</v>
      </c>
      <c r="I1309" s="229">
        <f>SUM(I1310:I1316)</f>
        <v>4580137</v>
      </c>
      <c r="J1309" s="229">
        <f>SUM(J1310:J1316)</f>
        <v>435.61</v>
      </c>
      <c r="K1309" s="229">
        <f>SUM(K1310:K1316)</f>
        <v>444.73</v>
      </c>
    </row>
    <row r="1310" spans="1:11" s="71" customFormat="1" ht="63" x14ac:dyDescent="0.25">
      <c r="A1310" s="360"/>
      <c r="B1310" s="360"/>
      <c r="C1310" s="372"/>
      <c r="D1310" s="292"/>
      <c r="E1310" s="292"/>
      <c r="F1310" s="367"/>
      <c r="G1310" s="147" t="s">
        <v>170</v>
      </c>
      <c r="H1310" s="91" t="s">
        <v>168</v>
      </c>
      <c r="I1310" s="229">
        <v>32281</v>
      </c>
      <c r="J1310" s="229">
        <f>I1310/D1309</f>
        <v>3.07</v>
      </c>
      <c r="K1310" s="229">
        <f>(22681+9600)/D1309</f>
        <v>3.07</v>
      </c>
    </row>
    <row r="1311" spans="1:11" s="71" customFormat="1" ht="63" x14ac:dyDescent="0.25">
      <c r="A1311" s="360"/>
      <c r="B1311" s="360"/>
      <c r="C1311" s="372"/>
      <c r="D1311" s="292"/>
      <c r="E1311" s="292"/>
      <c r="F1311" s="367"/>
      <c r="G1311" s="147" t="s">
        <v>173</v>
      </c>
      <c r="H1311" s="91" t="s">
        <v>168</v>
      </c>
      <c r="I1311" s="229">
        <v>32281</v>
      </c>
      <c r="J1311" s="229">
        <f>I1311/D1309</f>
        <v>3.07</v>
      </c>
      <c r="K1311" s="229">
        <f>(22681+9600)/D1309</f>
        <v>3.07</v>
      </c>
    </row>
    <row r="1312" spans="1:11" s="71" customFormat="1" ht="63" x14ac:dyDescent="0.25">
      <c r="A1312" s="360"/>
      <c r="B1312" s="360"/>
      <c r="C1312" s="372"/>
      <c r="D1312" s="292"/>
      <c r="E1312" s="292"/>
      <c r="F1312" s="367"/>
      <c r="G1312" s="146" t="s">
        <v>174</v>
      </c>
      <c r="H1312" s="91" t="s">
        <v>168</v>
      </c>
      <c r="I1312" s="229">
        <v>32281</v>
      </c>
      <c r="J1312" s="229">
        <f>I1312/D1309</f>
        <v>3.07</v>
      </c>
      <c r="K1312" s="229">
        <f>(22681+9600)/D1309</f>
        <v>3.07</v>
      </c>
    </row>
    <row r="1313" spans="1:11" s="71" customFormat="1" ht="31.5" customHeight="1" x14ac:dyDescent="0.25">
      <c r="A1313" s="360"/>
      <c r="B1313" s="360"/>
      <c r="C1313" s="372"/>
      <c r="D1313" s="292"/>
      <c r="E1313" s="292"/>
      <c r="F1313" s="367"/>
      <c r="G1313" s="359" t="s">
        <v>175</v>
      </c>
      <c r="H1313" s="91" t="s">
        <v>171</v>
      </c>
      <c r="I1313" s="229">
        <v>2241647</v>
      </c>
      <c r="J1313" s="229">
        <f>I1313/D1309</f>
        <v>213.2</v>
      </c>
      <c r="K1313" s="229">
        <f>2241647/D1309</f>
        <v>213.2</v>
      </c>
    </row>
    <row r="1314" spans="1:11" s="71" customFormat="1" x14ac:dyDescent="0.25">
      <c r="A1314" s="360"/>
      <c r="B1314" s="360"/>
      <c r="C1314" s="372"/>
      <c r="D1314" s="292"/>
      <c r="E1314" s="292"/>
      <c r="F1314" s="367"/>
      <c r="G1314" s="368"/>
      <c r="H1314" s="91" t="s">
        <v>69</v>
      </c>
      <c r="I1314" s="229">
        <v>0</v>
      </c>
      <c r="J1314" s="229">
        <f>I1314/D1309</f>
        <v>0</v>
      </c>
      <c r="K1314" s="229">
        <f>47971/D1309</f>
        <v>4.5599999999999996</v>
      </c>
    </row>
    <row r="1315" spans="1:11" s="71" customFormat="1" ht="31.5" customHeight="1" x14ac:dyDescent="0.25">
      <c r="A1315" s="360"/>
      <c r="B1315" s="360"/>
      <c r="C1315" s="372"/>
      <c r="D1315" s="292"/>
      <c r="E1315" s="292"/>
      <c r="F1315" s="367"/>
      <c r="G1315" s="359" t="s">
        <v>172</v>
      </c>
      <c r="H1315" s="91" t="s">
        <v>171</v>
      </c>
      <c r="I1315" s="229">
        <v>2241647</v>
      </c>
      <c r="J1315" s="229">
        <f>I1315/D1309</f>
        <v>213.2</v>
      </c>
      <c r="K1315" s="229">
        <f>2241647/D1309</f>
        <v>213.2</v>
      </c>
    </row>
    <row r="1316" spans="1:11" s="71" customFormat="1" x14ac:dyDescent="0.25">
      <c r="A1316" s="360"/>
      <c r="B1316" s="360"/>
      <c r="C1316" s="372"/>
      <c r="D1316" s="292"/>
      <c r="E1316" s="292"/>
      <c r="F1316" s="367"/>
      <c r="G1316" s="368"/>
      <c r="H1316" s="91" t="s">
        <v>69</v>
      </c>
      <c r="I1316" s="229">
        <v>0</v>
      </c>
      <c r="J1316" s="229">
        <f>I1316/D1309</f>
        <v>0</v>
      </c>
      <c r="K1316" s="229">
        <f>47971/D1309</f>
        <v>4.5599999999999996</v>
      </c>
    </row>
    <row r="1317" spans="1:11" s="71" customFormat="1" x14ac:dyDescent="0.25">
      <c r="A1317" s="359">
        <f>A1309+1</f>
        <v>33</v>
      </c>
      <c r="B1317" s="359">
        <v>6359</v>
      </c>
      <c r="C1317" s="371" t="s">
        <v>404</v>
      </c>
      <c r="D1317" s="291">
        <v>3142.8</v>
      </c>
      <c r="E1317" s="366" t="s">
        <v>68</v>
      </c>
      <c r="F1317" s="366">
        <v>5</v>
      </c>
      <c r="G1317" s="359" t="s">
        <v>65</v>
      </c>
      <c r="H1317" s="91" t="s">
        <v>66</v>
      </c>
      <c r="I1317" s="229">
        <f>SUM(I1318:I1320)</f>
        <v>14118727.6</v>
      </c>
      <c r="J1317" s="229">
        <f>SUM(J1318:J1320)</f>
        <v>4492.3999999999996</v>
      </c>
      <c r="K1317" s="229">
        <f>SUM(K1318:K1320)</f>
        <v>4617</v>
      </c>
    </row>
    <row r="1318" spans="1:11" s="71" customFormat="1" ht="63" x14ac:dyDescent="0.25">
      <c r="A1318" s="360"/>
      <c r="B1318" s="360"/>
      <c r="C1318" s="372"/>
      <c r="D1318" s="292"/>
      <c r="E1318" s="367"/>
      <c r="F1318" s="367"/>
      <c r="G1318" s="360"/>
      <c r="H1318" s="91" t="s">
        <v>168</v>
      </c>
      <c r="I1318" s="229">
        <v>431833.59999999998</v>
      </c>
      <c r="J1318" s="229">
        <f>I1318/D1317</f>
        <v>137.4</v>
      </c>
      <c r="K1318" s="229">
        <f>151+18</f>
        <v>169</v>
      </c>
    </row>
    <row r="1319" spans="1:11" s="71" customFormat="1" x14ac:dyDescent="0.25">
      <c r="A1319" s="360"/>
      <c r="B1319" s="360"/>
      <c r="C1319" s="372"/>
      <c r="D1319" s="292"/>
      <c r="E1319" s="367"/>
      <c r="F1319" s="367"/>
      <c r="G1319" s="360"/>
      <c r="H1319" s="91" t="s">
        <v>169</v>
      </c>
      <c r="I1319" s="229">
        <f>D1317*K1319</f>
        <v>13686894</v>
      </c>
      <c r="J1319" s="229">
        <f>I1319/D1317</f>
        <v>4355</v>
      </c>
      <c r="K1319" s="229">
        <v>4355</v>
      </c>
    </row>
    <row r="1320" spans="1:11" s="71" customFormat="1" x14ac:dyDescent="0.25">
      <c r="A1320" s="360"/>
      <c r="B1320" s="360"/>
      <c r="C1320" s="372"/>
      <c r="D1320" s="292"/>
      <c r="E1320" s="367"/>
      <c r="F1320" s="367"/>
      <c r="G1320" s="368"/>
      <c r="H1320" s="91" t="s">
        <v>69</v>
      </c>
      <c r="I1320" s="229">
        <v>0</v>
      </c>
      <c r="J1320" s="229">
        <f>I1320/D1317</f>
        <v>0</v>
      </c>
      <c r="K1320" s="229">
        <v>93</v>
      </c>
    </row>
    <row r="1321" spans="1:11" s="71" customFormat="1" x14ac:dyDescent="0.25">
      <c r="A1321" s="359">
        <f>A1317+1</f>
        <v>34</v>
      </c>
      <c r="B1321" s="359">
        <v>6360</v>
      </c>
      <c r="C1321" s="371" t="s">
        <v>405</v>
      </c>
      <c r="D1321" s="291">
        <v>2816.3</v>
      </c>
      <c r="E1321" s="366" t="s">
        <v>68</v>
      </c>
      <c r="F1321" s="366">
        <v>4</v>
      </c>
      <c r="G1321" s="359" t="s">
        <v>65</v>
      </c>
      <c r="H1321" s="91" t="s">
        <v>66</v>
      </c>
      <c r="I1321" s="229">
        <f>SUM(I1322:I1324)</f>
        <v>14782891.41</v>
      </c>
      <c r="J1321" s="229">
        <f>SUM(J1322:J1324)</f>
        <v>5249.05</v>
      </c>
      <c r="K1321" s="229">
        <f>SUM(K1322:K1324)</f>
        <v>5383</v>
      </c>
    </row>
    <row r="1322" spans="1:11" s="71" customFormat="1" ht="63" x14ac:dyDescent="0.25">
      <c r="A1322" s="360"/>
      <c r="B1322" s="360"/>
      <c r="C1322" s="372"/>
      <c r="D1322" s="292"/>
      <c r="E1322" s="367"/>
      <c r="F1322" s="367"/>
      <c r="G1322" s="360"/>
      <c r="H1322" s="91" t="s">
        <v>168</v>
      </c>
      <c r="I1322" s="229">
        <v>600004.61</v>
      </c>
      <c r="J1322" s="229">
        <f>I1322/D1321</f>
        <v>213.05</v>
      </c>
      <c r="K1322" s="229">
        <f>151+88</f>
        <v>239</v>
      </c>
    </row>
    <row r="1323" spans="1:11" s="71" customFormat="1" x14ac:dyDescent="0.25">
      <c r="A1323" s="360"/>
      <c r="B1323" s="360"/>
      <c r="C1323" s="372"/>
      <c r="D1323" s="292"/>
      <c r="E1323" s="367"/>
      <c r="F1323" s="367"/>
      <c r="G1323" s="360"/>
      <c r="H1323" s="91" t="s">
        <v>169</v>
      </c>
      <c r="I1323" s="229">
        <f>D1321*K1323</f>
        <v>14182886.800000001</v>
      </c>
      <c r="J1323" s="229">
        <f>I1323/D1321</f>
        <v>5036</v>
      </c>
      <c r="K1323" s="229">
        <v>5036</v>
      </c>
    </row>
    <row r="1324" spans="1:11" s="71" customFormat="1" x14ac:dyDescent="0.25">
      <c r="A1324" s="360"/>
      <c r="B1324" s="360"/>
      <c r="C1324" s="372"/>
      <c r="D1324" s="292"/>
      <c r="E1324" s="367"/>
      <c r="F1324" s="367"/>
      <c r="G1324" s="368"/>
      <c r="H1324" s="91" t="s">
        <v>69</v>
      </c>
      <c r="I1324" s="229">
        <v>0</v>
      </c>
      <c r="J1324" s="229">
        <f>I1324/D1321</f>
        <v>0</v>
      </c>
      <c r="K1324" s="229">
        <v>108</v>
      </c>
    </row>
    <row r="1325" spans="1:11" s="71" customFormat="1" x14ac:dyDescent="0.25">
      <c r="A1325" s="359">
        <f>A1321+1</f>
        <v>35</v>
      </c>
      <c r="B1325" s="359">
        <v>6363</v>
      </c>
      <c r="C1325" s="371" t="s">
        <v>406</v>
      </c>
      <c r="D1325" s="291">
        <v>2513.9</v>
      </c>
      <c r="E1325" s="291" t="s">
        <v>68</v>
      </c>
      <c r="F1325" s="366">
        <v>5</v>
      </c>
      <c r="G1325" s="359" t="s">
        <v>65</v>
      </c>
      <c r="H1325" s="91" t="s">
        <v>66</v>
      </c>
      <c r="I1325" s="229">
        <f>I1326+I1327+I1328</f>
        <v>9917545.9199999999</v>
      </c>
      <c r="J1325" s="229">
        <f t="shared" ref="J1325:K1325" si="57">J1326+J1327+J1328</f>
        <v>3945.08</v>
      </c>
      <c r="K1325" s="229">
        <f t="shared" si="57"/>
        <v>4047</v>
      </c>
    </row>
    <row r="1326" spans="1:11" s="71" customFormat="1" ht="63" x14ac:dyDescent="0.25">
      <c r="A1326" s="360"/>
      <c r="B1326" s="360"/>
      <c r="C1326" s="372"/>
      <c r="D1326" s="292"/>
      <c r="E1326" s="292"/>
      <c r="F1326" s="367"/>
      <c r="G1326" s="360"/>
      <c r="H1326" s="91" t="s">
        <v>178</v>
      </c>
      <c r="I1326" s="229">
        <v>372267.62</v>
      </c>
      <c r="J1326" s="229">
        <f>I1326/D1325</f>
        <v>148.08000000000001</v>
      </c>
      <c r="K1326" s="229">
        <f>151+18</f>
        <v>169</v>
      </c>
    </row>
    <row r="1327" spans="1:11" s="71" customFormat="1" x14ac:dyDescent="0.25">
      <c r="A1327" s="360"/>
      <c r="B1327" s="360"/>
      <c r="C1327" s="372"/>
      <c r="D1327" s="292"/>
      <c r="E1327" s="292"/>
      <c r="F1327" s="367"/>
      <c r="G1327" s="360"/>
      <c r="H1327" s="91" t="s">
        <v>67</v>
      </c>
      <c r="I1327" s="229">
        <f>D1325*K1327</f>
        <v>9545278.3000000007</v>
      </c>
      <c r="J1327" s="229">
        <f>I1327/D1325</f>
        <v>3797</v>
      </c>
      <c r="K1327" s="229">
        <v>3797</v>
      </c>
    </row>
    <row r="1328" spans="1:11" s="71" customFormat="1" x14ac:dyDescent="0.25">
      <c r="A1328" s="360"/>
      <c r="B1328" s="360"/>
      <c r="C1328" s="372"/>
      <c r="D1328" s="292"/>
      <c r="E1328" s="292"/>
      <c r="F1328" s="367"/>
      <c r="G1328" s="360"/>
      <c r="H1328" s="91" t="s">
        <v>69</v>
      </c>
      <c r="I1328" s="229">
        <v>0</v>
      </c>
      <c r="J1328" s="229">
        <f>I1328/D1325</f>
        <v>0</v>
      </c>
      <c r="K1328" s="229">
        <v>81</v>
      </c>
    </row>
    <row r="1329" spans="1:11" s="71" customFormat="1" x14ac:dyDescent="0.25">
      <c r="A1329" s="359">
        <f>A1325+1</f>
        <v>36</v>
      </c>
      <c r="B1329" s="359">
        <v>6364</v>
      </c>
      <c r="C1329" s="371" t="s">
        <v>388</v>
      </c>
      <c r="D1329" s="291">
        <v>2466.5</v>
      </c>
      <c r="E1329" s="291" t="s">
        <v>68</v>
      </c>
      <c r="F1329" s="366">
        <v>5</v>
      </c>
      <c r="G1329" s="359" t="s">
        <v>65</v>
      </c>
      <c r="H1329" s="91" t="s">
        <v>66</v>
      </c>
      <c r="I1329" s="229">
        <f>I1330+I1331</f>
        <v>5734299.3099999996</v>
      </c>
      <c r="J1329" s="229">
        <f>J1330+J1331</f>
        <v>2324.87</v>
      </c>
      <c r="K1329" s="229">
        <f>K1330+K1331</f>
        <v>3878</v>
      </c>
    </row>
    <row r="1330" spans="1:11" s="71" customFormat="1" x14ac:dyDescent="0.25">
      <c r="A1330" s="360"/>
      <c r="B1330" s="360"/>
      <c r="C1330" s="372"/>
      <c r="D1330" s="292"/>
      <c r="E1330" s="292"/>
      <c r="F1330" s="367"/>
      <c r="G1330" s="360"/>
      <c r="H1330" s="91" t="s">
        <v>67</v>
      </c>
      <c r="I1330" s="229">
        <f>8191856.16*0.7</f>
        <v>5734299.3099999996</v>
      </c>
      <c r="J1330" s="229">
        <f>I1330/D1329</f>
        <v>2324.87</v>
      </c>
      <c r="K1330" s="229">
        <v>3797</v>
      </c>
    </row>
    <row r="1331" spans="1:11" s="71" customFormat="1" x14ac:dyDescent="0.25">
      <c r="A1331" s="368"/>
      <c r="B1331" s="368"/>
      <c r="C1331" s="396"/>
      <c r="D1331" s="293"/>
      <c r="E1331" s="293"/>
      <c r="F1331" s="383"/>
      <c r="G1331" s="368"/>
      <c r="H1331" s="91" t="s">
        <v>69</v>
      </c>
      <c r="I1331" s="229">
        <v>0</v>
      </c>
      <c r="J1331" s="229">
        <f>I1331/D1329</f>
        <v>0</v>
      </c>
      <c r="K1331" s="229">
        <v>81</v>
      </c>
    </row>
    <row r="1332" spans="1:11" s="71" customFormat="1" x14ac:dyDescent="0.25">
      <c r="A1332" s="359">
        <f>A1329+1</f>
        <v>37</v>
      </c>
      <c r="B1332" s="359">
        <v>6365</v>
      </c>
      <c r="C1332" s="371" t="s">
        <v>407</v>
      </c>
      <c r="D1332" s="291">
        <v>2488.5</v>
      </c>
      <c r="E1332" s="291" t="s">
        <v>68</v>
      </c>
      <c r="F1332" s="366">
        <v>5</v>
      </c>
      <c r="G1332" s="359" t="s">
        <v>65</v>
      </c>
      <c r="H1332" s="91" t="s">
        <v>66</v>
      </c>
      <c r="I1332" s="229">
        <f>I1333+I1334+I1335</f>
        <v>9824585.4600000009</v>
      </c>
      <c r="J1332" s="229">
        <f t="shared" ref="J1332:K1332" si="58">J1333+J1334+J1335</f>
        <v>3947.99</v>
      </c>
      <c r="K1332" s="229">
        <f t="shared" si="58"/>
        <v>4047</v>
      </c>
    </row>
    <row r="1333" spans="1:11" s="71" customFormat="1" ht="63" x14ac:dyDescent="0.25">
      <c r="A1333" s="360"/>
      <c r="B1333" s="360"/>
      <c r="C1333" s="372"/>
      <c r="D1333" s="292"/>
      <c r="E1333" s="292"/>
      <c r="F1333" s="367"/>
      <c r="G1333" s="360"/>
      <c r="H1333" s="91" t="s">
        <v>178</v>
      </c>
      <c r="I1333" s="229">
        <f>330957.96+44793</f>
        <v>375750.96</v>
      </c>
      <c r="J1333" s="229">
        <f>I1333/D1332</f>
        <v>150.99</v>
      </c>
      <c r="K1333" s="229">
        <f>151+18</f>
        <v>169</v>
      </c>
    </row>
    <row r="1334" spans="1:11" s="71" customFormat="1" x14ac:dyDescent="0.25">
      <c r="A1334" s="360"/>
      <c r="B1334" s="360"/>
      <c r="C1334" s="372"/>
      <c r="D1334" s="292"/>
      <c r="E1334" s="292"/>
      <c r="F1334" s="367"/>
      <c r="G1334" s="360"/>
      <c r="H1334" s="91" t="s">
        <v>67</v>
      </c>
      <c r="I1334" s="229">
        <f>D1332*K1334</f>
        <v>9448834.5</v>
      </c>
      <c r="J1334" s="229">
        <f>I1334/D1332</f>
        <v>3797</v>
      </c>
      <c r="K1334" s="229">
        <v>3797</v>
      </c>
    </row>
    <row r="1335" spans="1:11" s="71" customFormat="1" x14ac:dyDescent="0.25">
      <c r="A1335" s="360"/>
      <c r="B1335" s="360"/>
      <c r="C1335" s="372"/>
      <c r="D1335" s="292"/>
      <c r="E1335" s="292"/>
      <c r="F1335" s="367"/>
      <c r="G1335" s="360"/>
      <c r="H1335" s="91" t="s">
        <v>69</v>
      </c>
      <c r="I1335" s="229">
        <v>0</v>
      </c>
      <c r="J1335" s="229">
        <f>I1335/D1332</f>
        <v>0</v>
      </c>
      <c r="K1335" s="229">
        <v>81</v>
      </c>
    </row>
    <row r="1336" spans="1:11" s="71" customFormat="1" x14ac:dyDescent="0.25">
      <c r="A1336" s="359">
        <f>A1332+1</f>
        <v>38</v>
      </c>
      <c r="B1336" s="359">
        <v>6373</v>
      </c>
      <c r="C1336" s="371" t="s">
        <v>558</v>
      </c>
      <c r="D1336" s="291">
        <v>8155.3</v>
      </c>
      <c r="E1336" s="291" t="s">
        <v>64</v>
      </c>
      <c r="F1336" s="366">
        <v>10</v>
      </c>
      <c r="G1336" s="158"/>
      <c r="H1336" s="91" t="s">
        <v>66</v>
      </c>
      <c r="I1336" s="229">
        <f>SUM(I1337:I1344)</f>
        <v>8966588</v>
      </c>
      <c r="J1336" s="229">
        <f>SUM(J1337:J1344)</f>
        <v>1099.48</v>
      </c>
      <c r="K1336" s="229">
        <f>SUM(K1337:K1344)</f>
        <v>1123</v>
      </c>
    </row>
    <row r="1337" spans="1:11" s="71" customFormat="1" x14ac:dyDescent="0.25">
      <c r="A1337" s="360"/>
      <c r="B1337" s="360"/>
      <c r="C1337" s="372"/>
      <c r="D1337" s="292"/>
      <c r="E1337" s="292"/>
      <c r="F1337" s="367"/>
      <c r="G1337" s="376" t="s">
        <v>170</v>
      </c>
      <c r="H1337" s="91" t="s">
        <v>171</v>
      </c>
      <c r="I1337" s="229">
        <v>2241647</v>
      </c>
      <c r="J1337" s="229">
        <f>I1337/D1336</f>
        <v>274.87</v>
      </c>
      <c r="K1337" s="229">
        <f>2241647/D1336</f>
        <v>274.87</v>
      </c>
    </row>
    <row r="1338" spans="1:11" s="71" customFormat="1" x14ac:dyDescent="0.25">
      <c r="A1338" s="360"/>
      <c r="B1338" s="360"/>
      <c r="C1338" s="372"/>
      <c r="D1338" s="292"/>
      <c r="E1338" s="292"/>
      <c r="F1338" s="367"/>
      <c r="G1338" s="376"/>
      <c r="H1338" s="91" t="s">
        <v>69</v>
      </c>
      <c r="I1338" s="229">
        <v>0</v>
      </c>
      <c r="J1338" s="229">
        <f>I1338/D1336</f>
        <v>0</v>
      </c>
      <c r="K1338" s="229">
        <f>47971/D1336</f>
        <v>5.88</v>
      </c>
    </row>
    <row r="1339" spans="1:11" s="71" customFormat="1" x14ac:dyDescent="0.25">
      <c r="A1339" s="360"/>
      <c r="B1339" s="360"/>
      <c r="C1339" s="372"/>
      <c r="D1339" s="292"/>
      <c r="E1339" s="292"/>
      <c r="F1339" s="367"/>
      <c r="G1339" s="359" t="s">
        <v>173</v>
      </c>
      <c r="H1339" s="91" t="s">
        <v>171</v>
      </c>
      <c r="I1339" s="229">
        <v>2241647</v>
      </c>
      <c r="J1339" s="229">
        <f>I1339/D1336</f>
        <v>274.87</v>
      </c>
      <c r="K1339" s="229">
        <f>2241647/D1336</f>
        <v>274.87</v>
      </c>
    </row>
    <row r="1340" spans="1:11" s="71" customFormat="1" x14ac:dyDescent="0.25">
      <c r="A1340" s="360"/>
      <c r="B1340" s="360"/>
      <c r="C1340" s="372"/>
      <c r="D1340" s="292"/>
      <c r="E1340" s="292"/>
      <c r="F1340" s="367"/>
      <c r="G1340" s="368"/>
      <c r="H1340" s="91" t="s">
        <v>69</v>
      </c>
      <c r="I1340" s="229">
        <v>0</v>
      </c>
      <c r="J1340" s="229">
        <f>I1340/D1336</f>
        <v>0</v>
      </c>
      <c r="K1340" s="229">
        <f>47971/D1336</f>
        <v>5.88</v>
      </c>
    </row>
    <row r="1341" spans="1:11" s="71" customFormat="1" x14ac:dyDescent="0.25">
      <c r="A1341" s="360"/>
      <c r="B1341" s="360"/>
      <c r="C1341" s="372"/>
      <c r="D1341" s="292"/>
      <c r="E1341" s="292"/>
      <c r="F1341" s="367"/>
      <c r="G1341" s="359" t="s">
        <v>174</v>
      </c>
      <c r="H1341" s="91" t="s">
        <v>171</v>
      </c>
      <c r="I1341" s="229">
        <v>2241647</v>
      </c>
      <c r="J1341" s="229">
        <f>I1341/D1336</f>
        <v>274.87</v>
      </c>
      <c r="K1341" s="229">
        <f>2241647/D1336</f>
        <v>274.87</v>
      </c>
    </row>
    <row r="1342" spans="1:11" s="71" customFormat="1" x14ac:dyDescent="0.25">
      <c r="A1342" s="360"/>
      <c r="B1342" s="360"/>
      <c r="C1342" s="372"/>
      <c r="D1342" s="292"/>
      <c r="E1342" s="292"/>
      <c r="F1342" s="367"/>
      <c r="G1342" s="368"/>
      <c r="H1342" s="91" t="s">
        <v>69</v>
      </c>
      <c r="I1342" s="229">
        <v>0</v>
      </c>
      <c r="J1342" s="229">
        <f>I1342/D1336</f>
        <v>0</v>
      </c>
      <c r="K1342" s="229">
        <f>47971/D1336</f>
        <v>5.88</v>
      </c>
    </row>
    <row r="1343" spans="1:11" s="71" customFormat="1" x14ac:dyDescent="0.25">
      <c r="A1343" s="360"/>
      <c r="B1343" s="360"/>
      <c r="C1343" s="372"/>
      <c r="D1343" s="292"/>
      <c r="E1343" s="292"/>
      <c r="F1343" s="367"/>
      <c r="G1343" s="359" t="s">
        <v>175</v>
      </c>
      <c r="H1343" s="91" t="s">
        <v>171</v>
      </c>
      <c r="I1343" s="229">
        <v>2241647</v>
      </c>
      <c r="J1343" s="229">
        <f>I1343/D1336</f>
        <v>274.87</v>
      </c>
      <c r="K1343" s="229">
        <f>2241647/D1336</f>
        <v>274.87</v>
      </c>
    </row>
    <row r="1344" spans="1:11" s="71" customFormat="1" x14ac:dyDescent="0.25">
      <c r="A1344" s="360"/>
      <c r="B1344" s="360"/>
      <c r="C1344" s="372"/>
      <c r="D1344" s="292"/>
      <c r="E1344" s="292"/>
      <c r="F1344" s="367"/>
      <c r="G1344" s="368"/>
      <c r="H1344" s="91" t="s">
        <v>69</v>
      </c>
      <c r="I1344" s="229">
        <v>0</v>
      </c>
      <c r="J1344" s="229">
        <f>I1344/D1336</f>
        <v>0</v>
      </c>
      <c r="K1344" s="229">
        <f>47971/D1336</f>
        <v>5.88</v>
      </c>
    </row>
    <row r="1345" spans="1:11" s="71" customFormat="1" x14ac:dyDescent="0.25">
      <c r="A1345" s="359">
        <f>A1336+1</f>
        <v>39</v>
      </c>
      <c r="B1345" s="359">
        <v>6374</v>
      </c>
      <c r="C1345" s="371" t="s">
        <v>470</v>
      </c>
      <c r="D1345" s="291">
        <v>9480</v>
      </c>
      <c r="E1345" s="359" t="s">
        <v>64</v>
      </c>
      <c r="F1345" s="359">
        <v>10</v>
      </c>
      <c r="G1345" s="158"/>
      <c r="H1345" s="91" t="s">
        <v>66</v>
      </c>
      <c r="I1345" s="229">
        <f>SUM(I1346:I1355)</f>
        <v>7845764.5</v>
      </c>
      <c r="J1345" s="229">
        <f>SUM(J1346:J1355)</f>
        <v>827.61</v>
      </c>
      <c r="K1345" s="229">
        <f>SUM(K1346:K1355)</f>
        <v>1207.6099999999999</v>
      </c>
    </row>
    <row r="1346" spans="1:11" s="71" customFormat="1" x14ac:dyDescent="0.25">
      <c r="A1346" s="360"/>
      <c r="B1346" s="360"/>
      <c r="C1346" s="372"/>
      <c r="D1346" s="292"/>
      <c r="E1346" s="360"/>
      <c r="F1346" s="360"/>
      <c r="G1346" s="359" t="s">
        <v>170</v>
      </c>
      <c r="H1346" s="91" t="s">
        <v>171</v>
      </c>
      <c r="I1346" s="229">
        <f>2241647*0.7</f>
        <v>1569152.9</v>
      </c>
      <c r="J1346" s="229">
        <f>I1346/D1345+0.01</f>
        <v>165.53</v>
      </c>
      <c r="K1346" s="229">
        <f>2241647/D1345+0.01</f>
        <v>236.47</v>
      </c>
    </row>
    <row r="1347" spans="1:11" s="71" customFormat="1" x14ac:dyDescent="0.25">
      <c r="A1347" s="360"/>
      <c r="B1347" s="360"/>
      <c r="C1347" s="372"/>
      <c r="D1347" s="292"/>
      <c r="E1347" s="360"/>
      <c r="F1347" s="360"/>
      <c r="G1347" s="368"/>
      <c r="H1347" s="91" t="s">
        <v>69</v>
      </c>
      <c r="I1347" s="229">
        <v>0</v>
      </c>
      <c r="J1347" s="229">
        <f>I1347/D1345</f>
        <v>0</v>
      </c>
      <c r="K1347" s="229">
        <f>47971/D1345</f>
        <v>5.0599999999999996</v>
      </c>
    </row>
    <row r="1348" spans="1:11" s="71" customFormat="1" x14ac:dyDescent="0.25">
      <c r="A1348" s="360"/>
      <c r="B1348" s="360"/>
      <c r="C1348" s="372"/>
      <c r="D1348" s="292"/>
      <c r="E1348" s="360"/>
      <c r="F1348" s="360"/>
      <c r="G1348" s="359" t="s">
        <v>173</v>
      </c>
      <c r="H1348" s="91" t="s">
        <v>171</v>
      </c>
      <c r="I1348" s="229">
        <f>2241647*0.7</f>
        <v>1569152.9</v>
      </c>
      <c r="J1348" s="229">
        <f>I1348/D1345</f>
        <v>165.52</v>
      </c>
      <c r="K1348" s="229">
        <f>2241647/D1345</f>
        <v>236.46</v>
      </c>
    </row>
    <row r="1349" spans="1:11" s="71" customFormat="1" x14ac:dyDescent="0.25">
      <c r="A1349" s="360"/>
      <c r="B1349" s="360"/>
      <c r="C1349" s="372"/>
      <c r="D1349" s="292"/>
      <c r="E1349" s="360"/>
      <c r="F1349" s="360"/>
      <c r="G1349" s="368"/>
      <c r="H1349" s="91" t="s">
        <v>69</v>
      </c>
      <c r="I1349" s="229">
        <v>0</v>
      </c>
      <c r="J1349" s="229">
        <f>I1349/D1345</f>
        <v>0</v>
      </c>
      <c r="K1349" s="229">
        <f>47971/D1345</f>
        <v>5.0599999999999996</v>
      </c>
    </row>
    <row r="1350" spans="1:11" s="71" customFormat="1" x14ac:dyDescent="0.25">
      <c r="A1350" s="360"/>
      <c r="B1350" s="360"/>
      <c r="C1350" s="372"/>
      <c r="D1350" s="292"/>
      <c r="E1350" s="360"/>
      <c r="F1350" s="360"/>
      <c r="G1350" s="359" t="s">
        <v>174</v>
      </c>
      <c r="H1350" s="91" t="s">
        <v>171</v>
      </c>
      <c r="I1350" s="229">
        <f>2241647*0.7</f>
        <v>1569152.9</v>
      </c>
      <c r="J1350" s="229">
        <f>I1350/D1345</f>
        <v>165.52</v>
      </c>
      <c r="K1350" s="229">
        <f>2241647/D1345</f>
        <v>236.46</v>
      </c>
    </row>
    <row r="1351" spans="1:11" s="71" customFormat="1" x14ac:dyDescent="0.25">
      <c r="A1351" s="360"/>
      <c r="B1351" s="360"/>
      <c r="C1351" s="372"/>
      <c r="D1351" s="292"/>
      <c r="E1351" s="360"/>
      <c r="F1351" s="360"/>
      <c r="G1351" s="368"/>
      <c r="H1351" s="91" t="s">
        <v>69</v>
      </c>
      <c r="I1351" s="229">
        <v>0</v>
      </c>
      <c r="J1351" s="229">
        <f>I1351/D1345</f>
        <v>0</v>
      </c>
      <c r="K1351" s="229">
        <f>47971/D1345</f>
        <v>5.0599999999999996</v>
      </c>
    </row>
    <row r="1352" spans="1:11" s="71" customFormat="1" x14ac:dyDescent="0.25">
      <c r="A1352" s="360"/>
      <c r="B1352" s="360"/>
      <c r="C1352" s="372"/>
      <c r="D1352" s="292"/>
      <c r="E1352" s="360"/>
      <c r="F1352" s="360"/>
      <c r="G1352" s="359" t="s">
        <v>175</v>
      </c>
      <c r="H1352" s="91" t="s">
        <v>171</v>
      </c>
      <c r="I1352" s="229">
        <f>2241647*0.7</f>
        <v>1569152.9</v>
      </c>
      <c r="J1352" s="229">
        <f>I1352/D1345</f>
        <v>165.52</v>
      </c>
      <c r="K1352" s="229">
        <f>2241647/D1345</f>
        <v>236.46</v>
      </c>
    </row>
    <row r="1353" spans="1:11" s="71" customFormat="1" x14ac:dyDescent="0.25">
      <c r="A1353" s="360"/>
      <c r="B1353" s="360"/>
      <c r="C1353" s="372"/>
      <c r="D1353" s="292"/>
      <c r="E1353" s="360"/>
      <c r="F1353" s="360"/>
      <c r="G1353" s="368"/>
      <c r="H1353" s="91" t="s">
        <v>69</v>
      </c>
      <c r="I1353" s="229">
        <v>0</v>
      </c>
      <c r="J1353" s="229">
        <f>I1353/D1345</f>
        <v>0</v>
      </c>
      <c r="K1353" s="229">
        <f>47971/D1345</f>
        <v>5.0599999999999996</v>
      </c>
    </row>
    <row r="1354" spans="1:11" s="71" customFormat="1" x14ac:dyDescent="0.25">
      <c r="A1354" s="360"/>
      <c r="B1354" s="360"/>
      <c r="C1354" s="372"/>
      <c r="D1354" s="292"/>
      <c r="E1354" s="360"/>
      <c r="F1354" s="360"/>
      <c r="G1354" s="359" t="s">
        <v>172</v>
      </c>
      <c r="H1354" s="91" t="s">
        <v>171</v>
      </c>
      <c r="I1354" s="229">
        <f>2241647*0.7</f>
        <v>1569152.9</v>
      </c>
      <c r="J1354" s="229">
        <f>I1354/D1345</f>
        <v>165.52</v>
      </c>
      <c r="K1354" s="229">
        <f>2241647/D1345</f>
        <v>236.46</v>
      </c>
    </row>
    <row r="1355" spans="1:11" s="71" customFormat="1" x14ac:dyDescent="0.25">
      <c r="A1355" s="360"/>
      <c r="B1355" s="360"/>
      <c r="C1355" s="372"/>
      <c r="D1355" s="292"/>
      <c r="E1355" s="360"/>
      <c r="F1355" s="360"/>
      <c r="G1355" s="368"/>
      <c r="H1355" s="91" t="s">
        <v>69</v>
      </c>
      <c r="I1355" s="229">
        <v>0</v>
      </c>
      <c r="J1355" s="229">
        <f>I1355/D1345</f>
        <v>0</v>
      </c>
      <c r="K1355" s="229">
        <f>47971/D1345</f>
        <v>5.0599999999999996</v>
      </c>
    </row>
    <row r="1356" spans="1:11" s="71" customFormat="1" x14ac:dyDescent="0.25">
      <c r="A1356" s="359">
        <f>A1345+1</f>
        <v>40</v>
      </c>
      <c r="B1356" s="359">
        <v>6387</v>
      </c>
      <c r="C1356" s="371" t="s">
        <v>471</v>
      </c>
      <c r="D1356" s="291">
        <v>880</v>
      </c>
      <c r="E1356" s="291" t="s">
        <v>167</v>
      </c>
      <c r="F1356" s="366">
        <v>2</v>
      </c>
      <c r="G1356" s="359" t="s">
        <v>65</v>
      </c>
      <c r="H1356" s="91" t="s">
        <v>66</v>
      </c>
      <c r="I1356" s="229">
        <f>I1357+I1358</f>
        <v>3384402</v>
      </c>
      <c r="J1356" s="229">
        <f>J1357+J1358</f>
        <v>3845.91</v>
      </c>
      <c r="K1356" s="229">
        <f>K1357+K1358</f>
        <v>7688</v>
      </c>
    </row>
    <row r="1357" spans="1:11" s="71" customFormat="1" x14ac:dyDescent="0.25">
      <c r="A1357" s="360"/>
      <c r="B1357" s="360"/>
      <c r="C1357" s="372"/>
      <c r="D1357" s="292"/>
      <c r="E1357" s="292"/>
      <c r="F1357" s="367"/>
      <c r="G1357" s="360"/>
      <c r="H1357" s="91" t="s">
        <v>67</v>
      </c>
      <c r="I1357" s="229">
        <f>4834860*0.7</f>
        <v>3384402</v>
      </c>
      <c r="J1357" s="229">
        <f>I1357/D1356</f>
        <v>3845.91</v>
      </c>
      <c r="K1357" s="229">
        <v>7527</v>
      </c>
    </row>
    <row r="1358" spans="1:11" s="71" customFormat="1" x14ac:dyDescent="0.25">
      <c r="A1358" s="360"/>
      <c r="B1358" s="360"/>
      <c r="C1358" s="372"/>
      <c r="D1358" s="292"/>
      <c r="E1358" s="292"/>
      <c r="F1358" s="367"/>
      <c r="G1358" s="360"/>
      <c r="H1358" s="91" t="s">
        <v>69</v>
      </c>
      <c r="I1358" s="229">
        <v>0</v>
      </c>
      <c r="J1358" s="229">
        <f>I1358/D1356</f>
        <v>0</v>
      </c>
      <c r="K1358" s="229">
        <v>161</v>
      </c>
    </row>
    <row r="1359" spans="1:11" s="71" customFormat="1" x14ac:dyDescent="0.25">
      <c r="A1359" s="359">
        <f>A1356+1</f>
        <v>41</v>
      </c>
      <c r="B1359" s="359">
        <v>6395</v>
      </c>
      <c r="C1359" s="371" t="s">
        <v>408</v>
      </c>
      <c r="D1359" s="291">
        <v>2820.2</v>
      </c>
      <c r="E1359" s="366" t="s">
        <v>68</v>
      </c>
      <c r="F1359" s="366">
        <v>4</v>
      </c>
      <c r="G1359" s="359" t="s">
        <v>65</v>
      </c>
      <c r="H1359" s="91" t="s">
        <v>66</v>
      </c>
      <c r="I1359" s="229">
        <f>SUM(I1360:I1362)</f>
        <v>14811096.710000001</v>
      </c>
      <c r="J1359" s="229">
        <f>SUM(J1360:J1362)</f>
        <v>5251.79</v>
      </c>
      <c r="K1359" s="229">
        <f>SUM(K1360:K1362)</f>
        <v>5383</v>
      </c>
    </row>
    <row r="1360" spans="1:11" s="71" customFormat="1" ht="63" x14ac:dyDescent="0.25">
      <c r="A1360" s="360"/>
      <c r="B1360" s="360"/>
      <c r="C1360" s="372"/>
      <c r="D1360" s="292"/>
      <c r="E1360" s="367"/>
      <c r="F1360" s="367"/>
      <c r="G1360" s="360"/>
      <c r="H1360" s="91" t="s">
        <v>168</v>
      </c>
      <c r="I1360" s="229">
        <v>608569.51</v>
      </c>
      <c r="J1360" s="229">
        <f>I1360/D1359</f>
        <v>215.79</v>
      </c>
      <c r="K1360" s="229">
        <f>151+88</f>
        <v>239</v>
      </c>
    </row>
    <row r="1361" spans="1:11" s="71" customFormat="1" x14ac:dyDescent="0.25">
      <c r="A1361" s="360"/>
      <c r="B1361" s="360"/>
      <c r="C1361" s="372"/>
      <c r="D1361" s="292"/>
      <c r="E1361" s="367"/>
      <c r="F1361" s="367"/>
      <c r="G1361" s="360"/>
      <c r="H1361" s="91" t="s">
        <v>169</v>
      </c>
      <c r="I1361" s="229">
        <f>D1359*K1361</f>
        <v>14202527.199999999</v>
      </c>
      <c r="J1361" s="229">
        <f>I1361/D1359</f>
        <v>5036</v>
      </c>
      <c r="K1361" s="229">
        <v>5036</v>
      </c>
    </row>
    <row r="1362" spans="1:11" s="71" customFormat="1" x14ac:dyDescent="0.25">
      <c r="A1362" s="360"/>
      <c r="B1362" s="360"/>
      <c r="C1362" s="372"/>
      <c r="D1362" s="292"/>
      <c r="E1362" s="367"/>
      <c r="F1362" s="367"/>
      <c r="G1362" s="368"/>
      <c r="H1362" s="91" t="s">
        <v>69</v>
      </c>
      <c r="I1362" s="229">
        <v>0</v>
      </c>
      <c r="J1362" s="229">
        <f>I1362/D1359</f>
        <v>0</v>
      </c>
      <c r="K1362" s="229">
        <v>108</v>
      </c>
    </row>
    <row r="1363" spans="1:11" s="71" customFormat="1" x14ac:dyDescent="0.25">
      <c r="A1363" s="359">
        <f>A1336+1</f>
        <v>39</v>
      </c>
      <c r="B1363" s="359">
        <v>6399</v>
      </c>
      <c r="C1363" s="371" t="s">
        <v>409</v>
      </c>
      <c r="D1363" s="291">
        <v>3130.7</v>
      </c>
      <c r="E1363" s="366" t="s">
        <v>68</v>
      </c>
      <c r="F1363" s="366">
        <v>5</v>
      </c>
      <c r="G1363" s="27"/>
      <c r="H1363" s="91" t="s">
        <v>66</v>
      </c>
      <c r="I1363" s="229">
        <f>SUM(I1364:I1365)</f>
        <v>4095268.67</v>
      </c>
      <c r="J1363" s="229">
        <f>SUM(J1364:J1365)</f>
        <v>1308.0999999999999</v>
      </c>
      <c r="K1363" s="229">
        <f>SUM(K1364:K1365)</f>
        <v>3966</v>
      </c>
    </row>
    <row r="1364" spans="1:11" s="71" customFormat="1" ht="63" x14ac:dyDescent="0.25">
      <c r="A1364" s="360"/>
      <c r="B1364" s="360"/>
      <c r="C1364" s="372"/>
      <c r="D1364" s="292"/>
      <c r="E1364" s="367"/>
      <c r="F1364" s="367"/>
      <c r="G1364" s="359" t="s">
        <v>65</v>
      </c>
      <c r="H1364" s="91" t="s">
        <v>168</v>
      </c>
      <c r="I1364" s="229">
        <f>D1363*K1364</f>
        <v>529088.30000000005</v>
      </c>
      <c r="J1364" s="229">
        <f>I1364/D1363</f>
        <v>169</v>
      </c>
      <c r="K1364" s="229">
        <f>151+18</f>
        <v>169</v>
      </c>
    </row>
    <row r="1365" spans="1:11" s="71" customFormat="1" x14ac:dyDescent="0.25">
      <c r="A1365" s="360"/>
      <c r="B1365" s="360"/>
      <c r="C1365" s="372"/>
      <c r="D1365" s="292"/>
      <c r="E1365" s="367"/>
      <c r="F1365" s="367"/>
      <c r="G1365" s="360"/>
      <c r="H1365" s="91" t="s">
        <v>169</v>
      </c>
      <c r="I1365" s="229">
        <f>D1363*K1365*30/100</f>
        <v>3566180.37</v>
      </c>
      <c r="J1365" s="229">
        <f>I1365/D1363</f>
        <v>1139.0999999999999</v>
      </c>
      <c r="K1365" s="229">
        <v>3797</v>
      </c>
    </row>
    <row r="1366" spans="1:11" s="71" customFormat="1" x14ac:dyDescent="0.25">
      <c r="A1366" s="359">
        <f>A1363+1</f>
        <v>40</v>
      </c>
      <c r="B1366" s="359">
        <v>6400</v>
      </c>
      <c r="C1366" s="371" t="s">
        <v>410</v>
      </c>
      <c r="D1366" s="291">
        <v>2810.7</v>
      </c>
      <c r="E1366" s="366" t="s">
        <v>68</v>
      </c>
      <c r="F1366" s="366">
        <v>4</v>
      </c>
      <c r="G1366" s="27"/>
      <c r="H1366" s="91" t="s">
        <v>66</v>
      </c>
      <c r="I1366" s="229">
        <f>SUM(I1367:I1372)</f>
        <v>3802459.75</v>
      </c>
      <c r="J1366" s="229">
        <f>SUM(J1367:J1372)</f>
        <v>1352.85</v>
      </c>
      <c r="K1366" s="229">
        <f>SUM(K1367:K1372)</f>
        <v>4161</v>
      </c>
    </row>
    <row r="1367" spans="1:11" s="71" customFormat="1" ht="63" x14ac:dyDescent="0.25">
      <c r="A1367" s="360"/>
      <c r="B1367" s="360"/>
      <c r="C1367" s="372"/>
      <c r="D1367" s="292"/>
      <c r="E1367" s="367"/>
      <c r="F1367" s="367"/>
      <c r="G1367" s="359" t="s">
        <v>70</v>
      </c>
      <c r="H1367" s="91" t="s">
        <v>168</v>
      </c>
      <c r="I1367" s="229">
        <f>281036.76+59024.7</f>
        <v>340061.46</v>
      </c>
      <c r="J1367" s="229">
        <f>I1367/D1366</f>
        <v>120.99</v>
      </c>
      <c r="K1367" s="229">
        <f>116+21</f>
        <v>137</v>
      </c>
    </row>
    <row r="1368" spans="1:11" s="71" customFormat="1" x14ac:dyDescent="0.25">
      <c r="A1368" s="360"/>
      <c r="B1368" s="360"/>
      <c r="C1368" s="372"/>
      <c r="D1368" s="292"/>
      <c r="E1368" s="367"/>
      <c r="F1368" s="367"/>
      <c r="G1368" s="360"/>
      <c r="H1368" s="91" t="s">
        <v>169</v>
      </c>
      <c r="I1368" s="229">
        <f>D1366*K1368*30/100</f>
        <v>2454584.31</v>
      </c>
      <c r="J1368" s="229">
        <f>I1368/D1366</f>
        <v>873.3</v>
      </c>
      <c r="K1368" s="229">
        <v>2911</v>
      </c>
    </row>
    <row r="1369" spans="1:11" s="71" customFormat="1" ht="63" x14ac:dyDescent="0.25">
      <c r="A1369" s="360"/>
      <c r="B1369" s="360"/>
      <c r="C1369" s="372"/>
      <c r="D1369" s="292"/>
      <c r="E1369" s="367"/>
      <c r="F1369" s="367"/>
      <c r="G1369" s="359" t="s">
        <v>71</v>
      </c>
      <c r="H1369" s="91" t="s">
        <v>168</v>
      </c>
      <c r="I1369" s="229">
        <f>41836.81+22485.6</f>
        <v>64322.41</v>
      </c>
      <c r="J1369" s="229">
        <f>I1369/D1366</f>
        <v>22.88</v>
      </c>
      <c r="K1369" s="229">
        <f>21+8</f>
        <v>29</v>
      </c>
    </row>
    <row r="1370" spans="1:11" s="71" customFormat="1" x14ac:dyDescent="0.25">
      <c r="A1370" s="360"/>
      <c r="B1370" s="360"/>
      <c r="C1370" s="372"/>
      <c r="D1370" s="292"/>
      <c r="E1370" s="367"/>
      <c r="F1370" s="367"/>
      <c r="G1370" s="360"/>
      <c r="H1370" s="91" t="s">
        <v>169</v>
      </c>
      <c r="I1370" s="229">
        <f>D1366*K1370*30/100</f>
        <v>432566.73</v>
      </c>
      <c r="J1370" s="229">
        <f>I1370/D1366</f>
        <v>153.9</v>
      </c>
      <c r="K1370" s="229">
        <v>513</v>
      </c>
    </row>
    <row r="1371" spans="1:11" s="71" customFormat="1" ht="63" x14ac:dyDescent="0.25">
      <c r="A1371" s="360"/>
      <c r="B1371" s="360"/>
      <c r="C1371" s="372"/>
      <c r="D1371" s="292"/>
      <c r="E1371" s="367"/>
      <c r="F1371" s="367"/>
      <c r="G1371" s="359" t="s">
        <v>72</v>
      </c>
      <c r="H1371" s="91" t="s">
        <v>168</v>
      </c>
      <c r="I1371" s="229">
        <f>34230.12+19674.9</f>
        <v>53905.02</v>
      </c>
      <c r="J1371" s="229">
        <f>I1371/D1366</f>
        <v>19.18</v>
      </c>
      <c r="K1371" s="229">
        <f>22+7</f>
        <v>29</v>
      </c>
    </row>
    <row r="1372" spans="1:11" s="71" customFormat="1" x14ac:dyDescent="0.25">
      <c r="A1372" s="360"/>
      <c r="B1372" s="360"/>
      <c r="C1372" s="372"/>
      <c r="D1372" s="292"/>
      <c r="E1372" s="367"/>
      <c r="F1372" s="367"/>
      <c r="G1372" s="360"/>
      <c r="H1372" s="91" t="s">
        <v>169</v>
      </c>
      <c r="I1372" s="229">
        <f>D1366*K1372*30/100</f>
        <v>457019.82</v>
      </c>
      <c r="J1372" s="229">
        <f>I1372/D1366</f>
        <v>162.6</v>
      </c>
      <c r="K1372" s="229">
        <v>542</v>
      </c>
    </row>
    <row r="1373" spans="1:11" s="71" customFormat="1" x14ac:dyDescent="0.25">
      <c r="A1373" s="359">
        <f>A1370+1</f>
        <v>1</v>
      </c>
      <c r="B1373" s="359">
        <v>6408</v>
      </c>
      <c r="C1373" s="371" t="s">
        <v>559</v>
      </c>
      <c r="D1373" s="291">
        <v>3930.3</v>
      </c>
      <c r="E1373" s="291" t="s">
        <v>68</v>
      </c>
      <c r="F1373" s="366">
        <v>12</v>
      </c>
      <c r="G1373" s="27"/>
      <c r="H1373" s="91" t="s">
        <v>66</v>
      </c>
      <c r="I1373" s="229">
        <f>SUM(I1374:I1377)</f>
        <v>5448774.46</v>
      </c>
      <c r="J1373" s="229">
        <f>SUM(J1374:J1377)</f>
        <v>1386.35</v>
      </c>
      <c r="K1373" s="229">
        <f>SUM(K1374:K1377)</f>
        <v>1437.23</v>
      </c>
    </row>
    <row r="1374" spans="1:11" s="71" customFormat="1" x14ac:dyDescent="0.25">
      <c r="A1374" s="360"/>
      <c r="B1374" s="360"/>
      <c r="C1374" s="372"/>
      <c r="D1374" s="292"/>
      <c r="E1374" s="292"/>
      <c r="F1374" s="367"/>
      <c r="G1374" s="359" t="s">
        <v>170</v>
      </c>
      <c r="H1374" s="91" t="s">
        <v>171</v>
      </c>
      <c r="I1374" s="229">
        <v>2434168.4500000002</v>
      </c>
      <c r="J1374" s="229">
        <f>I1374/D1373</f>
        <v>619.33000000000004</v>
      </c>
      <c r="K1374" s="229">
        <f>2458756/D1373+0.01</f>
        <v>625.6</v>
      </c>
    </row>
    <row r="1375" spans="1:11" s="71" customFormat="1" x14ac:dyDescent="0.25">
      <c r="A1375" s="360"/>
      <c r="B1375" s="360"/>
      <c r="C1375" s="372"/>
      <c r="D1375" s="292"/>
      <c r="E1375" s="292"/>
      <c r="F1375" s="367"/>
      <c r="G1375" s="368"/>
      <c r="H1375" s="91" t="s">
        <v>69</v>
      </c>
      <c r="I1375" s="229">
        <v>0</v>
      </c>
      <c r="J1375" s="229">
        <f>I1375/D1373</f>
        <v>0</v>
      </c>
      <c r="K1375" s="229">
        <f>52617/D1373</f>
        <v>13.39</v>
      </c>
    </row>
    <row r="1376" spans="1:11" s="71" customFormat="1" x14ac:dyDescent="0.25">
      <c r="A1376" s="360"/>
      <c r="B1376" s="360"/>
      <c r="C1376" s="372"/>
      <c r="D1376" s="292"/>
      <c r="E1376" s="292"/>
      <c r="F1376" s="367"/>
      <c r="G1376" s="359" t="s">
        <v>170</v>
      </c>
      <c r="H1376" s="91" t="s">
        <v>171</v>
      </c>
      <c r="I1376" s="229">
        <v>3014606.01</v>
      </c>
      <c r="J1376" s="229">
        <f>I1376/D1373</f>
        <v>767.02</v>
      </c>
      <c r="K1376" s="229">
        <f>3071604/D1373</f>
        <v>781.52</v>
      </c>
    </row>
    <row r="1377" spans="1:11" s="71" customFormat="1" x14ac:dyDescent="0.25">
      <c r="A1377" s="368"/>
      <c r="B1377" s="368"/>
      <c r="C1377" s="396"/>
      <c r="D1377" s="293"/>
      <c r="E1377" s="293"/>
      <c r="F1377" s="383"/>
      <c r="G1377" s="368"/>
      <c r="H1377" s="91" t="s">
        <v>69</v>
      </c>
      <c r="I1377" s="229">
        <v>0</v>
      </c>
      <c r="J1377" s="229">
        <f>I1377/D1373</f>
        <v>0</v>
      </c>
      <c r="K1377" s="229">
        <f>65732/D1373</f>
        <v>16.72</v>
      </c>
    </row>
    <row r="1378" spans="1:11" s="71" customFormat="1" x14ac:dyDescent="0.25">
      <c r="A1378" s="359">
        <f>A1366+1</f>
        <v>41</v>
      </c>
      <c r="B1378" s="359">
        <v>6430</v>
      </c>
      <c r="C1378" s="371" t="s">
        <v>411</v>
      </c>
      <c r="D1378" s="291">
        <v>2506.4</v>
      </c>
      <c r="E1378" s="366" t="s">
        <v>64</v>
      </c>
      <c r="F1378" s="366">
        <v>5</v>
      </c>
      <c r="G1378" s="27"/>
      <c r="H1378" s="91" t="s">
        <v>66</v>
      </c>
      <c r="I1378" s="229">
        <f>SUM(I1379:I1379)</f>
        <v>368846.81</v>
      </c>
      <c r="J1378" s="229">
        <f>SUM(J1379:J1379)</f>
        <v>147.16</v>
      </c>
      <c r="K1378" s="229">
        <f>SUM(K1379:K1379)</f>
        <v>169</v>
      </c>
    </row>
    <row r="1379" spans="1:11" s="71" customFormat="1" ht="63" x14ac:dyDescent="0.25">
      <c r="A1379" s="360"/>
      <c r="B1379" s="360"/>
      <c r="C1379" s="372"/>
      <c r="D1379" s="292"/>
      <c r="E1379" s="367"/>
      <c r="F1379" s="367"/>
      <c r="G1379" s="147" t="s">
        <v>65</v>
      </c>
      <c r="H1379" s="91" t="s">
        <v>168</v>
      </c>
      <c r="I1379" s="229">
        <v>368846.81</v>
      </c>
      <c r="J1379" s="229">
        <f>I1379/D1378</f>
        <v>147.16</v>
      </c>
      <c r="K1379" s="229">
        <f>151+18</f>
        <v>169</v>
      </c>
    </row>
    <row r="1380" spans="1:11" s="71" customFormat="1" x14ac:dyDescent="0.25">
      <c r="A1380" s="359">
        <f>A1378+1</f>
        <v>42</v>
      </c>
      <c r="B1380" s="359">
        <v>6433</v>
      </c>
      <c r="C1380" s="371" t="s">
        <v>412</v>
      </c>
      <c r="D1380" s="291">
        <v>3100.3</v>
      </c>
      <c r="E1380" s="366" t="s">
        <v>68</v>
      </c>
      <c r="F1380" s="366">
        <v>5</v>
      </c>
      <c r="G1380" s="359" t="s">
        <v>65</v>
      </c>
      <c r="H1380" s="91" t="s">
        <v>66</v>
      </c>
      <c r="I1380" s="229">
        <f>SUM(I1381:I1382)</f>
        <v>3957286.96</v>
      </c>
      <c r="J1380" s="229">
        <f>SUM(J1381:J1382)</f>
        <v>1276.42</v>
      </c>
      <c r="K1380" s="229">
        <f>SUM(K1381:K1382)</f>
        <v>3966</v>
      </c>
    </row>
    <row r="1381" spans="1:11" s="71" customFormat="1" ht="63" x14ac:dyDescent="0.25">
      <c r="A1381" s="360"/>
      <c r="B1381" s="360"/>
      <c r="C1381" s="372"/>
      <c r="D1381" s="292"/>
      <c r="E1381" s="367"/>
      <c r="F1381" s="367"/>
      <c r="G1381" s="360"/>
      <c r="H1381" s="91" t="s">
        <v>168</v>
      </c>
      <c r="I1381" s="229">
        <v>425735.23</v>
      </c>
      <c r="J1381" s="229">
        <f>I1381/D1380</f>
        <v>137.32</v>
      </c>
      <c r="K1381" s="229">
        <f>151+18</f>
        <v>169</v>
      </c>
    </row>
    <row r="1382" spans="1:11" s="71" customFormat="1" x14ac:dyDescent="0.25">
      <c r="A1382" s="360"/>
      <c r="B1382" s="360"/>
      <c r="C1382" s="372"/>
      <c r="D1382" s="292"/>
      <c r="E1382" s="367"/>
      <c r="F1382" s="367"/>
      <c r="G1382" s="368"/>
      <c r="H1382" s="91" t="s">
        <v>169</v>
      </c>
      <c r="I1382" s="229">
        <f>D1380*K1382*30/100</f>
        <v>3531551.73</v>
      </c>
      <c r="J1382" s="229">
        <f>I1382/D1380</f>
        <v>1139.0999999999999</v>
      </c>
      <c r="K1382" s="229">
        <v>3797</v>
      </c>
    </row>
    <row r="1383" spans="1:11" s="71" customFormat="1" x14ac:dyDescent="0.25">
      <c r="A1383" s="359">
        <f>A1380+1</f>
        <v>43</v>
      </c>
      <c r="B1383" s="359">
        <v>6436</v>
      </c>
      <c r="C1383" s="371" t="s">
        <v>413</v>
      </c>
      <c r="D1383" s="291">
        <v>3038.5</v>
      </c>
      <c r="E1383" s="366" t="s">
        <v>68</v>
      </c>
      <c r="F1383" s="366">
        <v>5</v>
      </c>
      <c r="G1383" s="27"/>
      <c r="H1383" s="91" t="s">
        <v>66</v>
      </c>
      <c r="I1383" s="229">
        <f>SUM(I1384:I1385)</f>
        <v>3974661.85</v>
      </c>
      <c r="J1383" s="229">
        <f>SUM(J1384:J1385)</f>
        <v>1308.0999999999999</v>
      </c>
      <c r="K1383" s="229">
        <f>SUM(K1384:K1385)</f>
        <v>3966</v>
      </c>
    </row>
    <row r="1384" spans="1:11" s="71" customFormat="1" ht="63" x14ac:dyDescent="0.25">
      <c r="A1384" s="360"/>
      <c r="B1384" s="360"/>
      <c r="C1384" s="372"/>
      <c r="D1384" s="292"/>
      <c r="E1384" s="367"/>
      <c r="F1384" s="367"/>
      <c r="G1384" s="359" t="s">
        <v>65</v>
      </c>
      <c r="H1384" s="91" t="s">
        <v>168</v>
      </c>
      <c r="I1384" s="229">
        <f>D1383*K1384</f>
        <v>513506.5</v>
      </c>
      <c r="J1384" s="229">
        <f>I1384/D1383</f>
        <v>169</v>
      </c>
      <c r="K1384" s="229">
        <f>151+18</f>
        <v>169</v>
      </c>
    </row>
    <row r="1385" spans="1:11" s="71" customFormat="1" x14ac:dyDescent="0.25">
      <c r="A1385" s="360"/>
      <c r="B1385" s="360"/>
      <c r="C1385" s="372"/>
      <c r="D1385" s="292"/>
      <c r="E1385" s="367"/>
      <c r="F1385" s="367"/>
      <c r="G1385" s="360"/>
      <c r="H1385" s="91" t="s">
        <v>169</v>
      </c>
      <c r="I1385" s="229">
        <f>D1383*K1385*30/100</f>
        <v>3461155.35</v>
      </c>
      <c r="J1385" s="229">
        <f>I1385/D1383</f>
        <v>1139.0999999999999</v>
      </c>
      <c r="K1385" s="229">
        <v>3797</v>
      </c>
    </row>
    <row r="1386" spans="1:11" s="71" customFormat="1" x14ac:dyDescent="0.25">
      <c r="A1386" s="359">
        <f>A1383+1</f>
        <v>44</v>
      </c>
      <c r="B1386" s="359">
        <v>6439</v>
      </c>
      <c r="C1386" s="371" t="s">
        <v>414</v>
      </c>
      <c r="D1386" s="291">
        <v>3449.6</v>
      </c>
      <c r="E1386" s="366" t="s">
        <v>64</v>
      </c>
      <c r="F1386" s="366">
        <v>5</v>
      </c>
      <c r="G1386" s="27"/>
      <c r="H1386" s="91" t="s">
        <v>66</v>
      </c>
      <c r="I1386" s="229">
        <f>SUM(I1387:I1387)</f>
        <v>429269.19</v>
      </c>
      <c r="J1386" s="229">
        <f>SUM(J1387:J1387)</f>
        <v>124.44</v>
      </c>
      <c r="K1386" s="229">
        <f>SUM(K1387:K1387)</f>
        <v>169</v>
      </c>
    </row>
    <row r="1387" spans="1:11" s="71" customFormat="1" ht="63" x14ac:dyDescent="0.25">
      <c r="A1387" s="360"/>
      <c r="B1387" s="360"/>
      <c r="C1387" s="372"/>
      <c r="D1387" s="292"/>
      <c r="E1387" s="367"/>
      <c r="F1387" s="367"/>
      <c r="G1387" s="147" t="s">
        <v>65</v>
      </c>
      <c r="H1387" s="91" t="s">
        <v>168</v>
      </c>
      <c r="I1387" s="229">
        <v>429269.19</v>
      </c>
      <c r="J1387" s="229">
        <f>I1387/D1386</f>
        <v>124.44</v>
      </c>
      <c r="K1387" s="229">
        <f>151+18</f>
        <v>169</v>
      </c>
    </row>
    <row r="1388" spans="1:11" s="71" customFormat="1" x14ac:dyDescent="0.25">
      <c r="A1388" s="359">
        <f>A1386+1</f>
        <v>45</v>
      </c>
      <c r="B1388" s="359">
        <v>6538</v>
      </c>
      <c r="C1388" s="359" t="s">
        <v>415</v>
      </c>
      <c r="D1388" s="291">
        <v>412</v>
      </c>
      <c r="E1388" s="366" t="s">
        <v>167</v>
      </c>
      <c r="F1388" s="366">
        <v>2</v>
      </c>
      <c r="G1388" s="27"/>
      <c r="H1388" s="91" t="s">
        <v>66</v>
      </c>
      <c r="I1388" s="229">
        <f>SUM(I1389:I1394)</f>
        <v>580837.6</v>
      </c>
      <c r="J1388" s="229">
        <f t="shared" ref="J1388:K1388" si="59">SUM(J1389:J1394)</f>
        <v>1409.8</v>
      </c>
      <c r="K1388" s="229">
        <f t="shared" si="59"/>
        <v>4186</v>
      </c>
    </row>
    <row r="1389" spans="1:11" s="71" customFormat="1" ht="63" x14ac:dyDescent="0.25">
      <c r="A1389" s="360"/>
      <c r="B1389" s="360"/>
      <c r="C1389" s="360"/>
      <c r="D1389" s="292"/>
      <c r="E1389" s="367"/>
      <c r="F1389" s="367"/>
      <c r="G1389" s="359" t="s">
        <v>70</v>
      </c>
      <c r="H1389" s="91" t="s">
        <v>168</v>
      </c>
      <c r="I1389" s="229">
        <f>D1388*K1389</f>
        <v>56444</v>
      </c>
      <c r="J1389" s="229">
        <f>I1389/D1388</f>
        <v>137</v>
      </c>
      <c r="K1389" s="229">
        <f>116+21</f>
        <v>137</v>
      </c>
    </row>
    <row r="1390" spans="1:11" s="71" customFormat="1" x14ac:dyDescent="0.25">
      <c r="A1390" s="360"/>
      <c r="B1390" s="360"/>
      <c r="C1390" s="360"/>
      <c r="D1390" s="292"/>
      <c r="E1390" s="367"/>
      <c r="F1390" s="367"/>
      <c r="G1390" s="360"/>
      <c r="H1390" s="91" t="s">
        <v>169</v>
      </c>
      <c r="I1390" s="229">
        <f>D1388*K1390*30/100</f>
        <v>359799.6</v>
      </c>
      <c r="J1390" s="229">
        <f>I1390/D1388</f>
        <v>873.3</v>
      </c>
      <c r="K1390" s="229">
        <v>2911</v>
      </c>
    </row>
    <row r="1391" spans="1:11" s="71" customFormat="1" ht="63" x14ac:dyDescent="0.25">
      <c r="A1391" s="360"/>
      <c r="B1391" s="360"/>
      <c r="C1391" s="360"/>
      <c r="D1391" s="292"/>
      <c r="E1391" s="367"/>
      <c r="F1391" s="367"/>
      <c r="G1391" s="359" t="s">
        <v>71</v>
      </c>
      <c r="H1391" s="91" t="s">
        <v>168</v>
      </c>
      <c r="I1391" s="229">
        <f>D1388*K1391</f>
        <v>17304</v>
      </c>
      <c r="J1391" s="229">
        <f>I1391/D1388</f>
        <v>42</v>
      </c>
      <c r="K1391" s="229">
        <f>21+21</f>
        <v>42</v>
      </c>
    </row>
    <row r="1392" spans="1:11" s="71" customFormat="1" x14ac:dyDescent="0.25">
      <c r="A1392" s="360"/>
      <c r="B1392" s="360"/>
      <c r="C1392" s="360"/>
      <c r="D1392" s="292"/>
      <c r="E1392" s="367"/>
      <c r="F1392" s="367"/>
      <c r="G1392" s="360"/>
      <c r="H1392" s="91" t="s">
        <v>169</v>
      </c>
      <c r="I1392" s="229">
        <f>D1388*K1392*30/100</f>
        <v>63406.8</v>
      </c>
      <c r="J1392" s="229">
        <f>I1392/D1388</f>
        <v>153.9</v>
      </c>
      <c r="K1392" s="229">
        <v>513</v>
      </c>
    </row>
    <row r="1393" spans="1:11" s="71" customFormat="1" ht="63" x14ac:dyDescent="0.25">
      <c r="A1393" s="360"/>
      <c r="B1393" s="360"/>
      <c r="C1393" s="360"/>
      <c r="D1393" s="292"/>
      <c r="E1393" s="367"/>
      <c r="F1393" s="367"/>
      <c r="G1393" s="376" t="s">
        <v>72</v>
      </c>
      <c r="H1393" s="91" t="s">
        <v>168</v>
      </c>
      <c r="I1393" s="229">
        <f>D1388*K1393</f>
        <v>16892</v>
      </c>
      <c r="J1393" s="229">
        <f>I1393/D1388</f>
        <v>41</v>
      </c>
      <c r="K1393" s="229">
        <f>22+19</f>
        <v>41</v>
      </c>
    </row>
    <row r="1394" spans="1:11" s="71" customFormat="1" x14ac:dyDescent="0.25">
      <c r="A1394" s="368"/>
      <c r="B1394" s="368"/>
      <c r="C1394" s="368"/>
      <c r="D1394" s="293"/>
      <c r="E1394" s="383"/>
      <c r="F1394" s="383"/>
      <c r="G1394" s="376"/>
      <c r="H1394" s="91" t="s">
        <v>169</v>
      </c>
      <c r="I1394" s="229">
        <f>D1388*K1394*30/100</f>
        <v>66991.199999999997</v>
      </c>
      <c r="J1394" s="229">
        <f>I1394/D1388</f>
        <v>162.6</v>
      </c>
      <c r="K1394" s="229">
        <v>542</v>
      </c>
    </row>
    <row r="1395" spans="1:11" s="71" customFormat="1" x14ac:dyDescent="0.25">
      <c r="A1395" s="359">
        <f>A1388+1</f>
        <v>46</v>
      </c>
      <c r="B1395" s="359">
        <v>6510</v>
      </c>
      <c r="C1395" s="371" t="s">
        <v>389</v>
      </c>
      <c r="D1395" s="291">
        <v>461.9</v>
      </c>
      <c r="E1395" s="366" t="s">
        <v>167</v>
      </c>
      <c r="F1395" s="366">
        <v>2</v>
      </c>
      <c r="G1395" s="27"/>
      <c r="H1395" s="91" t="s">
        <v>66</v>
      </c>
      <c r="I1395" s="229">
        <f>SUM(I1396:I1399)</f>
        <v>397880.92</v>
      </c>
      <c r="J1395" s="229">
        <f>SUM(J1396:J1399)</f>
        <v>861.4</v>
      </c>
      <c r="K1395" s="229">
        <f>SUM(K1396:K1399)</f>
        <v>3497</v>
      </c>
    </row>
    <row r="1396" spans="1:11" s="71" customFormat="1" x14ac:dyDescent="0.25">
      <c r="A1396" s="360"/>
      <c r="B1396" s="360"/>
      <c r="C1396" s="372"/>
      <c r="D1396" s="292"/>
      <c r="E1396" s="367"/>
      <c r="F1396" s="367"/>
      <c r="G1396" s="360" t="s">
        <v>70</v>
      </c>
      <c r="H1396" s="91" t="s">
        <v>169</v>
      </c>
      <c r="I1396" s="229">
        <v>363575.12</v>
      </c>
      <c r="J1396" s="229">
        <f>I1396/D1395</f>
        <v>787.13</v>
      </c>
      <c r="K1396" s="229">
        <v>2911</v>
      </c>
    </row>
    <row r="1397" spans="1:11" s="71" customFormat="1" x14ac:dyDescent="0.25">
      <c r="A1397" s="360"/>
      <c r="B1397" s="360"/>
      <c r="C1397" s="372"/>
      <c r="D1397" s="292"/>
      <c r="E1397" s="367"/>
      <c r="F1397" s="367"/>
      <c r="G1397" s="368"/>
      <c r="H1397" s="91" t="s">
        <v>69</v>
      </c>
      <c r="I1397" s="229">
        <v>0</v>
      </c>
      <c r="J1397" s="229">
        <f>I1397/D1395</f>
        <v>0</v>
      </c>
      <c r="K1397" s="229">
        <v>62</v>
      </c>
    </row>
    <row r="1398" spans="1:11" s="71" customFormat="1" x14ac:dyDescent="0.25">
      <c r="A1398" s="360"/>
      <c r="B1398" s="360"/>
      <c r="C1398" s="372"/>
      <c r="D1398" s="292"/>
      <c r="E1398" s="367"/>
      <c r="F1398" s="367"/>
      <c r="G1398" s="360" t="s">
        <v>71</v>
      </c>
      <c r="H1398" s="91" t="s">
        <v>169</v>
      </c>
      <c r="I1398" s="229">
        <v>34305.800000000003</v>
      </c>
      <c r="J1398" s="229">
        <f>I1398/D1395</f>
        <v>74.27</v>
      </c>
      <c r="K1398" s="229">
        <v>513</v>
      </c>
    </row>
    <row r="1399" spans="1:11" s="71" customFormat="1" x14ac:dyDescent="0.25">
      <c r="A1399" s="360"/>
      <c r="B1399" s="360"/>
      <c r="C1399" s="372"/>
      <c r="D1399" s="292"/>
      <c r="E1399" s="367"/>
      <c r="F1399" s="367"/>
      <c r="G1399" s="368"/>
      <c r="H1399" s="91" t="s">
        <v>69</v>
      </c>
      <c r="I1399" s="229">
        <v>0</v>
      </c>
      <c r="J1399" s="229">
        <f>I1399/D1395</f>
        <v>0</v>
      </c>
      <c r="K1399" s="229">
        <v>11</v>
      </c>
    </row>
    <row r="1400" spans="1:11" x14ac:dyDescent="0.25">
      <c r="A1400" s="81" t="s">
        <v>41</v>
      </c>
      <c r="B1400" s="81"/>
      <c r="C1400" s="157"/>
      <c r="D1400" s="151">
        <f>D1401+D1410+D1414+D1418+D1427+D1436+D1438+D1442+D1447+D1451+D1456+D1460+D1464+D1467+D1472+D1481+D1484+D1487+D1489+D1492+D1499</f>
        <v>81271.210000000006</v>
      </c>
      <c r="E1400" s="151"/>
      <c r="F1400" s="151"/>
      <c r="G1400" s="151"/>
      <c r="H1400" s="85"/>
      <c r="I1400" s="223">
        <f>I1401+I1410+I1414+I1418+I1427+I1436+I1438+I1442+I1447+I1451+I1456+I1460+I1464+I1467+I1472+I1481+I1484+I1487+I1489+I1492+I1499</f>
        <v>84401816.370000005</v>
      </c>
      <c r="J1400" s="222"/>
      <c r="K1400" s="222"/>
    </row>
    <row r="1401" spans="1:11" x14ac:dyDescent="0.25">
      <c r="A1401" s="307">
        <v>1</v>
      </c>
      <c r="B1401" s="307">
        <v>5072</v>
      </c>
      <c r="C1401" s="386" t="s">
        <v>233</v>
      </c>
      <c r="D1401" s="318">
        <v>3100.9</v>
      </c>
      <c r="E1401" s="318" t="s">
        <v>68</v>
      </c>
      <c r="F1401" s="330">
        <v>5</v>
      </c>
      <c r="G1401" s="161"/>
      <c r="H1401" s="87" t="s">
        <v>66</v>
      </c>
      <c r="I1401" s="223">
        <f>SUM(I1402:I1409)</f>
        <v>8557567.9199999999</v>
      </c>
      <c r="J1401" s="223">
        <f>SUM(J1402:J1409)</f>
        <v>2759.7</v>
      </c>
      <c r="K1401" s="223">
        <f>SUM(K1402:K1409)</f>
        <v>4160</v>
      </c>
    </row>
    <row r="1402" spans="1:11" x14ac:dyDescent="0.25">
      <c r="A1402" s="308"/>
      <c r="B1402" s="308"/>
      <c r="C1402" s="387"/>
      <c r="D1402" s="319"/>
      <c r="E1402" s="319"/>
      <c r="F1402" s="331"/>
      <c r="G1402" s="310" t="s">
        <v>70</v>
      </c>
      <c r="H1402" s="153" t="s">
        <v>67</v>
      </c>
      <c r="I1402" s="223">
        <v>5878204.9199999999</v>
      </c>
      <c r="J1402" s="223">
        <f>I1402/D1401</f>
        <v>1895.64</v>
      </c>
      <c r="K1402" s="223">
        <v>2327</v>
      </c>
    </row>
    <row r="1403" spans="1:11" x14ac:dyDescent="0.25">
      <c r="A1403" s="308"/>
      <c r="B1403" s="308"/>
      <c r="C1403" s="387"/>
      <c r="D1403" s="319"/>
      <c r="E1403" s="319"/>
      <c r="F1403" s="331"/>
      <c r="G1403" s="310"/>
      <c r="H1403" s="153" t="s">
        <v>69</v>
      </c>
      <c r="I1403" s="223">
        <f>I1402*0.0214</f>
        <v>125793.59</v>
      </c>
      <c r="J1403" s="223">
        <f>I1403/D1401</f>
        <v>40.57</v>
      </c>
      <c r="K1403" s="223">
        <v>50</v>
      </c>
    </row>
    <row r="1404" spans="1:11" x14ac:dyDescent="0.25">
      <c r="A1404" s="308"/>
      <c r="B1404" s="308"/>
      <c r="C1404" s="387"/>
      <c r="D1404" s="319"/>
      <c r="E1404" s="319"/>
      <c r="F1404" s="331"/>
      <c r="G1404" s="310" t="s">
        <v>71</v>
      </c>
      <c r="H1404" s="87" t="s">
        <v>67</v>
      </c>
      <c r="I1404" s="223">
        <v>431901.86</v>
      </c>
      <c r="J1404" s="223">
        <f>I1404/D1401</f>
        <v>139.28</v>
      </c>
      <c r="K1404" s="223">
        <v>618</v>
      </c>
    </row>
    <row r="1405" spans="1:11" x14ac:dyDescent="0.25">
      <c r="A1405" s="308"/>
      <c r="B1405" s="308"/>
      <c r="C1405" s="387"/>
      <c r="D1405" s="319"/>
      <c r="E1405" s="319"/>
      <c r="F1405" s="331"/>
      <c r="G1405" s="310"/>
      <c r="H1405" s="87" t="s">
        <v>69</v>
      </c>
      <c r="I1405" s="223">
        <v>8967.14</v>
      </c>
      <c r="J1405" s="223">
        <f>I1405/D1401</f>
        <v>2.89</v>
      </c>
      <c r="K1405" s="223">
        <v>13</v>
      </c>
    </row>
    <row r="1406" spans="1:11" x14ac:dyDescent="0.25">
      <c r="A1406" s="308"/>
      <c r="B1406" s="308"/>
      <c r="C1406" s="387"/>
      <c r="D1406" s="319"/>
      <c r="E1406" s="319"/>
      <c r="F1406" s="331"/>
      <c r="G1406" s="310" t="s">
        <v>72</v>
      </c>
      <c r="H1406" s="87" t="s">
        <v>67</v>
      </c>
      <c r="I1406" s="223">
        <v>1204801.56</v>
      </c>
      <c r="J1406" s="223">
        <f>I1406/D1401</f>
        <v>388.53</v>
      </c>
      <c r="K1406" s="223">
        <v>601</v>
      </c>
    </row>
    <row r="1407" spans="1:11" x14ac:dyDescent="0.25">
      <c r="A1407" s="308"/>
      <c r="B1407" s="308"/>
      <c r="C1407" s="387"/>
      <c r="D1407" s="319"/>
      <c r="E1407" s="319"/>
      <c r="F1407" s="331"/>
      <c r="G1407" s="310"/>
      <c r="H1407" s="87" t="s">
        <v>69</v>
      </c>
      <c r="I1407" s="223">
        <v>25507.200000000001</v>
      </c>
      <c r="J1407" s="223">
        <f>I1407/D1401</f>
        <v>8.23</v>
      </c>
      <c r="K1407" s="223">
        <v>13</v>
      </c>
    </row>
    <row r="1408" spans="1:11" x14ac:dyDescent="0.25">
      <c r="A1408" s="308"/>
      <c r="B1408" s="308"/>
      <c r="C1408" s="387"/>
      <c r="D1408" s="319"/>
      <c r="E1408" s="319"/>
      <c r="F1408" s="331"/>
      <c r="G1408" s="310" t="s">
        <v>78</v>
      </c>
      <c r="H1408" s="87" t="s">
        <v>67</v>
      </c>
      <c r="I1408" s="223">
        <v>863904.1</v>
      </c>
      <c r="J1408" s="223">
        <f>I1408/D1401</f>
        <v>278.60000000000002</v>
      </c>
      <c r="K1408" s="223">
        <v>527</v>
      </c>
    </row>
    <row r="1409" spans="1:11" x14ac:dyDescent="0.25">
      <c r="A1409" s="309"/>
      <c r="B1409" s="309"/>
      <c r="C1409" s="388"/>
      <c r="D1409" s="329"/>
      <c r="E1409" s="329"/>
      <c r="F1409" s="332"/>
      <c r="G1409" s="310"/>
      <c r="H1409" s="87" t="s">
        <v>69</v>
      </c>
      <c r="I1409" s="223">
        <f>I1408*0.0214</f>
        <v>18487.55</v>
      </c>
      <c r="J1409" s="223">
        <f>I1409/D1401</f>
        <v>5.96</v>
      </c>
      <c r="K1409" s="223">
        <v>11</v>
      </c>
    </row>
    <row r="1410" spans="1:11" x14ac:dyDescent="0.25">
      <c r="A1410" s="307">
        <f>A1401+1</f>
        <v>2</v>
      </c>
      <c r="B1410" s="307">
        <v>5079</v>
      </c>
      <c r="C1410" s="386" t="s">
        <v>333</v>
      </c>
      <c r="D1410" s="318">
        <v>712.3</v>
      </c>
      <c r="E1410" s="318" t="s">
        <v>68</v>
      </c>
      <c r="F1410" s="330">
        <v>2</v>
      </c>
      <c r="G1410" s="161"/>
      <c r="H1410" s="87" t="s">
        <v>66</v>
      </c>
      <c r="I1410" s="223">
        <f>I1411+I1412+I1413</f>
        <v>163116.70000000001</v>
      </c>
      <c r="J1410" s="223">
        <f>J1411+J1412+J1413</f>
        <v>229</v>
      </c>
      <c r="K1410" s="223">
        <f>K1411+K1412+K1413</f>
        <v>229</v>
      </c>
    </row>
    <row r="1411" spans="1:11" ht="63" x14ac:dyDescent="0.25">
      <c r="A1411" s="308"/>
      <c r="B1411" s="308"/>
      <c r="C1411" s="387"/>
      <c r="D1411" s="319"/>
      <c r="E1411" s="319"/>
      <c r="F1411" s="331"/>
      <c r="G1411" s="148" t="s">
        <v>70</v>
      </c>
      <c r="H1411" s="87" t="s">
        <v>168</v>
      </c>
      <c r="I1411" s="223">
        <f>D1410*K1411</f>
        <v>99722</v>
      </c>
      <c r="J1411" s="223">
        <f>I1411/D1410</f>
        <v>140</v>
      </c>
      <c r="K1411" s="223">
        <f>119+21</f>
        <v>140</v>
      </c>
    </row>
    <row r="1412" spans="1:11" ht="63" x14ac:dyDescent="0.25">
      <c r="A1412" s="308"/>
      <c r="B1412" s="308"/>
      <c r="C1412" s="387"/>
      <c r="D1412" s="319"/>
      <c r="E1412" s="319"/>
      <c r="F1412" s="331"/>
      <c r="G1412" s="148" t="s">
        <v>71</v>
      </c>
      <c r="H1412" s="87" t="s">
        <v>168</v>
      </c>
      <c r="I1412" s="223">
        <f>D1410*K1412</f>
        <v>32765.8</v>
      </c>
      <c r="J1412" s="223">
        <f>I1412/D1410</f>
        <v>46</v>
      </c>
      <c r="K1412" s="223">
        <f>25+21</f>
        <v>46</v>
      </c>
    </row>
    <row r="1413" spans="1:11" ht="63" x14ac:dyDescent="0.25">
      <c r="A1413" s="308"/>
      <c r="B1413" s="308"/>
      <c r="C1413" s="387"/>
      <c r="D1413" s="319"/>
      <c r="E1413" s="319"/>
      <c r="F1413" s="331"/>
      <c r="G1413" s="148" t="s">
        <v>72</v>
      </c>
      <c r="H1413" s="87" t="s">
        <v>168</v>
      </c>
      <c r="I1413" s="223">
        <f>D1410*K1413</f>
        <v>30628.9</v>
      </c>
      <c r="J1413" s="223">
        <f>I1413/D1410</f>
        <v>43</v>
      </c>
      <c r="K1413" s="223">
        <f>24+19</f>
        <v>43</v>
      </c>
    </row>
    <row r="1414" spans="1:11" x14ac:dyDescent="0.25">
      <c r="A1414" s="307">
        <f>A1410+1</f>
        <v>3</v>
      </c>
      <c r="B1414" s="307">
        <v>5080</v>
      </c>
      <c r="C1414" s="386" t="s">
        <v>334</v>
      </c>
      <c r="D1414" s="318">
        <v>704</v>
      </c>
      <c r="E1414" s="318" t="s">
        <v>68</v>
      </c>
      <c r="F1414" s="330">
        <v>2</v>
      </c>
      <c r="G1414" s="161"/>
      <c r="H1414" s="87" t="s">
        <v>66</v>
      </c>
      <c r="I1414" s="223">
        <f>I1415+I1416+I1417</f>
        <v>161216</v>
      </c>
      <c r="J1414" s="223">
        <f>J1415+J1416+J1417</f>
        <v>229</v>
      </c>
      <c r="K1414" s="223">
        <f>K1415+K1416+K1417</f>
        <v>229</v>
      </c>
    </row>
    <row r="1415" spans="1:11" ht="63" x14ac:dyDescent="0.25">
      <c r="A1415" s="308"/>
      <c r="B1415" s="308"/>
      <c r="C1415" s="387"/>
      <c r="D1415" s="319"/>
      <c r="E1415" s="319"/>
      <c r="F1415" s="331"/>
      <c r="G1415" s="148" t="s">
        <v>70</v>
      </c>
      <c r="H1415" s="87" t="s">
        <v>168</v>
      </c>
      <c r="I1415" s="223">
        <f>D1414*K1415</f>
        <v>98560</v>
      </c>
      <c r="J1415" s="223">
        <f>I1415/D1414</f>
        <v>140</v>
      </c>
      <c r="K1415" s="223">
        <f>119+21</f>
        <v>140</v>
      </c>
    </row>
    <row r="1416" spans="1:11" ht="63" x14ac:dyDescent="0.25">
      <c r="A1416" s="308"/>
      <c r="B1416" s="308"/>
      <c r="C1416" s="387"/>
      <c r="D1416" s="319"/>
      <c r="E1416" s="319"/>
      <c r="F1416" s="331"/>
      <c r="G1416" s="148" t="s">
        <v>71</v>
      </c>
      <c r="H1416" s="87" t="s">
        <v>168</v>
      </c>
      <c r="I1416" s="223">
        <f>D1414*K1416</f>
        <v>32384</v>
      </c>
      <c r="J1416" s="223">
        <f>I1416/D1414</f>
        <v>46</v>
      </c>
      <c r="K1416" s="223">
        <f>25+21</f>
        <v>46</v>
      </c>
    </row>
    <row r="1417" spans="1:11" ht="63" x14ac:dyDescent="0.25">
      <c r="A1417" s="308"/>
      <c r="B1417" s="308"/>
      <c r="C1417" s="387"/>
      <c r="D1417" s="319"/>
      <c r="E1417" s="319"/>
      <c r="F1417" s="331"/>
      <c r="G1417" s="148" t="s">
        <v>72</v>
      </c>
      <c r="H1417" s="87" t="s">
        <v>168</v>
      </c>
      <c r="I1417" s="223">
        <f>D1414*K1417</f>
        <v>30272</v>
      </c>
      <c r="J1417" s="223">
        <f>I1417/D1414</f>
        <v>43</v>
      </c>
      <c r="K1417" s="223">
        <f>24+19</f>
        <v>43</v>
      </c>
    </row>
    <row r="1418" spans="1:11" x14ac:dyDescent="0.25">
      <c r="A1418" s="307">
        <f>A1414+1</f>
        <v>4</v>
      </c>
      <c r="B1418" s="307">
        <v>5086</v>
      </c>
      <c r="C1418" s="386" t="s">
        <v>239</v>
      </c>
      <c r="D1418" s="318">
        <v>3129.5</v>
      </c>
      <c r="E1418" s="318" t="s">
        <v>68</v>
      </c>
      <c r="F1418" s="330">
        <v>5</v>
      </c>
      <c r="G1418" s="121"/>
      <c r="H1418" s="87" t="s">
        <v>66</v>
      </c>
      <c r="I1418" s="223">
        <f>SUM(I1419:I1426)</f>
        <v>11193817.49</v>
      </c>
      <c r="J1418" s="223">
        <f>SUM(J1419:J1426)</f>
        <v>3576.87</v>
      </c>
      <c r="K1418" s="223">
        <f>SUM(K1419:K1426)</f>
        <v>4160</v>
      </c>
    </row>
    <row r="1419" spans="1:11" x14ac:dyDescent="0.25">
      <c r="A1419" s="308"/>
      <c r="B1419" s="308"/>
      <c r="C1419" s="387"/>
      <c r="D1419" s="319"/>
      <c r="E1419" s="319"/>
      <c r="F1419" s="331"/>
      <c r="G1419" s="310" t="s">
        <v>70</v>
      </c>
      <c r="H1419" s="153" t="s">
        <v>67</v>
      </c>
      <c r="I1419" s="223">
        <v>6769837.5099999998</v>
      </c>
      <c r="J1419" s="223">
        <f>I1419/D1418</f>
        <v>2163.23</v>
      </c>
      <c r="K1419" s="223">
        <v>2327</v>
      </c>
    </row>
    <row r="1420" spans="1:11" x14ac:dyDescent="0.25">
      <c r="A1420" s="308"/>
      <c r="B1420" s="308"/>
      <c r="C1420" s="387"/>
      <c r="D1420" s="319"/>
      <c r="E1420" s="319"/>
      <c r="F1420" s="331"/>
      <c r="G1420" s="310"/>
      <c r="H1420" s="153" t="s">
        <v>69</v>
      </c>
      <c r="I1420" s="223">
        <v>143957</v>
      </c>
      <c r="J1420" s="223">
        <f>I1420/D1418</f>
        <v>46</v>
      </c>
      <c r="K1420" s="223">
        <v>50</v>
      </c>
    </row>
    <row r="1421" spans="1:11" x14ac:dyDescent="0.25">
      <c r="A1421" s="308"/>
      <c r="B1421" s="308"/>
      <c r="C1421" s="387"/>
      <c r="D1421" s="319"/>
      <c r="E1421" s="319"/>
      <c r="F1421" s="331"/>
      <c r="G1421" s="310" t="s">
        <v>71</v>
      </c>
      <c r="H1421" s="87" t="s">
        <v>67</v>
      </c>
      <c r="I1421" s="223">
        <v>666827.86</v>
      </c>
      <c r="J1421" s="223">
        <f>I1421/D1418</f>
        <v>213.08</v>
      </c>
      <c r="K1421" s="223">
        <v>618</v>
      </c>
    </row>
    <row r="1422" spans="1:11" x14ac:dyDescent="0.25">
      <c r="A1422" s="308"/>
      <c r="B1422" s="308"/>
      <c r="C1422" s="387"/>
      <c r="D1422" s="319"/>
      <c r="E1422" s="319"/>
      <c r="F1422" s="331"/>
      <c r="G1422" s="310"/>
      <c r="H1422" s="87" t="s">
        <v>69</v>
      </c>
      <c r="I1422" s="223">
        <v>14270.12</v>
      </c>
      <c r="J1422" s="223">
        <f>I1422/D1418</f>
        <v>4.5599999999999996</v>
      </c>
      <c r="K1422" s="223">
        <v>13</v>
      </c>
    </row>
    <row r="1423" spans="1:11" x14ac:dyDescent="0.25">
      <c r="A1423" s="308"/>
      <c r="B1423" s="308"/>
      <c r="C1423" s="387"/>
      <c r="D1423" s="319"/>
      <c r="E1423" s="319"/>
      <c r="F1423" s="331"/>
      <c r="G1423" s="310" t="s">
        <v>72</v>
      </c>
      <c r="H1423" s="87" t="s">
        <v>67</v>
      </c>
      <c r="I1423" s="223">
        <v>1880829.5</v>
      </c>
      <c r="J1423" s="223">
        <f>I1423/D1418</f>
        <v>601</v>
      </c>
      <c r="K1423" s="223">
        <v>601</v>
      </c>
    </row>
    <row r="1424" spans="1:11" x14ac:dyDescent="0.25">
      <c r="A1424" s="308"/>
      <c r="B1424" s="308"/>
      <c r="C1424" s="387"/>
      <c r="D1424" s="319"/>
      <c r="E1424" s="319"/>
      <c r="F1424" s="331"/>
      <c r="G1424" s="310"/>
      <c r="H1424" s="87" t="s">
        <v>69</v>
      </c>
      <c r="I1424" s="223">
        <v>37554</v>
      </c>
      <c r="J1424" s="223">
        <f>I1424/D1418</f>
        <v>12</v>
      </c>
      <c r="K1424" s="223">
        <v>13</v>
      </c>
    </row>
    <row r="1425" spans="1:11" x14ac:dyDescent="0.25">
      <c r="A1425" s="308"/>
      <c r="B1425" s="308"/>
      <c r="C1425" s="387"/>
      <c r="D1425" s="319"/>
      <c r="E1425" s="319"/>
      <c r="F1425" s="331"/>
      <c r="G1425" s="310" t="s">
        <v>78</v>
      </c>
      <c r="H1425" s="87" t="s">
        <v>67</v>
      </c>
      <c r="I1425" s="223">
        <v>1649246.5</v>
      </c>
      <c r="J1425" s="223">
        <f>I1425/D1418</f>
        <v>527</v>
      </c>
      <c r="K1425" s="223">
        <v>527</v>
      </c>
    </row>
    <row r="1426" spans="1:11" x14ac:dyDescent="0.25">
      <c r="A1426" s="309"/>
      <c r="B1426" s="309"/>
      <c r="C1426" s="388"/>
      <c r="D1426" s="329"/>
      <c r="E1426" s="329"/>
      <c r="F1426" s="332"/>
      <c r="G1426" s="310"/>
      <c r="H1426" s="87" t="s">
        <v>69</v>
      </c>
      <c r="I1426" s="223">
        <v>31295</v>
      </c>
      <c r="J1426" s="223">
        <f>I1426/D1418</f>
        <v>10</v>
      </c>
      <c r="K1426" s="223">
        <v>11</v>
      </c>
    </row>
    <row r="1427" spans="1:11" x14ac:dyDescent="0.25">
      <c r="A1427" s="307">
        <f>A1418+1</f>
        <v>5</v>
      </c>
      <c r="B1427" s="307">
        <v>5087</v>
      </c>
      <c r="C1427" s="386" t="s">
        <v>240</v>
      </c>
      <c r="D1427" s="318">
        <v>2620.1999999999998</v>
      </c>
      <c r="E1427" s="318" t="s">
        <v>64</v>
      </c>
      <c r="F1427" s="330">
        <v>5</v>
      </c>
      <c r="G1427" s="161"/>
      <c r="H1427" s="87" t="s">
        <v>66</v>
      </c>
      <c r="I1427" s="223">
        <f>SUM(I1428:I1435)</f>
        <v>8911964.4000000004</v>
      </c>
      <c r="J1427" s="223">
        <f>SUM(J1428:J1435)</f>
        <v>3401.25</v>
      </c>
      <c r="K1427" s="223">
        <f>SUM(K1428:K1435)</f>
        <v>4813</v>
      </c>
    </row>
    <row r="1428" spans="1:11" x14ac:dyDescent="0.25">
      <c r="A1428" s="308"/>
      <c r="B1428" s="308"/>
      <c r="C1428" s="387"/>
      <c r="D1428" s="319"/>
      <c r="E1428" s="319"/>
      <c r="F1428" s="331"/>
      <c r="G1428" s="310" t="s">
        <v>70</v>
      </c>
      <c r="H1428" s="153" t="s">
        <v>67</v>
      </c>
      <c r="I1428" s="223">
        <v>5713043.2599999998</v>
      </c>
      <c r="J1428" s="223">
        <f>I1428/D1427+0.01</f>
        <v>2180.39</v>
      </c>
      <c r="K1428" s="223">
        <v>2967</v>
      </c>
    </row>
    <row r="1429" spans="1:11" x14ac:dyDescent="0.25">
      <c r="A1429" s="308"/>
      <c r="B1429" s="308"/>
      <c r="C1429" s="387"/>
      <c r="D1429" s="319"/>
      <c r="E1429" s="319"/>
      <c r="F1429" s="331"/>
      <c r="G1429" s="310"/>
      <c r="H1429" s="153" t="s">
        <v>69</v>
      </c>
      <c r="I1429" s="223">
        <v>122259.13</v>
      </c>
      <c r="J1429" s="223">
        <f>I1429/D1427</f>
        <v>46.66</v>
      </c>
      <c r="K1429" s="223">
        <v>63</v>
      </c>
    </row>
    <row r="1430" spans="1:11" x14ac:dyDescent="0.25">
      <c r="A1430" s="308"/>
      <c r="B1430" s="308"/>
      <c r="C1430" s="387"/>
      <c r="D1430" s="319"/>
      <c r="E1430" s="319"/>
      <c r="F1430" s="331"/>
      <c r="G1430" s="310" t="s">
        <v>71</v>
      </c>
      <c r="H1430" s="87" t="s">
        <v>67</v>
      </c>
      <c r="I1430" s="223">
        <v>479268.22</v>
      </c>
      <c r="J1430" s="223">
        <f>I1430/D1427</f>
        <v>182.91</v>
      </c>
      <c r="K1430" s="223">
        <v>618</v>
      </c>
    </row>
    <row r="1431" spans="1:11" x14ac:dyDescent="0.25">
      <c r="A1431" s="308"/>
      <c r="B1431" s="308"/>
      <c r="C1431" s="387"/>
      <c r="D1431" s="319"/>
      <c r="E1431" s="319"/>
      <c r="F1431" s="331"/>
      <c r="G1431" s="310"/>
      <c r="H1431" s="87" t="s">
        <v>69</v>
      </c>
      <c r="I1431" s="223">
        <v>10256.34</v>
      </c>
      <c r="J1431" s="223">
        <f>I1431/D1427</f>
        <v>3.91</v>
      </c>
      <c r="K1431" s="223">
        <v>13</v>
      </c>
    </row>
    <row r="1432" spans="1:11" x14ac:dyDescent="0.25">
      <c r="A1432" s="308"/>
      <c r="B1432" s="308"/>
      <c r="C1432" s="387"/>
      <c r="D1432" s="319"/>
      <c r="E1432" s="319"/>
      <c r="F1432" s="331"/>
      <c r="G1432" s="310" t="s">
        <v>72</v>
      </c>
      <c r="H1432" s="87" t="s">
        <v>67</v>
      </c>
      <c r="I1432" s="223">
        <v>1518434.42</v>
      </c>
      <c r="J1432" s="223">
        <f>I1432/D1427</f>
        <v>579.51</v>
      </c>
      <c r="K1432" s="223">
        <v>601</v>
      </c>
    </row>
    <row r="1433" spans="1:11" x14ac:dyDescent="0.25">
      <c r="A1433" s="308"/>
      <c r="B1433" s="308"/>
      <c r="C1433" s="387"/>
      <c r="D1433" s="319"/>
      <c r="E1433" s="319"/>
      <c r="F1433" s="331"/>
      <c r="G1433" s="310"/>
      <c r="H1433" s="87" t="s">
        <v>69</v>
      </c>
      <c r="I1433" s="223">
        <v>31442.400000000001</v>
      </c>
      <c r="J1433" s="223">
        <f>I1433/D1427</f>
        <v>12</v>
      </c>
      <c r="K1433" s="223">
        <v>13</v>
      </c>
    </row>
    <row r="1434" spans="1:11" x14ac:dyDescent="0.25">
      <c r="A1434" s="308"/>
      <c r="B1434" s="308"/>
      <c r="C1434" s="387"/>
      <c r="D1434" s="319"/>
      <c r="E1434" s="319"/>
      <c r="F1434" s="331"/>
      <c r="G1434" s="308" t="s">
        <v>78</v>
      </c>
      <c r="H1434" s="87" t="s">
        <v>67</v>
      </c>
      <c r="I1434" s="223">
        <v>1015528.32</v>
      </c>
      <c r="J1434" s="223">
        <f>I1434/D1427</f>
        <v>387.58</v>
      </c>
      <c r="K1434" s="223">
        <v>527</v>
      </c>
    </row>
    <row r="1435" spans="1:11" x14ac:dyDescent="0.25">
      <c r="A1435" s="309"/>
      <c r="B1435" s="309"/>
      <c r="C1435" s="388"/>
      <c r="D1435" s="329"/>
      <c r="E1435" s="329"/>
      <c r="F1435" s="332"/>
      <c r="G1435" s="309"/>
      <c r="H1435" s="87" t="s">
        <v>69</v>
      </c>
      <c r="I1435" s="223">
        <v>21732.31</v>
      </c>
      <c r="J1435" s="223">
        <f>I1435/D1427</f>
        <v>8.2899999999999991</v>
      </c>
      <c r="K1435" s="223">
        <v>11</v>
      </c>
    </row>
    <row r="1436" spans="1:11" x14ac:dyDescent="0.25">
      <c r="A1436" s="307">
        <f>A1427+1</f>
        <v>6</v>
      </c>
      <c r="B1436" s="307">
        <v>5091</v>
      </c>
      <c r="C1436" s="348" t="s">
        <v>335</v>
      </c>
      <c r="D1436" s="318">
        <v>2295.21</v>
      </c>
      <c r="E1436" s="318" t="s">
        <v>68</v>
      </c>
      <c r="F1436" s="330">
        <v>9</v>
      </c>
      <c r="G1436" s="307" t="s">
        <v>65</v>
      </c>
      <c r="H1436" s="87" t="s">
        <v>66</v>
      </c>
      <c r="I1436" s="223">
        <f>I1437</f>
        <v>382020.2</v>
      </c>
      <c r="J1436" s="223">
        <f>J1437</f>
        <v>166.44</v>
      </c>
      <c r="K1436" s="223">
        <f>K1437</f>
        <v>167</v>
      </c>
    </row>
    <row r="1437" spans="1:11" ht="63" x14ac:dyDescent="0.25">
      <c r="A1437" s="308"/>
      <c r="B1437" s="308"/>
      <c r="C1437" s="349"/>
      <c r="D1437" s="319"/>
      <c r="E1437" s="319"/>
      <c r="F1437" s="331"/>
      <c r="G1437" s="308"/>
      <c r="H1437" s="87" t="s">
        <v>178</v>
      </c>
      <c r="I1437" s="223">
        <f>352182.47+29837.73</f>
        <v>382020.2</v>
      </c>
      <c r="J1437" s="223">
        <f>I1437/D1436</f>
        <v>166.44</v>
      </c>
      <c r="K1437" s="223">
        <f>154+13</f>
        <v>167</v>
      </c>
    </row>
    <row r="1438" spans="1:11" x14ac:dyDescent="0.25">
      <c r="A1438" s="307">
        <f>A1436+1</f>
        <v>7</v>
      </c>
      <c r="B1438" s="307">
        <v>5097</v>
      </c>
      <c r="C1438" s="386" t="s">
        <v>336</v>
      </c>
      <c r="D1438" s="318">
        <v>371</v>
      </c>
      <c r="E1438" s="318" t="s">
        <v>64</v>
      </c>
      <c r="F1438" s="330">
        <v>2</v>
      </c>
      <c r="G1438" s="161"/>
      <c r="H1438" s="87" t="s">
        <v>66</v>
      </c>
      <c r="I1438" s="223">
        <f>I1439+I1440+I1441</f>
        <v>84959</v>
      </c>
      <c r="J1438" s="223">
        <f>J1439+J1440+J1441</f>
        <v>229</v>
      </c>
      <c r="K1438" s="223">
        <f>K1439+K1440+K1441</f>
        <v>229</v>
      </c>
    </row>
    <row r="1439" spans="1:11" ht="63" x14ac:dyDescent="0.25">
      <c r="A1439" s="308"/>
      <c r="B1439" s="308"/>
      <c r="C1439" s="387"/>
      <c r="D1439" s="319"/>
      <c r="E1439" s="319"/>
      <c r="F1439" s="331"/>
      <c r="G1439" s="148" t="s">
        <v>70</v>
      </c>
      <c r="H1439" s="87" t="s">
        <v>168</v>
      </c>
      <c r="I1439" s="223">
        <f>D1438*K1439</f>
        <v>51940</v>
      </c>
      <c r="J1439" s="223">
        <f>I1439/D1438</f>
        <v>140</v>
      </c>
      <c r="K1439" s="223">
        <f>119+21</f>
        <v>140</v>
      </c>
    </row>
    <row r="1440" spans="1:11" ht="63" x14ac:dyDescent="0.25">
      <c r="A1440" s="308"/>
      <c r="B1440" s="308"/>
      <c r="C1440" s="387"/>
      <c r="D1440" s="319"/>
      <c r="E1440" s="319"/>
      <c r="F1440" s="331"/>
      <c r="G1440" s="148" t="s">
        <v>71</v>
      </c>
      <c r="H1440" s="87" t="s">
        <v>168</v>
      </c>
      <c r="I1440" s="223">
        <f>D1438*K1440</f>
        <v>17066</v>
      </c>
      <c r="J1440" s="223">
        <f>I1440/D1438</f>
        <v>46</v>
      </c>
      <c r="K1440" s="223">
        <f>25+21</f>
        <v>46</v>
      </c>
    </row>
    <row r="1441" spans="1:11" ht="63" x14ac:dyDescent="0.25">
      <c r="A1441" s="308"/>
      <c r="B1441" s="308"/>
      <c r="C1441" s="387"/>
      <c r="D1441" s="319"/>
      <c r="E1441" s="319"/>
      <c r="F1441" s="331"/>
      <c r="G1441" s="148" t="s">
        <v>72</v>
      </c>
      <c r="H1441" s="87" t="s">
        <v>168</v>
      </c>
      <c r="I1441" s="223">
        <f>D1438*K1441</f>
        <v>15953</v>
      </c>
      <c r="J1441" s="223">
        <f>I1441/D1438</f>
        <v>43</v>
      </c>
      <c r="K1441" s="223">
        <f>24+19</f>
        <v>43</v>
      </c>
    </row>
    <row r="1442" spans="1:11" ht="15.75" customHeight="1" x14ac:dyDescent="0.25">
      <c r="A1442" s="307">
        <f>1+A1438</f>
        <v>8</v>
      </c>
      <c r="B1442" s="307">
        <v>5100</v>
      </c>
      <c r="C1442" s="386" t="s">
        <v>683</v>
      </c>
      <c r="D1442" s="318">
        <v>2705.3</v>
      </c>
      <c r="E1442" s="318" t="s">
        <v>64</v>
      </c>
      <c r="F1442" s="330">
        <v>5</v>
      </c>
      <c r="G1442" s="161"/>
      <c r="H1442" s="87" t="s">
        <v>66</v>
      </c>
      <c r="I1442" s="223">
        <f>SUM(I1443:I1446)</f>
        <v>633040.19999999995</v>
      </c>
      <c r="J1442" s="223">
        <f>SUM(J1443:J1446)</f>
        <v>234</v>
      </c>
      <c r="K1442" s="223">
        <f>SUM(K1443:K1446)</f>
        <v>234</v>
      </c>
    </row>
    <row r="1443" spans="1:11" ht="63" x14ac:dyDescent="0.25">
      <c r="A1443" s="308"/>
      <c r="B1443" s="308"/>
      <c r="C1443" s="387"/>
      <c r="D1443" s="319"/>
      <c r="E1443" s="319"/>
      <c r="F1443" s="331"/>
      <c r="G1443" s="145" t="s">
        <v>70</v>
      </c>
      <c r="H1443" s="153" t="s">
        <v>168</v>
      </c>
      <c r="I1443" s="223">
        <f>D1442*K1443</f>
        <v>378742</v>
      </c>
      <c r="J1443" s="223">
        <f>I1443/D1442</f>
        <v>140</v>
      </c>
      <c r="K1443" s="223">
        <f>119+21</f>
        <v>140</v>
      </c>
    </row>
    <row r="1444" spans="1:11" ht="63" x14ac:dyDescent="0.25">
      <c r="A1444" s="308"/>
      <c r="B1444" s="308"/>
      <c r="C1444" s="387"/>
      <c r="D1444" s="319"/>
      <c r="E1444" s="319"/>
      <c r="F1444" s="331"/>
      <c r="G1444" s="145" t="s">
        <v>71</v>
      </c>
      <c r="H1444" s="87" t="s">
        <v>168</v>
      </c>
      <c r="I1444" s="223">
        <f>D1442*K1444</f>
        <v>89274.9</v>
      </c>
      <c r="J1444" s="223">
        <f>I1444/D1442</f>
        <v>33</v>
      </c>
      <c r="K1444" s="223">
        <f>25+8</f>
        <v>33</v>
      </c>
    </row>
    <row r="1445" spans="1:11" ht="63" x14ac:dyDescent="0.25">
      <c r="A1445" s="308"/>
      <c r="B1445" s="308"/>
      <c r="C1445" s="387"/>
      <c r="D1445" s="319"/>
      <c r="E1445" s="319"/>
      <c r="F1445" s="331"/>
      <c r="G1445" s="145" t="s">
        <v>72</v>
      </c>
      <c r="H1445" s="87" t="s">
        <v>168</v>
      </c>
      <c r="I1445" s="223">
        <f>D1442*K1445</f>
        <v>83864.3</v>
      </c>
      <c r="J1445" s="223">
        <f>I1445/D1442</f>
        <v>31</v>
      </c>
      <c r="K1445" s="223">
        <f>24+7</f>
        <v>31</v>
      </c>
    </row>
    <row r="1446" spans="1:11" ht="63" x14ac:dyDescent="0.25">
      <c r="A1446" s="308"/>
      <c r="B1446" s="308"/>
      <c r="C1446" s="387"/>
      <c r="D1446" s="319"/>
      <c r="E1446" s="319"/>
      <c r="F1446" s="331"/>
      <c r="G1446" s="145" t="s">
        <v>78</v>
      </c>
      <c r="H1446" s="87" t="s">
        <v>168</v>
      </c>
      <c r="I1446" s="223">
        <f>D1442*K1446</f>
        <v>81159</v>
      </c>
      <c r="J1446" s="223">
        <f>I1446/D1442</f>
        <v>30</v>
      </c>
      <c r="K1446" s="223">
        <f>21+9</f>
        <v>30</v>
      </c>
    </row>
    <row r="1447" spans="1:11" x14ac:dyDescent="0.25">
      <c r="A1447" s="307">
        <f>A1442+1</f>
        <v>9</v>
      </c>
      <c r="B1447" s="307">
        <v>5107</v>
      </c>
      <c r="C1447" s="386" t="s">
        <v>234</v>
      </c>
      <c r="D1447" s="318">
        <v>743</v>
      </c>
      <c r="E1447" s="318" t="s">
        <v>68</v>
      </c>
      <c r="F1447" s="330">
        <v>2</v>
      </c>
      <c r="G1447" s="161"/>
      <c r="H1447" s="87" t="s">
        <v>66</v>
      </c>
      <c r="I1447" s="223">
        <f>I1448+I1449+I1450</f>
        <v>170147</v>
      </c>
      <c r="J1447" s="223">
        <f>J1448+J1449+J1450</f>
        <v>229</v>
      </c>
      <c r="K1447" s="223">
        <f>K1448+K1449+K1450</f>
        <v>229</v>
      </c>
    </row>
    <row r="1448" spans="1:11" ht="63" x14ac:dyDescent="0.25">
      <c r="A1448" s="308"/>
      <c r="B1448" s="308"/>
      <c r="C1448" s="387"/>
      <c r="D1448" s="319"/>
      <c r="E1448" s="319"/>
      <c r="F1448" s="331"/>
      <c r="G1448" s="148" t="s">
        <v>70</v>
      </c>
      <c r="H1448" s="87" t="s">
        <v>168</v>
      </c>
      <c r="I1448" s="223">
        <f>D1447*K1448</f>
        <v>104020</v>
      </c>
      <c r="J1448" s="223">
        <f>I1448/D1447</f>
        <v>140</v>
      </c>
      <c r="K1448" s="223">
        <f>119+21</f>
        <v>140</v>
      </c>
    </row>
    <row r="1449" spans="1:11" ht="63" x14ac:dyDescent="0.25">
      <c r="A1449" s="308"/>
      <c r="B1449" s="308"/>
      <c r="C1449" s="387"/>
      <c r="D1449" s="319"/>
      <c r="E1449" s="319"/>
      <c r="F1449" s="331"/>
      <c r="G1449" s="148" t="s">
        <v>71</v>
      </c>
      <c r="H1449" s="87" t="s">
        <v>168</v>
      </c>
      <c r="I1449" s="223">
        <f>D1447*K1449</f>
        <v>34178</v>
      </c>
      <c r="J1449" s="223">
        <f>I1449/D1447</f>
        <v>46</v>
      </c>
      <c r="K1449" s="223">
        <f>25+21</f>
        <v>46</v>
      </c>
    </row>
    <row r="1450" spans="1:11" ht="63" x14ac:dyDescent="0.25">
      <c r="A1450" s="308"/>
      <c r="B1450" s="308"/>
      <c r="C1450" s="387"/>
      <c r="D1450" s="319"/>
      <c r="E1450" s="319"/>
      <c r="F1450" s="331"/>
      <c r="G1450" s="148" t="s">
        <v>72</v>
      </c>
      <c r="H1450" s="87" t="s">
        <v>168</v>
      </c>
      <c r="I1450" s="223">
        <f>D1447*K1450</f>
        <v>31949</v>
      </c>
      <c r="J1450" s="223">
        <f>I1450/D1447</f>
        <v>43</v>
      </c>
      <c r="K1450" s="223">
        <f>24+19</f>
        <v>43</v>
      </c>
    </row>
    <row r="1451" spans="1:11" x14ac:dyDescent="0.25">
      <c r="A1451" s="307">
        <f>A1447+1</f>
        <v>10</v>
      </c>
      <c r="B1451" s="307">
        <v>5111</v>
      </c>
      <c r="C1451" s="386" t="s">
        <v>337</v>
      </c>
      <c r="D1451" s="318">
        <v>4156.3999999999996</v>
      </c>
      <c r="E1451" s="318" t="s">
        <v>68</v>
      </c>
      <c r="F1451" s="330">
        <v>5</v>
      </c>
      <c r="G1451" s="161"/>
      <c r="H1451" s="87" t="s">
        <v>66</v>
      </c>
      <c r="I1451" s="223">
        <f>I1452+I1453+I1454+I1455</f>
        <v>494665.3</v>
      </c>
      <c r="J1451" s="223">
        <f t="shared" ref="J1451:K1451" si="60">J1452+J1453+J1454+J1455</f>
        <v>119.01</v>
      </c>
      <c r="K1451" s="223">
        <f t="shared" si="60"/>
        <v>193</v>
      </c>
    </row>
    <row r="1452" spans="1:11" ht="63" x14ac:dyDescent="0.25">
      <c r="A1452" s="308"/>
      <c r="B1452" s="308"/>
      <c r="C1452" s="387"/>
      <c r="D1452" s="319"/>
      <c r="E1452" s="319"/>
      <c r="F1452" s="331"/>
      <c r="G1452" s="148" t="s">
        <v>70</v>
      </c>
      <c r="H1452" s="87" t="s">
        <v>168</v>
      </c>
      <c r="I1452" s="223">
        <v>208686.19</v>
      </c>
      <c r="J1452" s="223">
        <f>I1452/D1451</f>
        <v>50.21</v>
      </c>
      <c r="K1452" s="223">
        <f>93+6</f>
        <v>99</v>
      </c>
    </row>
    <row r="1453" spans="1:11" ht="63" x14ac:dyDescent="0.25">
      <c r="A1453" s="308"/>
      <c r="B1453" s="308"/>
      <c r="C1453" s="387"/>
      <c r="D1453" s="319"/>
      <c r="E1453" s="319"/>
      <c r="F1453" s="331"/>
      <c r="G1453" s="148" t="s">
        <v>71</v>
      </c>
      <c r="H1453" s="87" t="s">
        <v>168</v>
      </c>
      <c r="I1453" s="223">
        <v>92615.86</v>
      </c>
      <c r="J1453" s="223">
        <f>I1453/D1451</f>
        <v>22.28</v>
      </c>
      <c r="K1453" s="223">
        <f>25+8</f>
        <v>33</v>
      </c>
    </row>
    <row r="1454" spans="1:11" ht="63" x14ac:dyDescent="0.25">
      <c r="A1454" s="308"/>
      <c r="B1454" s="308"/>
      <c r="C1454" s="387"/>
      <c r="D1454" s="319"/>
      <c r="E1454" s="319"/>
      <c r="F1454" s="331"/>
      <c r="G1454" s="148" t="s">
        <v>72</v>
      </c>
      <c r="H1454" s="87" t="s">
        <v>168</v>
      </c>
      <c r="I1454" s="223">
        <v>68671.25</v>
      </c>
      <c r="J1454" s="223">
        <f>I1454/D1451</f>
        <v>16.52</v>
      </c>
      <c r="K1454" s="223">
        <f>24+7</f>
        <v>31</v>
      </c>
    </row>
    <row r="1455" spans="1:11" ht="63" x14ac:dyDescent="0.25">
      <c r="A1455" s="308"/>
      <c r="B1455" s="308"/>
      <c r="C1455" s="387"/>
      <c r="D1455" s="319"/>
      <c r="E1455" s="319"/>
      <c r="F1455" s="331"/>
      <c r="G1455" s="148" t="s">
        <v>78</v>
      </c>
      <c r="H1455" s="87" t="s">
        <v>168</v>
      </c>
      <c r="I1455" s="223">
        <f>D1451*K1455</f>
        <v>124692</v>
      </c>
      <c r="J1455" s="223">
        <f>I1455/D1451</f>
        <v>30</v>
      </c>
      <c r="K1455" s="223">
        <f>21+9</f>
        <v>30</v>
      </c>
    </row>
    <row r="1456" spans="1:11" x14ac:dyDescent="0.25">
      <c r="A1456" s="307">
        <f>A1451+1</f>
        <v>11</v>
      </c>
      <c r="B1456" s="307">
        <v>5112</v>
      </c>
      <c r="C1456" s="386" t="s">
        <v>338</v>
      </c>
      <c r="D1456" s="318">
        <v>745.9</v>
      </c>
      <c r="E1456" s="318" t="s">
        <v>64</v>
      </c>
      <c r="F1456" s="330">
        <v>2</v>
      </c>
      <c r="G1456" s="161"/>
      <c r="H1456" s="87" t="s">
        <v>66</v>
      </c>
      <c r="I1456" s="223">
        <f>I1457+I1458+I1459</f>
        <v>170811.1</v>
      </c>
      <c r="J1456" s="223">
        <f>J1457+J1458+J1459</f>
        <v>229</v>
      </c>
      <c r="K1456" s="223">
        <f>K1457+K1458+K1459</f>
        <v>229</v>
      </c>
    </row>
    <row r="1457" spans="1:11" ht="63" x14ac:dyDescent="0.25">
      <c r="A1457" s="308"/>
      <c r="B1457" s="308"/>
      <c r="C1457" s="387"/>
      <c r="D1457" s="319"/>
      <c r="E1457" s="319"/>
      <c r="F1457" s="331"/>
      <c r="G1457" s="148" t="s">
        <v>70</v>
      </c>
      <c r="H1457" s="87" t="s">
        <v>168</v>
      </c>
      <c r="I1457" s="223">
        <f>D1456*K1457</f>
        <v>104426</v>
      </c>
      <c r="J1457" s="223">
        <f>I1457/D1456</f>
        <v>140</v>
      </c>
      <c r="K1457" s="223">
        <f>119+21</f>
        <v>140</v>
      </c>
    </row>
    <row r="1458" spans="1:11" ht="63" x14ac:dyDescent="0.25">
      <c r="A1458" s="308"/>
      <c r="B1458" s="308"/>
      <c r="C1458" s="387"/>
      <c r="D1458" s="319"/>
      <c r="E1458" s="319"/>
      <c r="F1458" s="331"/>
      <c r="G1458" s="148" t="s">
        <v>71</v>
      </c>
      <c r="H1458" s="87" t="s">
        <v>168</v>
      </c>
      <c r="I1458" s="223">
        <f>D1456*K1458</f>
        <v>34311.4</v>
      </c>
      <c r="J1458" s="223">
        <f>I1458/D1456</f>
        <v>46</v>
      </c>
      <c r="K1458" s="223">
        <f>25+21</f>
        <v>46</v>
      </c>
    </row>
    <row r="1459" spans="1:11" ht="63" x14ac:dyDescent="0.25">
      <c r="A1459" s="308"/>
      <c r="B1459" s="308"/>
      <c r="C1459" s="387"/>
      <c r="D1459" s="319"/>
      <c r="E1459" s="319"/>
      <c r="F1459" s="331"/>
      <c r="G1459" s="148" t="s">
        <v>72</v>
      </c>
      <c r="H1459" s="87" t="s">
        <v>168</v>
      </c>
      <c r="I1459" s="223">
        <f>D1456*K1459</f>
        <v>32073.7</v>
      </c>
      <c r="J1459" s="223">
        <f>I1459/D1456</f>
        <v>43</v>
      </c>
      <c r="K1459" s="223">
        <f>24+19</f>
        <v>43</v>
      </c>
    </row>
    <row r="1460" spans="1:11" x14ac:dyDescent="0.25">
      <c r="A1460" s="307">
        <f>A1456+1</f>
        <v>12</v>
      </c>
      <c r="B1460" s="307">
        <v>5115</v>
      </c>
      <c r="C1460" s="386" t="s">
        <v>339</v>
      </c>
      <c r="D1460" s="318">
        <v>860.4</v>
      </c>
      <c r="E1460" s="318" t="s">
        <v>68</v>
      </c>
      <c r="F1460" s="330">
        <v>2</v>
      </c>
      <c r="G1460" s="161"/>
      <c r="H1460" s="87" t="s">
        <v>66</v>
      </c>
      <c r="I1460" s="223">
        <f>I1461+I1462+I1463</f>
        <v>193220.29</v>
      </c>
      <c r="J1460" s="223">
        <f>J1461+J1462+J1463</f>
        <v>224.57</v>
      </c>
      <c r="K1460" s="223">
        <f>K1461+K1462+K1463</f>
        <v>229</v>
      </c>
    </row>
    <row r="1461" spans="1:11" ht="63" x14ac:dyDescent="0.25">
      <c r="A1461" s="308"/>
      <c r="B1461" s="308"/>
      <c r="C1461" s="387"/>
      <c r="D1461" s="319"/>
      <c r="E1461" s="319"/>
      <c r="F1461" s="331"/>
      <c r="G1461" s="148" t="s">
        <v>70</v>
      </c>
      <c r="H1461" s="87" t="s">
        <v>168</v>
      </c>
      <c r="I1461" s="223">
        <v>116644.69</v>
      </c>
      <c r="J1461" s="223">
        <f>I1461/D1460</f>
        <v>135.57</v>
      </c>
      <c r="K1461" s="223">
        <f>119+21</f>
        <v>140</v>
      </c>
    </row>
    <row r="1462" spans="1:11" ht="63" x14ac:dyDescent="0.25">
      <c r="A1462" s="308"/>
      <c r="B1462" s="308"/>
      <c r="C1462" s="387"/>
      <c r="D1462" s="319"/>
      <c r="E1462" s="319"/>
      <c r="F1462" s="331"/>
      <c r="G1462" s="148" t="s">
        <v>71</v>
      </c>
      <c r="H1462" s="87" t="s">
        <v>168</v>
      </c>
      <c r="I1462" s="223">
        <f>D1460*K1462</f>
        <v>39578.400000000001</v>
      </c>
      <c r="J1462" s="223">
        <f>I1462/D1460</f>
        <v>46</v>
      </c>
      <c r="K1462" s="223">
        <f>25+21</f>
        <v>46</v>
      </c>
    </row>
    <row r="1463" spans="1:11" ht="63" x14ac:dyDescent="0.25">
      <c r="A1463" s="308"/>
      <c r="B1463" s="308"/>
      <c r="C1463" s="387"/>
      <c r="D1463" s="319"/>
      <c r="E1463" s="319"/>
      <c r="F1463" s="331"/>
      <c r="G1463" s="148" t="s">
        <v>72</v>
      </c>
      <c r="H1463" s="89" t="s">
        <v>168</v>
      </c>
      <c r="I1463" s="223">
        <f>D1460*K1463</f>
        <v>36997.199999999997</v>
      </c>
      <c r="J1463" s="223">
        <f>I1463/D1460</f>
        <v>43</v>
      </c>
      <c r="K1463" s="223">
        <f>24+19</f>
        <v>43</v>
      </c>
    </row>
    <row r="1464" spans="1:11" x14ac:dyDescent="0.25">
      <c r="A1464" s="307">
        <f>A1460+1</f>
        <v>13</v>
      </c>
      <c r="B1464" s="307">
        <v>5117</v>
      </c>
      <c r="C1464" s="386" t="s">
        <v>340</v>
      </c>
      <c r="D1464" s="318">
        <v>2307.3000000000002</v>
      </c>
      <c r="E1464" s="318" t="s">
        <v>68</v>
      </c>
      <c r="F1464" s="330">
        <v>9</v>
      </c>
      <c r="G1464" s="307" t="s">
        <v>65</v>
      </c>
      <c r="H1464" s="87" t="s">
        <v>66</v>
      </c>
      <c r="I1464" s="223">
        <f>I1465+I1466</f>
        <v>6411380.4000000004</v>
      </c>
      <c r="J1464" s="223">
        <f>J1465+J1466</f>
        <v>2778.74</v>
      </c>
      <c r="K1464" s="223">
        <f>K1465+K1466</f>
        <v>2914</v>
      </c>
    </row>
    <row r="1465" spans="1:11" x14ac:dyDescent="0.25">
      <c r="A1465" s="308"/>
      <c r="B1465" s="308"/>
      <c r="C1465" s="387"/>
      <c r="D1465" s="319"/>
      <c r="E1465" s="319"/>
      <c r="F1465" s="331"/>
      <c r="G1465" s="308"/>
      <c r="H1465" s="87" t="s">
        <v>67</v>
      </c>
      <c r="I1465" s="223">
        <v>6282171.5999999996</v>
      </c>
      <c r="J1465" s="223">
        <f>I1465/D1464</f>
        <v>2722.74</v>
      </c>
      <c r="K1465" s="223">
        <v>2853</v>
      </c>
    </row>
    <row r="1466" spans="1:11" x14ac:dyDescent="0.25">
      <c r="A1466" s="309"/>
      <c r="B1466" s="309"/>
      <c r="C1466" s="388"/>
      <c r="D1466" s="329"/>
      <c r="E1466" s="329"/>
      <c r="F1466" s="332"/>
      <c r="G1466" s="309"/>
      <c r="H1466" s="87" t="s">
        <v>69</v>
      </c>
      <c r="I1466" s="223">
        <v>129208.8</v>
      </c>
      <c r="J1466" s="223">
        <f>I1466/D1464</f>
        <v>56</v>
      </c>
      <c r="K1466" s="223">
        <v>61</v>
      </c>
    </row>
    <row r="1467" spans="1:11" x14ac:dyDescent="0.25">
      <c r="A1467" s="307">
        <f>A1464+1</f>
        <v>14</v>
      </c>
      <c r="B1467" s="307">
        <v>5123</v>
      </c>
      <c r="C1467" s="386" t="s">
        <v>341</v>
      </c>
      <c r="D1467" s="318">
        <v>2573.4</v>
      </c>
      <c r="E1467" s="318" t="s">
        <v>68</v>
      </c>
      <c r="F1467" s="330">
        <v>4</v>
      </c>
      <c r="G1467" s="161"/>
      <c r="H1467" s="87" t="s">
        <v>66</v>
      </c>
      <c r="I1467" s="223">
        <f>I1468+I1469+I1470+I1471</f>
        <v>399119.02</v>
      </c>
      <c r="J1467" s="223">
        <f t="shared" ref="J1467:K1467" si="61">J1468+J1469+J1470+J1471</f>
        <v>155.09</v>
      </c>
      <c r="K1467" s="223">
        <f t="shared" si="61"/>
        <v>234</v>
      </c>
    </row>
    <row r="1468" spans="1:11" ht="63" x14ac:dyDescent="0.25">
      <c r="A1468" s="308"/>
      <c r="B1468" s="308"/>
      <c r="C1468" s="387"/>
      <c r="D1468" s="319"/>
      <c r="E1468" s="319"/>
      <c r="F1468" s="331"/>
      <c r="G1468" s="148" t="s">
        <v>70</v>
      </c>
      <c r="H1468" s="87" t="s">
        <v>168</v>
      </c>
      <c r="I1468" s="223">
        <v>203069.9</v>
      </c>
      <c r="J1468" s="223">
        <f>I1468/D1467</f>
        <v>78.91</v>
      </c>
      <c r="K1468" s="223">
        <f>119+21</f>
        <v>140</v>
      </c>
    </row>
    <row r="1469" spans="1:11" ht="63" x14ac:dyDescent="0.25">
      <c r="A1469" s="308"/>
      <c r="B1469" s="308"/>
      <c r="C1469" s="387"/>
      <c r="D1469" s="319"/>
      <c r="E1469" s="319"/>
      <c r="F1469" s="331"/>
      <c r="G1469" s="148" t="s">
        <v>71</v>
      </c>
      <c r="H1469" s="87" t="s">
        <v>168</v>
      </c>
      <c r="I1469" s="223">
        <v>68734.87</v>
      </c>
      <c r="J1469" s="223">
        <f>I1469/D1467</f>
        <v>26.71</v>
      </c>
      <c r="K1469" s="223">
        <f>25+8</f>
        <v>33</v>
      </c>
    </row>
    <row r="1470" spans="1:11" ht="63" x14ac:dyDescent="0.25">
      <c r="A1470" s="308"/>
      <c r="B1470" s="308"/>
      <c r="C1470" s="387"/>
      <c r="D1470" s="319"/>
      <c r="E1470" s="319"/>
      <c r="F1470" s="331"/>
      <c r="G1470" s="148" t="s">
        <v>72</v>
      </c>
      <c r="H1470" s="87" t="s">
        <v>168</v>
      </c>
      <c r="I1470" s="223">
        <v>50112.25</v>
      </c>
      <c r="J1470" s="223">
        <f>I1470/D1467</f>
        <v>19.47</v>
      </c>
      <c r="K1470" s="223">
        <f>24+7</f>
        <v>31</v>
      </c>
    </row>
    <row r="1471" spans="1:11" ht="63" x14ac:dyDescent="0.25">
      <c r="A1471" s="308"/>
      <c r="B1471" s="308"/>
      <c r="C1471" s="387"/>
      <c r="D1471" s="319"/>
      <c r="E1471" s="319"/>
      <c r="F1471" s="331"/>
      <c r="G1471" s="148" t="s">
        <v>78</v>
      </c>
      <c r="H1471" s="87" t="s">
        <v>168</v>
      </c>
      <c r="I1471" s="223">
        <f>D1467*K1471</f>
        <v>77202</v>
      </c>
      <c r="J1471" s="223">
        <f>I1471/D1467</f>
        <v>30</v>
      </c>
      <c r="K1471" s="223">
        <f>21+9</f>
        <v>30</v>
      </c>
    </row>
    <row r="1472" spans="1:11" x14ac:dyDescent="0.25">
      <c r="A1472" s="307">
        <f>A1467+1</f>
        <v>15</v>
      </c>
      <c r="B1472" s="307">
        <v>5127</v>
      </c>
      <c r="C1472" s="386" t="s">
        <v>237</v>
      </c>
      <c r="D1472" s="318">
        <v>3273.7</v>
      </c>
      <c r="E1472" s="318" t="s">
        <v>68</v>
      </c>
      <c r="F1472" s="330">
        <v>5</v>
      </c>
      <c r="G1472" s="121"/>
      <c r="H1472" s="87" t="s">
        <v>66</v>
      </c>
      <c r="I1472" s="223">
        <f>SUM(I1473:I1480)</f>
        <v>6723376.4199999999</v>
      </c>
      <c r="J1472" s="223">
        <f>SUM(J1473:J1480)</f>
        <v>2053.75</v>
      </c>
      <c r="K1472" s="223">
        <f>SUM(K1473:K1480)</f>
        <v>4160</v>
      </c>
    </row>
    <row r="1473" spans="1:11" ht="15.75" customHeight="1" x14ac:dyDescent="0.25">
      <c r="A1473" s="308"/>
      <c r="B1473" s="308"/>
      <c r="C1473" s="387"/>
      <c r="D1473" s="319"/>
      <c r="E1473" s="319"/>
      <c r="F1473" s="331"/>
      <c r="G1473" s="310" t="s">
        <v>70</v>
      </c>
      <c r="H1473" s="153" t="s">
        <v>67</v>
      </c>
      <c r="I1473" s="223">
        <f>6368851.44*0.7</f>
        <v>4458196.01</v>
      </c>
      <c r="J1473" s="223">
        <f>I1473/D1472</f>
        <v>1361.82</v>
      </c>
      <c r="K1473" s="223">
        <v>2327</v>
      </c>
    </row>
    <row r="1474" spans="1:11" x14ac:dyDescent="0.25">
      <c r="A1474" s="308"/>
      <c r="B1474" s="308"/>
      <c r="C1474" s="387"/>
      <c r="D1474" s="319"/>
      <c r="E1474" s="319"/>
      <c r="F1474" s="331"/>
      <c r="G1474" s="310"/>
      <c r="H1474" s="153" t="s">
        <v>69</v>
      </c>
      <c r="I1474" s="223">
        <f>6368851.44*0.0214</f>
        <v>136293.42000000001</v>
      </c>
      <c r="J1474" s="223">
        <f>I1474/D1472</f>
        <v>41.63</v>
      </c>
      <c r="K1474" s="223">
        <v>50</v>
      </c>
    </row>
    <row r="1475" spans="1:11" ht="15.75" customHeight="1" x14ac:dyDescent="0.25">
      <c r="A1475" s="308"/>
      <c r="B1475" s="308"/>
      <c r="C1475" s="387"/>
      <c r="D1475" s="319"/>
      <c r="E1475" s="319"/>
      <c r="F1475" s="331"/>
      <c r="G1475" s="310" t="s">
        <v>71</v>
      </c>
      <c r="H1475" s="87" t="s">
        <v>67</v>
      </c>
      <c r="I1475" s="223">
        <f>531863.5*0.7</f>
        <v>372304.45</v>
      </c>
      <c r="J1475" s="223">
        <f>I1475/D1472</f>
        <v>113.73</v>
      </c>
      <c r="K1475" s="223">
        <v>618</v>
      </c>
    </row>
    <row r="1476" spans="1:11" x14ac:dyDescent="0.25">
      <c r="A1476" s="308"/>
      <c r="B1476" s="308"/>
      <c r="C1476" s="387"/>
      <c r="D1476" s="319"/>
      <c r="E1476" s="319"/>
      <c r="F1476" s="331"/>
      <c r="G1476" s="310"/>
      <c r="H1476" s="87" t="s">
        <v>69</v>
      </c>
      <c r="I1476" s="223">
        <f>531863.5*0.0214</f>
        <v>11381.88</v>
      </c>
      <c r="J1476" s="223">
        <f>I1476/D1472</f>
        <v>3.48</v>
      </c>
      <c r="K1476" s="223">
        <v>13</v>
      </c>
    </row>
    <row r="1477" spans="1:11" ht="15.75" customHeight="1" x14ac:dyDescent="0.25">
      <c r="A1477" s="308"/>
      <c r="B1477" s="308"/>
      <c r="C1477" s="387"/>
      <c r="D1477" s="319"/>
      <c r="E1477" s="319"/>
      <c r="F1477" s="331"/>
      <c r="G1477" s="308" t="s">
        <v>72</v>
      </c>
      <c r="H1477" s="87" t="s">
        <v>67</v>
      </c>
      <c r="I1477" s="223">
        <f>1486113.48*0.7</f>
        <v>1040279.44</v>
      </c>
      <c r="J1477" s="223">
        <f>I1477/D1472</f>
        <v>317.77</v>
      </c>
      <c r="K1477" s="223">
        <v>601</v>
      </c>
    </row>
    <row r="1478" spans="1:11" x14ac:dyDescent="0.25">
      <c r="A1478" s="308"/>
      <c r="B1478" s="308"/>
      <c r="C1478" s="387"/>
      <c r="D1478" s="319"/>
      <c r="E1478" s="319"/>
      <c r="F1478" s="331"/>
      <c r="G1478" s="309"/>
      <c r="H1478" s="87" t="s">
        <v>69</v>
      </c>
      <c r="I1478" s="223">
        <f>1486113.48*0.0214</f>
        <v>31802.83</v>
      </c>
      <c r="J1478" s="223">
        <f>I1478/D1472</f>
        <v>9.7100000000000009</v>
      </c>
      <c r="K1478" s="223">
        <v>13</v>
      </c>
    </row>
    <row r="1479" spans="1:11" ht="15.75" customHeight="1" x14ac:dyDescent="0.25">
      <c r="A1479" s="308"/>
      <c r="B1479" s="308"/>
      <c r="C1479" s="387"/>
      <c r="D1479" s="319"/>
      <c r="E1479" s="319"/>
      <c r="F1479" s="331"/>
      <c r="G1479" s="308" t="s">
        <v>78</v>
      </c>
      <c r="H1479" s="87" t="s">
        <v>67</v>
      </c>
      <c r="I1479" s="223">
        <f>933072.34*0.7</f>
        <v>653150.64</v>
      </c>
      <c r="J1479" s="223">
        <f>I1479/D1472</f>
        <v>199.51</v>
      </c>
      <c r="K1479" s="223">
        <v>527</v>
      </c>
    </row>
    <row r="1480" spans="1:11" x14ac:dyDescent="0.25">
      <c r="A1480" s="309"/>
      <c r="B1480" s="309"/>
      <c r="C1480" s="388"/>
      <c r="D1480" s="329"/>
      <c r="E1480" s="329"/>
      <c r="F1480" s="332"/>
      <c r="G1480" s="309"/>
      <c r="H1480" s="87" t="s">
        <v>69</v>
      </c>
      <c r="I1480" s="223">
        <f>933072.34*0.0214</f>
        <v>19967.75</v>
      </c>
      <c r="J1480" s="223">
        <f>I1480/D1472</f>
        <v>6.1</v>
      </c>
      <c r="K1480" s="223">
        <v>11</v>
      </c>
    </row>
    <row r="1481" spans="1:11" x14ac:dyDescent="0.25">
      <c r="A1481" s="310">
        <f>A1472+1</f>
        <v>16</v>
      </c>
      <c r="B1481" s="310">
        <v>5134</v>
      </c>
      <c r="C1481" s="427" t="s">
        <v>241</v>
      </c>
      <c r="D1481" s="318">
        <v>7548.1</v>
      </c>
      <c r="E1481" s="318" t="s">
        <v>68</v>
      </c>
      <c r="F1481" s="330">
        <v>9</v>
      </c>
      <c r="G1481" s="307" t="s">
        <v>65</v>
      </c>
      <c r="H1481" s="87" t="s">
        <v>66</v>
      </c>
      <c r="I1481" s="223">
        <f>I1482+I1483</f>
        <v>21957422.899999999</v>
      </c>
      <c r="J1481" s="223">
        <f>J1482+J1483</f>
        <v>2909</v>
      </c>
      <c r="K1481" s="223">
        <f>K1482+K1483</f>
        <v>2914</v>
      </c>
    </row>
    <row r="1482" spans="1:11" x14ac:dyDescent="0.25">
      <c r="A1482" s="310"/>
      <c r="B1482" s="310"/>
      <c r="C1482" s="428"/>
      <c r="D1482" s="319"/>
      <c r="E1482" s="319"/>
      <c r="F1482" s="331"/>
      <c r="G1482" s="308"/>
      <c r="H1482" s="87" t="s">
        <v>67</v>
      </c>
      <c r="I1482" s="223">
        <v>21534729.300000001</v>
      </c>
      <c r="J1482" s="223">
        <f>I1482/D1481</f>
        <v>2853</v>
      </c>
      <c r="K1482" s="223">
        <v>2853</v>
      </c>
    </row>
    <row r="1483" spans="1:11" x14ac:dyDescent="0.25">
      <c r="A1483" s="310"/>
      <c r="B1483" s="310"/>
      <c r="C1483" s="429"/>
      <c r="D1483" s="329"/>
      <c r="E1483" s="329"/>
      <c r="F1483" s="332"/>
      <c r="G1483" s="309"/>
      <c r="H1483" s="87" t="s">
        <v>69</v>
      </c>
      <c r="I1483" s="223">
        <v>422693.6</v>
      </c>
      <c r="J1483" s="223">
        <f>I1483/D1481</f>
        <v>56</v>
      </c>
      <c r="K1483" s="223">
        <v>61</v>
      </c>
    </row>
    <row r="1484" spans="1:11" x14ac:dyDescent="0.25">
      <c r="A1484" s="307">
        <f>A1481+1</f>
        <v>17</v>
      </c>
      <c r="B1484" s="307">
        <v>5172</v>
      </c>
      <c r="C1484" s="348" t="s">
        <v>242</v>
      </c>
      <c r="D1484" s="318">
        <v>3986</v>
      </c>
      <c r="E1484" s="318" t="s">
        <v>64</v>
      </c>
      <c r="F1484" s="330">
        <v>5</v>
      </c>
      <c r="G1484" s="307" t="s">
        <v>65</v>
      </c>
      <c r="H1484" s="87" t="s">
        <v>66</v>
      </c>
      <c r="I1484" s="223">
        <f>I1485+I1486</f>
        <v>10152026.529999999</v>
      </c>
      <c r="J1484" s="223">
        <f>J1485+J1486</f>
        <v>2546.92</v>
      </c>
      <c r="K1484" s="223">
        <f>K1485+K1486</f>
        <v>3635</v>
      </c>
    </row>
    <row r="1485" spans="1:11" ht="31.5" x14ac:dyDescent="0.25">
      <c r="A1485" s="308"/>
      <c r="B1485" s="308"/>
      <c r="C1485" s="349"/>
      <c r="D1485" s="319"/>
      <c r="E1485" s="319"/>
      <c r="F1485" s="331"/>
      <c r="G1485" s="308"/>
      <c r="H1485" s="87" t="s">
        <v>76</v>
      </c>
      <c r="I1485" s="223">
        <f>14104295.04*0.7</f>
        <v>9873006.5299999993</v>
      </c>
      <c r="J1485" s="223">
        <f>I1485/D1484</f>
        <v>2476.92</v>
      </c>
      <c r="K1485" s="223">
        <v>3559</v>
      </c>
    </row>
    <row r="1486" spans="1:11" x14ac:dyDescent="0.25">
      <c r="A1486" s="309"/>
      <c r="B1486" s="309"/>
      <c r="C1486" s="350"/>
      <c r="D1486" s="329"/>
      <c r="E1486" s="329"/>
      <c r="F1486" s="332"/>
      <c r="G1486" s="309"/>
      <c r="H1486" s="87" t="s">
        <v>69</v>
      </c>
      <c r="I1486" s="223">
        <v>279020</v>
      </c>
      <c r="J1486" s="223">
        <f>I1486/D1484</f>
        <v>70</v>
      </c>
      <c r="K1486" s="223">
        <v>76</v>
      </c>
    </row>
    <row r="1487" spans="1:11" ht="15.75" customHeight="1" x14ac:dyDescent="0.25">
      <c r="A1487" s="307">
        <f>A1484+1</f>
        <v>18</v>
      </c>
      <c r="B1487" s="307">
        <v>5184</v>
      </c>
      <c r="C1487" s="315" t="s">
        <v>684</v>
      </c>
      <c r="D1487" s="318">
        <v>2757.5</v>
      </c>
      <c r="E1487" s="307" t="s">
        <v>68</v>
      </c>
      <c r="F1487" s="307">
        <v>5</v>
      </c>
      <c r="G1487" s="161"/>
      <c r="H1487" s="87" t="s">
        <v>66</v>
      </c>
      <c r="I1487" s="223">
        <f>SUM(I1488:I1488)</f>
        <v>482562.5</v>
      </c>
      <c r="J1487" s="223">
        <f>SUM(J1488:J1488)</f>
        <v>175</v>
      </c>
      <c r="K1487" s="223">
        <f>SUM(K1488:K1488)</f>
        <v>175</v>
      </c>
    </row>
    <row r="1488" spans="1:11" ht="94.5" x14ac:dyDescent="0.25">
      <c r="A1488" s="308"/>
      <c r="B1488" s="308"/>
      <c r="C1488" s="317"/>
      <c r="D1488" s="319"/>
      <c r="E1488" s="308"/>
      <c r="F1488" s="308"/>
      <c r="G1488" s="148" t="s">
        <v>65</v>
      </c>
      <c r="H1488" s="87" t="s">
        <v>685</v>
      </c>
      <c r="I1488" s="223">
        <f>D1487*K1488</f>
        <v>482562.5</v>
      </c>
      <c r="J1488" s="223">
        <f>I1488/D1487</f>
        <v>175</v>
      </c>
      <c r="K1488" s="223">
        <f>142+33</f>
        <v>175</v>
      </c>
    </row>
    <row r="1489" spans="1:11" x14ac:dyDescent="0.25">
      <c r="A1489" s="307">
        <f>A1487+1</f>
        <v>19</v>
      </c>
      <c r="B1489" s="307">
        <v>5187</v>
      </c>
      <c r="C1489" s="315" t="s">
        <v>566</v>
      </c>
      <c r="D1489" s="318">
        <v>13834.8</v>
      </c>
      <c r="E1489" s="307" t="s">
        <v>64</v>
      </c>
      <c r="F1489" s="307">
        <v>10</v>
      </c>
      <c r="G1489" s="161"/>
      <c r="H1489" s="87" t="s">
        <v>66</v>
      </c>
      <c r="I1489" s="223">
        <f>SUM(I1490:I1491)</f>
        <v>64562</v>
      </c>
      <c r="J1489" s="223">
        <f>SUM(J1490:J1491)</f>
        <v>4.67</v>
      </c>
      <c r="K1489" s="223">
        <f>SUM(K1490:K1491)</f>
        <v>4.67</v>
      </c>
    </row>
    <row r="1490" spans="1:11" ht="63" x14ac:dyDescent="0.25">
      <c r="A1490" s="308"/>
      <c r="B1490" s="308"/>
      <c r="C1490" s="317"/>
      <c r="D1490" s="319"/>
      <c r="E1490" s="308"/>
      <c r="F1490" s="308"/>
      <c r="G1490" s="148" t="s">
        <v>172</v>
      </c>
      <c r="H1490" s="87" t="s">
        <v>178</v>
      </c>
      <c r="I1490" s="223">
        <f>22681+9600</f>
        <v>32281</v>
      </c>
      <c r="J1490" s="223">
        <f>I1490/D1489+0.01</f>
        <v>2.34</v>
      </c>
      <c r="K1490" s="223">
        <f>(22681+9600)/D1489+0.01</f>
        <v>2.34</v>
      </c>
    </row>
    <row r="1491" spans="1:11" ht="63" x14ac:dyDescent="0.25">
      <c r="A1491" s="308"/>
      <c r="B1491" s="308"/>
      <c r="C1491" s="317"/>
      <c r="D1491" s="319"/>
      <c r="E1491" s="308"/>
      <c r="F1491" s="308"/>
      <c r="G1491" s="148" t="s">
        <v>440</v>
      </c>
      <c r="H1491" s="87" t="s">
        <v>178</v>
      </c>
      <c r="I1491" s="223">
        <f>22681+9600</f>
        <v>32281</v>
      </c>
      <c r="J1491" s="223">
        <f>I1491/D1489</f>
        <v>2.33</v>
      </c>
      <c r="K1491" s="223">
        <f>(22681+9600)/D1489</f>
        <v>2.33</v>
      </c>
    </row>
    <row r="1492" spans="1:11" x14ac:dyDescent="0.25">
      <c r="A1492" s="307">
        <f>A1489+1</f>
        <v>20</v>
      </c>
      <c r="B1492" s="307">
        <v>5195</v>
      </c>
      <c r="C1492" s="315" t="s">
        <v>565</v>
      </c>
      <c r="D1492" s="318">
        <v>6541.2</v>
      </c>
      <c r="E1492" s="307" t="s">
        <v>64</v>
      </c>
      <c r="F1492" s="307">
        <v>10</v>
      </c>
      <c r="G1492" s="161"/>
      <c r="H1492" s="87" t="s">
        <v>66</v>
      </c>
      <c r="I1492" s="223">
        <f>SUM(I1493:I1498)</f>
        <v>6868854</v>
      </c>
      <c r="J1492" s="223">
        <f>SUM(J1493:J1498)</f>
        <v>1050.0899999999999</v>
      </c>
      <c r="K1492" s="223">
        <f>SUM(K1493:K1498)</f>
        <v>1050.0899999999999</v>
      </c>
    </row>
    <row r="1493" spans="1:11" x14ac:dyDescent="0.25">
      <c r="A1493" s="308"/>
      <c r="B1493" s="308"/>
      <c r="C1493" s="317"/>
      <c r="D1493" s="319"/>
      <c r="E1493" s="308"/>
      <c r="F1493" s="308"/>
      <c r="G1493" s="307" t="s">
        <v>170</v>
      </c>
      <c r="H1493" s="87" t="s">
        <v>171</v>
      </c>
      <c r="I1493" s="223">
        <v>2241647</v>
      </c>
      <c r="J1493" s="223">
        <f>I1493/D1492+0.01</f>
        <v>342.71</v>
      </c>
      <c r="K1493" s="223">
        <f>2241647/D1492+0.01</f>
        <v>342.71</v>
      </c>
    </row>
    <row r="1494" spans="1:11" x14ac:dyDescent="0.25">
      <c r="A1494" s="308"/>
      <c r="B1494" s="308"/>
      <c r="C1494" s="317"/>
      <c r="D1494" s="319"/>
      <c r="E1494" s="308"/>
      <c r="F1494" s="308"/>
      <c r="G1494" s="309"/>
      <c r="H1494" s="87" t="s">
        <v>69</v>
      </c>
      <c r="I1494" s="223">
        <v>47971</v>
      </c>
      <c r="J1494" s="223">
        <f>I1494/D1492</f>
        <v>7.33</v>
      </c>
      <c r="K1494" s="223">
        <f>47971/D1492</f>
        <v>7.33</v>
      </c>
    </row>
    <row r="1495" spans="1:11" x14ac:dyDescent="0.25">
      <c r="A1495" s="308"/>
      <c r="B1495" s="308"/>
      <c r="C1495" s="317"/>
      <c r="D1495" s="319"/>
      <c r="E1495" s="308"/>
      <c r="F1495" s="308"/>
      <c r="G1495" s="307" t="s">
        <v>173</v>
      </c>
      <c r="H1495" s="87" t="s">
        <v>171</v>
      </c>
      <c r="I1495" s="223">
        <v>2241647</v>
      </c>
      <c r="J1495" s="223">
        <f>I1495/D1492-0.01</f>
        <v>342.69</v>
      </c>
      <c r="K1495" s="223">
        <f>2241647/D1492-0.01</f>
        <v>342.69</v>
      </c>
    </row>
    <row r="1496" spans="1:11" x14ac:dyDescent="0.25">
      <c r="A1496" s="308"/>
      <c r="B1496" s="308"/>
      <c r="C1496" s="317"/>
      <c r="D1496" s="319"/>
      <c r="E1496" s="308"/>
      <c r="F1496" s="308"/>
      <c r="G1496" s="309"/>
      <c r="H1496" s="87" t="s">
        <v>69</v>
      </c>
      <c r="I1496" s="223">
        <v>47971</v>
      </c>
      <c r="J1496" s="223">
        <f>I1496/D1492</f>
        <v>7.33</v>
      </c>
      <c r="K1496" s="223">
        <f>47971/D1492</f>
        <v>7.33</v>
      </c>
    </row>
    <row r="1497" spans="1:11" x14ac:dyDescent="0.25">
      <c r="A1497" s="308"/>
      <c r="B1497" s="308"/>
      <c r="C1497" s="317"/>
      <c r="D1497" s="319"/>
      <c r="E1497" s="308"/>
      <c r="F1497" s="308"/>
      <c r="G1497" s="307" t="s">
        <v>174</v>
      </c>
      <c r="H1497" s="87" t="s">
        <v>171</v>
      </c>
      <c r="I1497" s="223">
        <v>2241647</v>
      </c>
      <c r="J1497" s="223">
        <f>I1497/D1492</f>
        <v>342.7</v>
      </c>
      <c r="K1497" s="223">
        <f>2241647/D1492</f>
        <v>342.7</v>
      </c>
    </row>
    <row r="1498" spans="1:11" x14ac:dyDescent="0.25">
      <c r="A1498" s="308"/>
      <c r="B1498" s="308"/>
      <c r="C1498" s="317"/>
      <c r="D1498" s="319"/>
      <c r="E1498" s="308"/>
      <c r="F1498" s="308"/>
      <c r="G1498" s="309"/>
      <c r="H1498" s="87" t="s">
        <v>69</v>
      </c>
      <c r="I1498" s="223">
        <v>47971</v>
      </c>
      <c r="J1498" s="223">
        <f>I1498/D1492</f>
        <v>7.33</v>
      </c>
      <c r="K1498" s="223">
        <f>47971/D1492</f>
        <v>7.33</v>
      </c>
    </row>
    <row r="1499" spans="1:11" x14ac:dyDescent="0.25">
      <c r="A1499" s="307">
        <f>A1492+1</f>
        <v>21</v>
      </c>
      <c r="B1499" s="307">
        <v>5291</v>
      </c>
      <c r="C1499" s="315" t="s">
        <v>567</v>
      </c>
      <c r="D1499" s="318">
        <v>16305.1</v>
      </c>
      <c r="E1499" s="307" t="s">
        <v>64</v>
      </c>
      <c r="F1499" s="307">
        <v>10</v>
      </c>
      <c r="G1499" s="161"/>
      <c r="H1499" s="87" t="s">
        <v>66</v>
      </c>
      <c r="I1499" s="223">
        <f>SUM(I1500:I1506)</f>
        <v>225967</v>
      </c>
      <c r="J1499" s="223">
        <f>SUM(J1500:J1506)</f>
        <v>13.86</v>
      </c>
      <c r="K1499" s="223">
        <f>SUM(K1500:K1506)</f>
        <v>13.86</v>
      </c>
    </row>
    <row r="1500" spans="1:11" ht="63" x14ac:dyDescent="0.25">
      <c r="A1500" s="308"/>
      <c r="B1500" s="308"/>
      <c r="C1500" s="317"/>
      <c r="D1500" s="319"/>
      <c r="E1500" s="308"/>
      <c r="F1500" s="308"/>
      <c r="G1500" s="148" t="s">
        <v>170</v>
      </c>
      <c r="H1500" s="87" t="s">
        <v>178</v>
      </c>
      <c r="I1500" s="223">
        <f t="shared" ref="I1500:I1506" si="62">22681+9600</f>
        <v>32281</v>
      </c>
      <c r="J1500" s="223">
        <f>I1500/D1499</f>
        <v>1.98</v>
      </c>
      <c r="K1500" s="223">
        <f>(22681+9600)/D1499</f>
        <v>1.98</v>
      </c>
    </row>
    <row r="1501" spans="1:11" ht="63" x14ac:dyDescent="0.25">
      <c r="A1501" s="308"/>
      <c r="B1501" s="308"/>
      <c r="C1501" s="317"/>
      <c r="D1501" s="319"/>
      <c r="E1501" s="308"/>
      <c r="F1501" s="308"/>
      <c r="G1501" s="148" t="s">
        <v>173</v>
      </c>
      <c r="H1501" s="87" t="s">
        <v>178</v>
      </c>
      <c r="I1501" s="223">
        <f t="shared" si="62"/>
        <v>32281</v>
      </c>
      <c r="J1501" s="223">
        <f>I1501/D1499</f>
        <v>1.98</v>
      </c>
      <c r="K1501" s="223">
        <f>(22681+9600)/D1499</f>
        <v>1.98</v>
      </c>
    </row>
    <row r="1502" spans="1:11" ht="63" x14ac:dyDescent="0.25">
      <c r="A1502" s="308"/>
      <c r="B1502" s="308"/>
      <c r="C1502" s="317"/>
      <c r="D1502" s="319"/>
      <c r="E1502" s="308"/>
      <c r="F1502" s="308"/>
      <c r="G1502" s="148" t="s">
        <v>174</v>
      </c>
      <c r="H1502" s="87" t="s">
        <v>178</v>
      </c>
      <c r="I1502" s="223">
        <f t="shared" si="62"/>
        <v>32281</v>
      </c>
      <c r="J1502" s="223">
        <f>I1502/D1499</f>
        <v>1.98</v>
      </c>
      <c r="K1502" s="223">
        <f>(22681+9600)/D1499</f>
        <v>1.98</v>
      </c>
    </row>
    <row r="1503" spans="1:11" ht="63" x14ac:dyDescent="0.25">
      <c r="A1503" s="308"/>
      <c r="B1503" s="308"/>
      <c r="C1503" s="317"/>
      <c r="D1503" s="319"/>
      <c r="E1503" s="308"/>
      <c r="F1503" s="308"/>
      <c r="G1503" s="148" t="s">
        <v>175</v>
      </c>
      <c r="H1503" s="87" t="s">
        <v>178</v>
      </c>
      <c r="I1503" s="223">
        <f t="shared" si="62"/>
        <v>32281</v>
      </c>
      <c r="J1503" s="223">
        <f>I1503/D1499</f>
        <v>1.98</v>
      </c>
      <c r="K1503" s="223">
        <f>(22681+9600)/D1499</f>
        <v>1.98</v>
      </c>
    </row>
    <row r="1504" spans="1:11" ht="63" x14ac:dyDescent="0.25">
      <c r="A1504" s="308"/>
      <c r="B1504" s="308"/>
      <c r="C1504" s="317"/>
      <c r="D1504" s="319"/>
      <c r="E1504" s="308"/>
      <c r="F1504" s="308"/>
      <c r="G1504" s="148" t="s">
        <v>172</v>
      </c>
      <c r="H1504" s="87" t="s">
        <v>178</v>
      </c>
      <c r="I1504" s="223">
        <f t="shared" si="62"/>
        <v>32281</v>
      </c>
      <c r="J1504" s="223">
        <f>I1504/D1499</f>
        <v>1.98</v>
      </c>
      <c r="K1504" s="223">
        <f>(22681+9600)/D1499</f>
        <v>1.98</v>
      </c>
    </row>
    <row r="1505" spans="1:11" ht="63" x14ac:dyDescent="0.25">
      <c r="A1505" s="308"/>
      <c r="B1505" s="308"/>
      <c r="C1505" s="317"/>
      <c r="D1505" s="319"/>
      <c r="E1505" s="308"/>
      <c r="F1505" s="308"/>
      <c r="G1505" s="148" t="s">
        <v>440</v>
      </c>
      <c r="H1505" s="87" t="s">
        <v>178</v>
      </c>
      <c r="I1505" s="223">
        <f t="shared" si="62"/>
        <v>32281</v>
      </c>
      <c r="J1505" s="223">
        <f>I1505/D1499</f>
        <v>1.98</v>
      </c>
      <c r="K1505" s="223">
        <f>(22681+9600)/D1499</f>
        <v>1.98</v>
      </c>
    </row>
    <row r="1506" spans="1:11" ht="63" x14ac:dyDescent="0.25">
      <c r="A1506" s="308"/>
      <c r="B1506" s="308"/>
      <c r="C1506" s="317"/>
      <c r="D1506" s="319"/>
      <c r="E1506" s="308"/>
      <c r="F1506" s="308"/>
      <c r="G1506" s="148" t="s">
        <v>449</v>
      </c>
      <c r="H1506" s="87" t="s">
        <v>178</v>
      </c>
      <c r="I1506" s="223">
        <f t="shared" si="62"/>
        <v>32281</v>
      </c>
      <c r="J1506" s="223">
        <f>I1506/D1499</f>
        <v>1.98</v>
      </c>
      <c r="K1506" s="223">
        <f>(22681+9600)/D1499</f>
        <v>1.98</v>
      </c>
    </row>
    <row r="1507" spans="1:11" x14ac:dyDescent="0.25">
      <c r="A1507" s="81" t="s">
        <v>42</v>
      </c>
      <c r="B1507" s="81"/>
      <c r="C1507" s="81"/>
      <c r="D1507" s="80">
        <f>D1508+D1513+D1520+D1527+D1534+D1541+D1543+D1546+D1549+D1552+D1554+D1556+D1558+D1560+D1563+D1565+D1567+D1570+D1572+D1574+D1576+D1578+D1581+D1588+D1590+D1597+D1599+D1601+D1606+D1613+D1615+D1618+D1621+D1624+D1626+D1628+D1630+D1635+D1637+D1639+D1643+D1647+D1650+D1655+D1664+D1671+D1673+D1682+D1687+D1690+D1692+D1694+D1696+D1699+D1701+D1710+D1713+D1716+D1719+D1726+D1729+D1731+D1733+D1736+D1745+D1748+D1751+D1753+D1758+D1762+D1764+D1767+D1771+D1780+D1793+D1796+D1801+D1803+D1805+D1813+D1818+D1821+D1826+D1829+D1832+D1835+D1837+D1842+D1845+D1854+D1856+D1859+D1864+D1868+D1871+D1876+D1879+D1882+D1884+D1886+D1888+D1891+D1893+D1896+D1898+D1900+D1902+D1904+D1906+D1908+D1911+D1914+D1917+D1920+D1922+D1924+D1926+D1929+D1934+D1938+D1943+D1945+D1948+D1953+D1956+D1959+D1962+D1969+D1972+D1979+D1986+D1988+D1993+D2000+D2003+D2005+D2010+D2012+D2015+D2018+D2021+D2036+D2047+D2049+D2072+D2077+D2082+D2085+D2089+D2091</f>
        <v>776168.65</v>
      </c>
      <c r="E1507" s="80"/>
      <c r="F1507" s="83"/>
      <c r="G1507" s="145"/>
      <c r="H1507" s="84"/>
      <c r="I1507" s="223">
        <f>I1508+I1513+I1520+I1527+I1534+I1541+I1543+I1546+I1549+I1552+I1554+I1556+I1558+I1560+I1563+I1565+I1567+I1570+I1572+I1574+I1576+I1578+I1581+I1588+I1590+I1597+I1599+I1601+I1606+I1613+I1615+I1618+I1621+I1624+I1626+I1628+I1630+I1635+I1637+I1639+I1643+I1647+I1650+I1655+I1664+I1671+I1673+I1682+I1687+I1690+I1692+I1694+I1696+I1699+I1701+I1710+I1713+I1716+I1719+I1726+I1729+I1731+I1733+I1736+I1745+I1748+I1751+I1753+I1758+I1762+I1764+I1767+I1771+I1780+I1793+I1796+I1801+I1803+I1805+I1813+I1818+I1821+I1826+I1829+I1832+I1835+I1837+I1842+I1845+I1854+I1856+I1859+I1864+I1868+I1871+I1876+I1879+I1882+I1884+I1886+I1888+I1891+I1893+I1896+I1898+I1900+I1902+I1904+I1906+I1908+I1911+I1914+I1917+I1920+I1922+I1924+I1926+I1929+I1934+I1938+I1943+I1945+I1948+I1953+I1956+I1959+I1962+I1969+I1972+I1979+I1986+I1988+I1993+I2000+I2003+I2005+I2010+I2012+I2015+I2018+I2021+I2036+I2047+I2049+I2072+I2077+I2082+I2085+I2089+I2091</f>
        <v>741596515.01999998</v>
      </c>
      <c r="J1507" s="223"/>
      <c r="K1507" s="223"/>
    </row>
    <row r="1508" spans="1:11" x14ac:dyDescent="0.25">
      <c r="A1508" s="307">
        <v>1</v>
      </c>
      <c r="B1508" s="307">
        <v>654</v>
      </c>
      <c r="C1508" s="315" t="s">
        <v>119</v>
      </c>
      <c r="D1508" s="318">
        <v>3916.7</v>
      </c>
      <c r="E1508" s="318" t="s">
        <v>64</v>
      </c>
      <c r="F1508" s="330">
        <v>5</v>
      </c>
      <c r="G1508" s="307" t="s">
        <v>75</v>
      </c>
      <c r="H1508" s="87" t="s">
        <v>66</v>
      </c>
      <c r="I1508" s="223">
        <f>I1509+I1510+I1511+I1512</f>
        <v>17141887.219999999</v>
      </c>
      <c r="J1508" s="223">
        <f>J1509+J1510+J1511+J1512</f>
        <v>4376.6099999999997</v>
      </c>
      <c r="K1508" s="223">
        <f>K1509+K1510+K1511+K1512</f>
        <v>7631</v>
      </c>
    </row>
    <row r="1509" spans="1:11" x14ac:dyDescent="0.25">
      <c r="A1509" s="308"/>
      <c r="B1509" s="308"/>
      <c r="C1509" s="317"/>
      <c r="D1509" s="308"/>
      <c r="E1509" s="319"/>
      <c r="F1509" s="331"/>
      <c r="G1509" s="308"/>
      <c r="H1509" s="87" t="s">
        <v>67</v>
      </c>
      <c r="I1509" s="223">
        <v>3031308.92</v>
      </c>
      <c r="J1509" s="223">
        <f>I1509/D1508</f>
        <v>773.94</v>
      </c>
      <c r="K1509" s="223">
        <v>1733</v>
      </c>
    </row>
    <row r="1510" spans="1:11" x14ac:dyDescent="0.25">
      <c r="A1510" s="308"/>
      <c r="B1510" s="308"/>
      <c r="C1510" s="317"/>
      <c r="D1510" s="308"/>
      <c r="E1510" s="319"/>
      <c r="F1510" s="331"/>
      <c r="G1510" s="308"/>
      <c r="H1510" s="87" t="s">
        <v>69</v>
      </c>
      <c r="I1510" s="223">
        <f>I1509*0.0214</f>
        <v>64870.01</v>
      </c>
      <c r="J1510" s="223">
        <f>I1510/D1508</f>
        <v>16.559999999999999</v>
      </c>
      <c r="K1510" s="223">
        <v>37</v>
      </c>
    </row>
    <row r="1511" spans="1:11" x14ac:dyDescent="0.25">
      <c r="A1511" s="308"/>
      <c r="B1511" s="308"/>
      <c r="C1511" s="317"/>
      <c r="D1511" s="308"/>
      <c r="E1511" s="319"/>
      <c r="F1511" s="331"/>
      <c r="G1511" s="308"/>
      <c r="H1511" s="87" t="s">
        <v>179</v>
      </c>
      <c r="I1511" s="223">
        <v>13751427.74</v>
      </c>
      <c r="J1511" s="223">
        <f>I1511/D1508+0.01</f>
        <v>3510.98</v>
      </c>
      <c r="K1511" s="223">
        <v>5738</v>
      </c>
    </row>
    <row r="1512" spans="1:11" x14ac:dyDescent="0.25">
      <c r="A1512" s="309"/>
      <c r="B1512" s="309"/>
      <c r="C1512" s="316"/>
      <c r="D1512" s="309"/>
      <c r="E1512" s="329"/>
      <c r="F1512" s="332"/>
      <c r="G1512" s="309"/>
      <c r="H1512" s="87" t="s">
        <v>69</v>
      </c>
      <c r="I1512" s="223">
        <f>I1511*0.0214</f>
        <v>294280.55</v>
      </c>
      <c r="J1512" s="223">
        <f>I1512/D1508</f>
        <v>75.13</v>
      </c>
      <c r="K1512" s="223">
        <v>123</v>
      </c>
    </row>
    <row r="1513" spans="1:11" x14ac:dyDescent="0.25">
      <c r="A1513" s="307">
        <f>A1508+1</f>
        <v>2</v>
      </c>
      <c r="B1513" s="307">
        <v>736</v>
      </c>
      <c r="C1513" s="315" t="s">
        <v>256</v>
      </c>
      <c r="D1513" s="318">
        <v>930.1</v>
      </c>
      <c r="E1513" s="318" t="s">
        <v>68</v>
      </c>
      <c r="F1513" s="330">
        <v>5</v>
      </c>
      <c r="G1513" s="121"/>
      <c r="H1513" s="87" t="s">
        <v>66</v>
      </c>
      <c r="I1513" s="223">
        <f>I1514+I1515+I1516+I1517+I1518+I1519</f>
        <v>8026009.3700000001</v>
      </c>
      <c r="J1513" s="223">
        <f>J1514+J1515+J1516+J1517+J1518+J1519</f>
        <v>8629.19</v>
      </c>
      <c r="K1513" s="223">
        <f>K1514+K1515+K1516+K1517+K1518+K1519</f>
        <v>9393</v>
      </c>
    </row>
    <row r="1514" spans="1:11" x14ac:dyDescent="0.25">
      <c r="A1514" s="308"/>
      <c r="B1514" s="308"/>
      <c r="C1514" s="317"/>
      <c r="D1514" s="319"/>
      <c r="E1514" s="319"/>
      <c r="F1514" s="331"/>
      <c r="G1514" s="307" t="s">
        <v>65</v>
      </c>
      <c r="H1514" s="87" t="s">
        <v>67</v>
      </c>
      <c r="I1514" s="223">
        <v>3173144.33</v>
      </c>
      <c r="J1514" s="223">
        <f>I1514/D1513</f>
        <v>3411.62</v>
      </c>
      <c r="K1514" s="223">
        <v>3797</v>
      </c>
    </row>
    <row r="1515" spans="1:11" x14ac:dyDescent="0.25">
      <c r="A1515" s="308"/>
      <c r="B1515" s="308"/>
      <c r="C1515" s="317"/>
      <c r="D1515" s="319"/>
      <c r="E1515" s="319"/>
      <c r="F1515" s="331"/>
      <c r="G1515" s="309"/>
      <c r="H1515" s="87" t="s">
        <v>69</v>
      </c>
      <c r="I1515" s="223">
        <f>I1514*0.0214</f>
        <v>67905.289999999994</v>
      </c>
      <c r="J1515" s="223">
        <f>I1515/D1513</f>
        <v>73.010000000000005</v>
      </c>
      <c r="K1515" s="223">
        <v>81</v>
      </c>
    </row>
    <row r="1516" spans="1:11" x14ac:dyDescent="0.25">
      <c r="A1516" s="308"/>
      <c r="B1516" s="308"/>
      <c r="C1516" s="317"/>
      <c r="D1516" s="319"/>
      <c r="E1516" s="319"/>
      <c r="F1516" s="331"/>
      <c r="G1516" s="307" t="s">
        <v>75</v>
      </c>
      <c r="H1516" s="87" t="s">
        <v>67</v>
      </c>
      <c r="I1516" s="223">
        <v>732112.21</v>
      </c>
      <c r="J1516" s="223">
        <f>I1516/D1513</f>
        <v>787.13</v>
      </c>
      <c r="K1516" s="223">
        <v>1129</v>
      </c>
    </row>
    <row r="1517" spans="1:11" x14ac:dyDescent="0.25">
      <c r="A1517" s="308"/>
      <c r="B1517" s="308"/>
      <c r="C1517" s="317"/>
      <c r="D1517" s="319"/>
      <c r="E1517" s="319"/>
      <c r="F1517" s="331"/>
      <c r="G1517" s="308"/>
      <c r="H1517" s="87" t="s">
        <v>69</v>
      </c>
      <c r="I1517" s="223">
        <f>I1516*0.0214</f>
        <v>15667.2</v>
      </c>
      <c r="J1517" s="223">
        <f>I1517/D1513</f>
        <v>16.84</v>
      </c>
      <c r="K1517" s="223">
        <v>24</v>
      </c>
    </row>
    <row r="1518" spans="1:11" x14ac:dyDescent="0.25">
      <c r="A1518" s="308"/>
      <c r="B1518" s="308"/>
      <c r="C1518" s="317"/>
      <c r="D1518" s="319"/>
      <c r="E1518" s="319"/>
      <c r="F1518" s="331"/>
      <c r="G1518" s="308"/>
      <c r="H1518" s="87" t="s">
        <v>179</v>
      </c>
      <c r="I1518" s="223">
        <v>3952594.81</v>
      </c>
      <c r="J1518" s="223">
        <f>I1518/D1513+0.01</f>
        <v>4249.6499999999996</v>
      </c>
      <c r="K1518" s="223">
        <v>4271</v>
      </c>
    </row>
    <row r="1519" spans="1:11" x14ac:dyDescent="0.25">
      <c r="A1519" s="309"/>
      <c r="B1519" s="309"/>
      <c r="C1519" s="316"/>
      <c r="D1519" s="329"/>
      <c r="E1519" s="329"/>
      <c r="F1519" s="332"/>
      <c r="G1519" s="309"/>
      <c r="H1519" s="87" t="s">
        <v>69</v>
      </c>
      <c r="I1519" s="223">
        <f>I1518*0.0214</f>
        <v>84585.53</v>
      </c>
      <c r="J1519" s="223">
        <f>I1519/D1513</f>
        <v>90.94</v>
      </c>
      <c r="K1519" s="223">
        <v>91</v>
      </c>
    </row>
    <row r="1520" spans="1:11" x14ac:dyDescent="0.25">
      <c r="A1520" s="307">
        <f>A1513+1</f>
        <v>3</v>
      </c>
      <c r="B1520" s="307">
        <v>822</v>
      </c>
      <c r="C1520" s="315" t="s">
        <v>186</v>
      </c>
      <c r="D1520" s="318">
        <v>898.3</v>
      </c>
      <c r="E1520" s="318" t="s">
        <v>68</v>
      </c>
      <c r="F1520" s="330">
        <v>5</v>
      </c>
      <c r="G1520" s="121"/>
      <c r="H1520" s="87" t="s">
        <v>66</v>
      </c>
      <c r="I1520" s="223">
        <f>I1521+I1522+I1523+I1524+I1525+I1526</f>
        <v>7972472.3499999996</v>
      </c>
      <c r="J1520" s="223">
        <f>J1521+J1522+J1523+J1524+J1525+J1526</f>
        <v>8875.07</v>
      </c>
      <c r="K1520" s="223">
        <f>K1521+K1522+K1523+K1524+K1525+K1526</f>
        <v>9393</v>
      </c>
    </row>
    <row r="1521" spans="1:11" x14ac:dyDescent="0.25">
      <c r="A1521" s="308"/>
      <c r="B1521" s="308"/>
      <c r="C1521" s="317"/>
      <c r="D1521" s="308"/>
      <c r="E1521" s="319"/>
      <c r="F1521" s="331"/>
      <c r="G1521" s="307" t="s">
        <v>65</v>
      </c>
      <c r="H1521" s="87" t="s">
        <v>67</v>
      </c>
      <c r="I1521" s="223">
        <v>3367020.77</v>
      </c>
      <c r="J1521" s="223">
        <f>I1521/D1520+0.01</f>
        <v>3748.22</v>
      </c>
      <c r="K1521" s="223">
        <v>3797</v>
      </c>
    </row>
    <row r="1522" spans="1:11" x14ac:dyDescent="0.25">
      <c r="A1522" s="308"/>
      <c r="B1522" s="308"/>
      <c r="C1522" s="317"/>
      <c r="D1522" s="308"/>
      <c r="E1522" s="319"/>
      <c r="F1522" s="331"/>
      <c r="G1522" s="309"/>
      <c r="H1522" s="87" t="s">
        <v>69</v>
      </c>
      <c r="I1522" s="223">
        <f>I1521*0.0214</f>
        <v>72054.240000000005</v>
      </c>
      <c r="J1522" s="223">
        <f>I1522/D1520</f>
        <v>80.209999999999994</v>
      </c>
      <c r="K1522" s="223">
        <v>81</v>
      </c>
    </row>
    <row r="1523" spans="1:11" x14ac:dyDescent="0.25">
      <c r="A1523" s="308"/>
      <c r="B1523" s="308"/>
      <c r="C1523" s="317"/>
      <c r="D1523" s="308"/>
      <c r="E1523" s="319"/>
      <c r="F1523" s="331"/>
      <c r="G1523" s="307" t="s">
        <v>75</v>
      </c>
      <c r="H1523" s="87" t="s">
        <v>67</v>
      </c>
      <c r="I1523" s="223">
        <v>620951.94999999995</v>
      </c>
      <c r="J1523" s="223">
        <f>I1523/D1520</f>
        <v>691.25</v>
      </c>
      <c r="K1523" s="223">
        <v>1129</v>
      </c>
    </row>
    <row r="1524" spans="1:11" x14ac:dyDescent="0.25">
      <c r="A1524" s="308"/>
      <c r="B1524" s="308"/>
      <c r="C1524" s="317"/>
      <c r="D1524" s="308"/>
      <c r="E1524" s="319"/>
      <c r="F1524" s="331"/>
      <c r="G1524" s="308"/>
      <c r="H1524" s="87" t="s">
        <v>69</v>
      </c>
      <c r="I1524" s="223">
        <f>I1523*0.0214</f>
        <v>13288.37</v>
      </c>
      <c r="J1524" s="223">
        <f>I1524/D1520</f>
        <v>14.79</v>
      </c>
      <c r="K1524" s="223">
        <v>24</v>
      </c>
    </row>
    <row r="1525" spans="1:11" x14ac:dyDescent="0.25">
      <c r="A1525" s="308"/>
      <c r="B1525" s="308"/>
      <c r="C1525" s="317"/>
      <c r="D1525" s="308"/>
      <c r="E1525" s="319"/>
      <c r="F1525" s="331"/>
      <c r="G1525" s="308"/>
      <c r="H1525" s="87" t="s">
        <v>179</v>
      </c>
      <c r="I1525" s="223">
        <v>3817463.31</v>
      </c>
      <c r="J1525" s="223">
        <f>I1525/D1520+0.01</f>
        <v>4249.66</v>
      </c>
      <c r="K1525" s="223">
        <v>4271</v>
      </c>
    </row>
    <row r="1526" spans="1:11" x14ac:dyDescent="0.25">
      <c r="A1526" s="309"/>
      <c r="B1526" s="309"/>
      <c r="C1526" s="316"/>
      <c r="D1526" s="309"/>
      <c r="E1526" s="329"/>
      <c r="F1526" s="332"/>
      <c r="G1526" s="309"/>
      <c r="H1526" s="87" t="s">
        <v>69</v>
      </c>
      <c r="I1526" s="223">
        <f>I1525*0.0214</f>
        <v>81693.710000000006</v>
      </c>
      <c r="J1526" s="223">
        <f>I1526/D1520</f>
        <v>90.94</v>
      </c>
      <c r="K1526" s="223">
        <v>91</v>
      </c>
    </row>
    <row r="1527" spans="1:11" x14ac:dyDescent="0.25">
      <c r="A1527" s="307">
        <f>A1520+1</f>
        <v>4</v>
      </c>
      <c r="B1527" s="307">
        <v>875</v>
      </c>
      <c r="C1527" s="315" t="s">
        <v>188</v>
      </c>
      <c r="D1527" s="318">
        <v>2739.2</v>
      </c>
      <c r="E1527" s="318" t="s">
        <v>64</v>
      </c>
      <c r="F1527" s="330">
        <v>5</v>
      </c>
      <c r="G1527" s="121"/>
      <c r="H1527" s="87" t="s">
        <v>66</v>
      </c>
      <c r="I1527" s="223">
        <f>I1528+I1529+I1530+I1531+I1532+I1533</f>
        <v>14820185.529999999</v>
      </c>
      <c r="J1527" s="223">
        <f>J1528+J1529+J1530+J1531+J1532+J1533</f>
        <v>5410.41</v>
      </c>
      <c r="K1527" s="223">
        <f>K1528+K1529+K1530+K1531+K1532+K1533</f>
        <v>11509</v>
      </c>
    </row>
    <row r="1528" spans="1:11" x14ac:dyDescent="0.25">
      <c r="A1528" s="308"/>
      <c r="B1528" s="308"/>
      <c r="C1528" s="317"/>
      <c r="D1528" s="308"/>
      <c r="E1528" s="319"/>
      <c r="F1528" s="331"/>
      <c r="G1528" s="307" t="s">
        <v>65</v>
      </c>
      <c r="H1528" s="87" t="s">
        <v>67</v>
      </c>
      <c r="I1528" s="223">
        <v>4608704.62</v>
      </c>
      <c r="J1528" s="223">
        <f>I1528/D1527</f>
        <v>1682.5</v>
      </c>
      <c r="K1528" s="223">
        <v>3797</v>
      </c>
    </row>
    <row r="1529" spans="1:11" x14ac:dyDescent="0.25">
      <c r="A1529" s="308"/>
      <c r="B1529" s="308"/>
      <c r="C1529" s="317"/>
      <c r="D1529" s="308"/>
      <c r="E1529" s="319"/>
      <c r="F1529" s="331"/>
      <c r="G1529" s="309"/>
      <c r="H1529" s="87" t="s">
        <v>69</v>
      </c>
      <c r="I1529" s="223">
        <f>I1528*0.0214</f>
        <v>98626.28</v>
      </c>
      <c r="J1529" s="223">
        <f>I1529/D1527</f>
        <v>36.01</v>
      </c>
      <c r="K1529" s="223">
        <v>81</v>
      </c>
    </row>
    <row r="1530" spans="1:11" x14ac:dyDescent="0.25">
      <c r="A1530" s="308"/>
      <c r="B1530" s="308"/>
      <c r="C1530" s="317"/>
      <c r="D1530" s="308"/>
      <c r="E1530" s="319"/>
      <c r="F1530" s="331"/>
      <c r="G1530" s="307" t="s">
        <v>75</v>
      </c>
      <c r="H1530" s="87" t="s">
        <v>67</v>
      </c>
      <c r="I1530" s="223">
        <v>2477572.58</v>
      </c>
      <c r="J1530" s="223">
        <f>I1530/D1527</f>
        <v>904.49</v>
      </c>
      <c r="K1530" s="223">
        <v>1733</v>
      </c>
    </row>
    <row r="1531" spans="1:11" x14ac:dyDescent="0.25">
      <c r="A1531" s="308"/>
      <c r="B1531" s="308"/>
      <c r="C1531" s="317"/>
      <c r="D1531" s="308"/>
      <c r="E1531" s="319"/>
      <c r="F1531" s="331"/>
      <c r="G1531" s="308"/>
      <c r="H1531" s="87" t="s">
        <v>69</v>
      </c>
      <c r="I1531" s="223">
        <f>I1530*0.0214</f>
        <v>53020.05</v>
      </c>
      <c r="J1531" s="223">
        <f>I1531/D1527</f>
        <v>19.36</v>
      </c>
      <c r="K1531" s="223">
        <v>37</v>
      </c>
    </row>
    <row r="1532" spans="1:11" x14ac:dyDescent="0.25">
      <c r="A1532" s="308"/>
      <c r="B1532" s="308"/>
      <c r="C1532" s="317"/>
      <c r="D1532" s="308"/>
      <c r="E1532" s="319"/>
      <c r="F1532" s="331"/>
      <c r="G1532" s="308"/>
      <c r="H1532" s="87" t="s">
        <v>179</v>
      </c>
      <c r="I1532" s="223">
        <v>7423401.21</v>
      </c>
      <c r="J1532" s="223">
        <f>I1532/D1527-0.01</f>
        <v>2710.05</v>
      </c>
      <c r="K1532" s="223">
        <v>5738</v>
      </c>
    </row>
    <row r="1533" spans="1:11" x14ac:dyDescent="0.25">
      <c r="A1533" s="309"/>
      <c r="B1533" s="309"/>
      <c r="C1533" s="316"/>
      <c r="D1533" s="309"/>
      <c r="E1533" s="329"/>
      <c r="F1533" s="332"/>
      <c r="G1533" s="309"/>
      <c r="H1533" s="87" t="s">
        <v>69</v>
      </c>
      <c r="I1533" s="223">
        <f>I1532*0.0214</f>
        <v>158860.79</v>
      </c>
      <c r="J1533" s="223">
        <f>I1533/D1527</f>
        <v>58</v>
      </c>
      <c r="K1533" s="223">
        <v>123</v>
      </c>
    </row>
    <row r="1534" spans="1:11" x14ac:dyDescent="0.25">
      <c r="A1534" s="307">
        <f>A1527+1</f>
        <v>5</v>
      </c>
      <c r="B1534" s="307">
        <v>876</v>
      </c>
      <c r="C1534" s="315" t="s">
        <v>189</v>
      </c>
      <c r="D1534" s="318">
        <v>2745.8</v>
      </c>
      <c r="E1534" s="318" t="s">
        <v>64</v>
      </c>
      <c r="F1534" s="330">
        <v>5</v>
      </c>
      <c r="G1534" s="121"/>
      <c r="H1534" s="87" t="s">
        <v>66</v>
      </c>
      <c r="I1534" s="223">
        <f>I1535+I1536+I1537+I1538+I1539+I1540</f>
        <v>18472773.670000002</v>
      </c>
      <c r="J1534" s="223">
        <f>J1535+J1536+J1537+J1538+J1539+J1540</f>
        <v>6727.65</v>
      </c>
      <c r="K1534" s="223">
        <f>K1535+K1536+K1537+K1538+K1539+K1540</f>
        <v>11509</v>
      </c>
    </row>
    <row r="1535" spans="1:11" x14ac:dyDescent="0.25">
      <c r="A1535" s="308"/>
      <c r="B1535" s="308"/>
      <c r="C1535" s="317"/>
      <c r="D1535" s="308"/>
      <c r="E1535" s="319"/>
      <c r="F1535" s="331"/>
      <c r="G1535" s="307" t="s">
        <v>65</v>
      </c>
      <c r="H1535" s="87" t="s">
        <v>67</v>
      </c>
      <c r="I1535" s="223">
        <v>5239850.9000000004</v>
      </c>
      <c r="J1535" s="223">
        <f>I1535/D1534</f>
        <v>1908.31</v>
      </c>
      <c r="K1535" s="223">
        <v>3797</v>
      </c>
    </row>
    <row r="1536" spans="1:11" x14ac:dyDescent="0.25">
      <c r="A1536" s="308"/>
      <c r="B1536" s="308"/>
      <c r="C1536" s="317"/>
      <c r="D1536" s="308"/>
      <c r="E1536" s="319"/>
      <c r="F1536" s="331"/>
      <c r="G1536" s="309"/>
      <c r="H1536" s="87" t="s">
        <v>69</v>
      </c>
      <c r="I1536" s="223">
        <f>I1535*0.0214</f>
        <v>112132.81</v>
      </c>
      <c r="J1536" s="223">
        <f>I1536/D1534</f>
        <v>40.840000000000003</v>
      </c>
      <c r="K1536" s="223">
        <v>81</v>
      </c>
    </row>
    <row r="1537" spans="1:11" x14ac:dyDescent="0.25">
      <c r="A1537" s="308"/>
      <c r="B1537" s="308"/>
      <c r="C1537" s="317"/>
      <c r="D1537" s="308"/>
      <c r="E1537" s="319"/>
      <c r="F1537" s="331"/>
      <c r="G1537" s="307" t="s">
        <v>75</v>
      </c>
      <c r="H1537" s="87" t="s">
        <v>67</v>
      </c>
      <c r="I1537" s="223">
        <v>3108746.22</v>
      </c>
      <c r="J1537" s="223">
        <f>I1537/D1534</f>
        <v>1132.18</v>
      </c>
      <c r="K1537" s="223">
        <v>1733</v>
      </c>
    </row>
    <row r="1538" spans="1:11" x14ac:dyDescent="0.25">
      <c r="A1538" s="308"/>
      <c r="B1538" s="308"/>
      <c r="C1538" s="317"/>
      <c r="D1538" s="308"/>
      <c r="E1538" s="319"/>
      <c r="F1538" s="331"/>
      <c r="G1538" s="308"/>
      <c r="H1538" s="87" t="s">
        <v>69</v>
      </c>
      <c r="I1538" s="223">
        <f>I1537*0.0214</f>
        <v>66527.17</v>
      </c>
      <c r="J1538" s="223">
        <f>I1538/D1534</f>
        <v>24.23</v>
      </c>
      <c r="K1538" s="223">
        <v>37</v>
      </c>
    </row>
    <row r="1539" spans="1:11" x14ac:dyDescent="0.25">
      <c r="A1539" s="308"/>
      <c r="B1539" s="308"/>
      <c r="C1539" s="317"/>
      <c r="D1539" s="308"/>
      <c r="E1539" s="319"/>
      <c r="F1539" s="331"/>
      <c r="G1539" s="308"/>
      <c r="H1539" s="87" t="s">
        <v>179</v>
      </c>
      <c r="I1539" s="223">
        <v>9737141.7400000002</v>
      </c>
      <c r="J1539" s="223">
        <f>I1539/D1534+0.01</f>
        <v>3546.2</v>
      </c>
      <c r="K1539" s="223">
        <v>5738</v>
      </c>
    </row>
    <row r="1540" spans="1:11" x14ac:dyDescent="0.25">
      <c r="A1540" s="309"/>
      <c r="B1540" s="309"/>
      <c r="C1540" s="316"/>
      <c r="D1540" s="309"/>
      <c r="E1540" s="329"/>
      <c r="F1540" s="332"/>
      <c r="G1540" s="309"/>
      <c r="H1540" s="87" t="s">
        <v>69</v>
      </c>
      <c r="I1540" s="223">
        <f>I1539*0.0214</f>
        <v>208374.83</v>
      </c>
      <c r="J1540" s="223">
        <f>I1540/D1534</f>
        <v>75.89</v>
      </c>
      <c r="K1540" s="223">
        <v>123</v>
      </c>
    </row>
    <row r="1541" spans="1:11" ht="15.75" customHeight="1" x14ac:dyDescent="0.25">
      <c r="A1541" s="310">
        <f>A1534+1</f>
        <v>6</v>
      </c>
      <c r="B1541" s="310">
        <v>504</v>
      </c>
      <c r="C1541" s="311" t="s">
        <v>738</v>
      </c>
      <c r="D1541" s="312">
        <v>3172.4</v>
      </c>
      <c r="E1541" s="312" t="s">
        <v>68</v>
      </c>
      <c r="F1541" s="313">
        <v>5</v>
      </c>
      <c r="G1541" s="145"/>
      <c r="H1541" s="87" t="s">
        <v>66</v>
      </c>
      <c r="I1541" s="223">
        <f>I1542</f>
        <v>536135.6</v>
      </c>
      <c r="J1541" s="223">
        <f>J1542</f>
        <v>169</v>
      </c>
      <c r="K1541" s="223">
        <f>K1542</f>
        <v>169</v>
      </c>
    </row>
    <row r="1542" spans="1:11" ht="63" x14ac:dyDescent="0.25">
      <c r="A1542" s="310"/>
      <c r="B1542" s="310"/>
      <c r="C1542" s="311"/>
      <c r="D1542" s="312"/>
      <c r="E1542" s="312"/>
      <c r="F1542" s="313"/>
      <c r="G1542" s="148" t="s">
        <v>65</v>
      </c>
      <c r="H1542" s="87" t="s">
        <v>178</v>
      </c>
      <c r="I1542" s="223">
        <f>K1542*D1541</f>
        <v>536135.6</v>
      </c>
      <c r="J1542" s="223">
        <f>I1542/D1541</f>
        <v>169</v>
      </c>
      <c r="K1542" s="223">
        <f>151+18</f>
        <v>169</v>
      </c>
    </row>
    <row r="1543" spans="1:11" ht="15.75" customHeight="1" x14ac:dyDescent="0.25">
      <c r="A1543" s="310">
        <f>A1541+1</f>
        <v>7</v>
      </c>
      <c r="B1543" s="310">
        <v>122</v>
      </c>
      <c r="C1543" s="333" t="s">
        <v>573</v>
      </c>
      <c r="D1543" s="312">
        <v>821.3</v>
      </c>
      <c r="E1543" s="312" t="s">
        <v>73</v>
      </c>
      <c r="F1543" s="313">
        <v>3</v>
      </c>
      <c r="G1543" s="310" t="s">
        <v>74</v>
      </c>
      <c r="H1543" s="87" t="s">
        <v>66</v>
      </c>
      <c r="I1543" s="223">
        <f>I1544+I1545</f>
        <v>247260.93</v>
      </c>
      <c r="J1543" s="223">
        <f>J1544+J1545</f>
        <v>301.06</v>
      </c>
      <c r="K1543" s="223">
        <f>K1544+K1545</f>
        <v>362</v>
      </c>
    </row>
    <row r="1544" spans="1:11" ht="15.75" customHeight="1" x14ac:dyDescent="0.25">
      <c r="A1544" s="310"/>
      <c r="B1544" s="310"/>
      <c r="C1544" s="333"/>
      <c r="D1544" s="312"/>
      <c r="E1544" s="312"/>
      <c r="F1544" s="313"/>
      <c r="G1544" s="310"/>
      <c r="H1544" s="87" t="s">
        <v>67</v>
      </c>
      <c r="I1544" s="223">
        <v>242080.41</v>
      </c>
      <c r="J1544" s="223">
        <f>I1544/D1543</f>
        <v>294.75</v>
      </c>
      <c r="K1544" s="223">
        <v>354</v>
      </c>
    </row>
    <row r="1545" spans="1:11" ht="15.75" customHeight="1" x14ac:dyDescent="0.25">
      <c r="A1545" s="310"/>
      <c r="B1545" s="310"/>
      <c r="C1545" s="333"/>
      <c r="D1545" s="312"/>
      <c r="E1545" s="312"/>
      <c r="F1545" s="313"/>
      <c r="G1545" s="310"/>
      <c r="H1545" s="87" t="s">
        <v>69</v>
      </c>
      <c r="I1545" s="223">
        <f>I1544*0.0214</f>
        <v>5180.5200000000004</v>
      </c>
      <c r="J1545" s="223">
        <f>I1545/D1543</f>
        <v>6.31</v>
      </c>
      <c r="K1545" s="223">
        <v>8</v>
      </c>
    </row>
    <row r="1546" spans="1:11" ht="15.75" customHeight="1" x14ac:dyDescent="0.25">
      <c r="A1546" s="310">
        <f>A1543+1</f>
        <v>8</v>
      </c>
      <c r="B1546" s="310">
        <v>123</v>
      </c>
      <c r="C1546" s="333" t="s">
        <v>574</v>
      </c>
      <c r="D1546" s="312">
        <v>824.1</v>
      </c>
      <c r="E1546" s="312" t="s">
        <v>73</v>
      </c>
      <c r="F1546" s="313">
        <v>3</v>
      </c>
      <c r="G1546" s="310" t="s">
        <v>74</v>
      </c>
      <c r="H1546" s="87" t="s">
        <v>66</v>
      </c>
      <c r="I1546" s="223">
        <f>I1547+I1548</f>
        <v>240809.67</v>
      </c>
      <c r="J1546" s="223">
        <f>J1547+J1548</f>
        <v>292.20999999999998</v>
      </c>
      <c r="K1546" s="223">
        <f>K1547+K1548</f>
        <v>362</v>
      </c>
    </row>
    <row r="1547" spans="1:11" ht="15.75" customHeight="1" x14ac:dyDescent="0.25">
      <c r="A1547" s="310"/>
      <c r="B1547" s="310"/>
      <c r="C1547" s="333"/>
      <c r="D1547" s="312"/>
      <c r="E1547" s="312"/>
      <c r="F1547" s="313"/>
      <c r="G1547" s="310"/>
      <c r="H1547" s="87" t="s">
        <v>67</v>
      </c>
      <c r="I1547" s="223">
        <v>235764.31</v>
      </c>
      <c r="J1547" s="223">
        <f>I1547/D1546</f>
        <v>286.08999999999997</v>
      </c>
      <c r="K1547" s="223">
        <v>354</v>
      </c>
    </row>
    <row r="1548" spans="1:11" ht="15.75" customHeight="1" x14ac:dyDescent="0.25">
      <c r="A1548" s="310"/>
      <c r="B1548" s="310"/>
      <c r="C1548" s="333"/>
      <c r="D1548" s="312"/>
      <c r="E1548" s="312"/>
      <c r="F1548" s="313"/>
      <c r="G1548" s="310"/>
      <c r="H1548" s="87" t="s">
        <v>69</v>
      </c>
      <c r="I1548" s="223">
        <f>I1547*0.0214</f>
        <v>5045.3599999999997</v>
      </c>
      <c r="J1548" s="223">
        <f>I1548/D1546</f>
        <v>6.12</v>
      </c>
      <c r="K1548" s="223">
        <v>8</v>
      </c>
    </row>
    <row r="1549" spans="1:11" ht="15.75" customHeight="1" x14ac:dyDescent="0.25">
      <c r="A1549" s="310">
        <f>A1546+1</f>
        <v>9</v>
      </c>
      <c r="B1549" s="310">
        <v>131</v>
      </c>
      <c r="C1549" s="333" t="s">
        <v>575</v>
      </c>
      <c r="D1549" s="312">
        <v>829.3</v>
      </c>
      <c r="E1549" s="312" t="s">
        <v>73</v>
      </c>
      <c r="F1549" s="313">
        <v>3</v>
      </c>
      <c r="G1549" s="310" t="s">
        <v>74</v>
      </c>
      <c r="H1549" s="87" t="s">
        <v>66</v>
      </c>
      <c r="I1549" s="223">
        <f>I1550+I1551</f>
        <v>247260.93</v>
      </c>
      <c r="J1549" s="223">
        <f>J1550+J1551</f>
        <v>298.16000000000003</v>
      </c>
      <c r="K1549" s="223">
        <f>K1550+K1551</f>
        <v>362</v>
      </c>
    </row>
    <row r="1550" spans="1:11" ht="15.75" customHeight="1" x14ac:dyDescent="0.25">
      <c r="A1550" s="310"/>
      <c r="B1550" s="310"/>
      <c r="C1550" s="333"/>
      <c r="D1550" s="312"/>
      <c r="E1550" s="312"/>
      <c r="F1550" s="313"/>
      <c r="G1550" s="310"/>
      <c r="H1550" s="87" t="s">
        <v>67</v>
      </c>
      <c r="I1550" s="223">
        <v>242080.41</v>
      </c>
      <c r="J1550" s="223">
        <f>I1550/D1549</f>
        <v>291.91000000000003</v>
      </c>
      <c r="K1550" s="223">
        <v>354</v>
      </c>
    </row>
    <row r="1551" spans="1:11" ht="15.75" customHeight="1" x14ac:dyDescent="0.25">
      <c r="A1551" s="310"/>
      <c r="B1551" s="310"/>
      <c r="C1551" s="333"/>
      <c r="D1551" s="312"/>
      <c r="E1551" s="312"/>
      <c r="F1551" s="313"/>
      <c r="G1551" s="310"/>
      <c r="H1551" s="87" t="s">
        <v>69</v>
      </c>
      <c r="I1551" s="223">
        <f>I1550*0.0214</f>
        <v>5180.5200000000004</v>
      </c>
      <c r="J1551" s="223">
        <f>I1551/D1549</f>
        <v>6.25</v>
      </c>
      <c r="K1551" s="223">
        <v>8</v>
      </c>
    </row>
    <row r="1552" spans="1:11" ht="15.75" customHeight="1" x14ac:dyDescent="0.25">
      <c r="A1552" s="310">
        <f>A1549+1</f>
        <v>10</v>
      </c>
      <c r="B1552" s="310">
        <v>190</v>
      </c>
      <c r="C1552" s="333" t="s">
        <v>615</v>
      </c>
      <c r="D1552" s="312">
        <v>1091.8</v>
      </c>
      <c r="E1552" s="312" t="s">
        <v>73</v>
      </c>
      <c r="F1552" s="313">
        <v>3</v>
      </c>
      <c r="G1552" s="310" t="s">
        <v>74</v>
      </c>
      <c r="H1552" s="87" t="s">
        <v>66</v>
      </c>
      <c r="I1552" s="223">
        <f>I1553</f>
        <v>51314.6</v>
      </c>
      <c r="J1552" s="223">
        <f>J1553</f>
        <v>47</v>
      </c>
      <c r="K1552" s="223">
        <f>K1553</f>
        <v>47</v>
      </c>
    </row>
    <row r="1553" spans="1:11" ht="47.25" customHeight="1" x14ac:dyDescent="0.25">
      <c r="A1553" s="310"/>
      <c r="B1553" s="310"/>
      <c r="C1553" s="333"/>
      <c r="D1553" s="312"/>
      <c r="E1553" s="312"/>
      <c r="F1553" s="313"/>
      <c r="G1553" s="310"/>
      <c r="H1553" s="87" t="s">
        <v>168</v>
      </c>
      <c r="I1553" s="223">
        <f>D1552*K1553</f>
        <v>51314.6</v>
      </c>
      <c r="J1553" s="223">
        <f>I1553/D1552</f>
        <v>47</v>
      </c>
      <c r="K1553" s="223">
        <f>34+13</f>
        <v>47</v>
      </c>
    </row>
    <row r="1554" spans="1:11" ht="15.75" customHeight="1" x14ac:dyDescent="0.25">
      <c r="A1554" s="310">
        <f>A1552+1</f>
        <v>11</v>
      </c>
      <c r="B1554" s="310">
        <v>197</v>
      </c>
      <c r="C1554" s="333" t="s">
        <v>616</v>
      </c>
      <c r="D1554" s="312">
        <v>1027.9000000000001</v>
      </c>
      <c r="E1554" s="312" t="s">
        <v>73</v>
      </c>
      <c r="F1554" s="313">
        <v>3</v>
      </c>
      <c r="G1554" s="310" t="s">
        <v>74</v>
      </c>
      <c r="H1554" s="87" t="s">
        <v>66</v>
      </c>
      <c r="I1554" s="223">
        <f>I1555</f>
        <v>48311.3</v>
      </c>
      <c r="J1554" s="223">
        <f>J1555</f>
        <v>47</v>
      </c>
      <c r="K1554" s="223">
        <f>K1555</f>
        <v>47</v>
      </c>
    </row>
    <row r="1555" spans="1:11" ht="47.25" customHeight="1" x14ac:dyDescent="0.25">
      <c r="A1555" s="310"/>
      <c r="B1555" s="310"/>
      <c r="C1555" s="333"/>
      <c r="D1555" s="312"/>
      <c r="E1555" s="312"/>
      <c r="F1555" s="313"/>
      <c r="G1555" s="310"/>
      <c r="H1555" s="87" t="s">
        <v>168</v>
      </c>
      <c r="I1555" s="223">
        <f>D1554*K1555</f>
        <v>48311.3</v>
      </c>
      <c r="J1555" s="223">
        <f>I1555/D1554</f>
        <v>47</v>
      </c>
      <c r="K1555" s="223">
        <f>34+13</f>
        <v>47</v>
      </c>
    </row>
    <row r="1556" spans="1:11" ht="15.75" customHeight="1" x14ac:dyDescent="0.25">
      <c r="A1556" s="310">
        <f>A1554+1</f>
        <v>12</v>
      </c>
      <c r="B1556" s="310">
        <v>347</v>
      </c>
      <c r="C1556" s="333" t="s">
        <v>617</v>
      </c>
      <c r="D1556" s="312">
        <v>3127.4</v>
      </c>
      <c r="E1556" s="312" t="s">
        <v>68</v>
      </c>
      <c r="F1556" s="313">
        <v>5</v>
      </c>
      <c r="G1556" s="310" t="s">
        <v>74</v>
      </c>
      <c r="H1556" s="87" t="s">
        <v>66</v>
      </c>
      <c r="I1556" s="223">
        <f>I1557</f>
        <v>75057.600000000006</v>
      </c>
      <c r="J1556" s="223">
        <f>J1557</f>
        <v>24</v>
      </c>
      <c r="K1556" s="223">
        <f>K1557</f>
        <v>24</v>
      </c>
    </row>
    <row r="1557" spans="1:11" ht="47.25" customHeight="1" x14ac:dyDescent="0.25">
      <c r="A1557" s="310"/>
      <c r="B1557" s="310"/>
      <c r="C1557" s="333"/>
      <c r="D1557" s="312"/>
      <c r="E1557" s="312"/>
      <c r="F1557" s="313"/>
      <c r="G1557" s="310"/>
      <c r="H1557" s="87" t="s">
        <v>168</v>
      </c>
      <c r="I1557" s="223">
        <f>D1556*K1557</f>
        <v>75057.600000000006</v>
      </c>
      <c r="J1557" s="223">
        <f>I1557/D1556</f>
        <v>24</v>
      </c>
      <c r="K1557" s="223">
        <f>22+2</f>
        <v>24</v>
      </c>
    </row>
    <row r="1558" spans="1:11" ht="15.75" customHeight="1" x14ac:dyDescent="0.25">
      <c r="A1558" s="310">
        <f>A1556+1</f>
        <v>13</v>
      </c>
      <c r="B1558" s="310">
        <v>348</v>
      </c>
      <c r="C1558" s="333" t="s">
        <v>618</v>
      </c>
      <c r="D1558" s="312">
        <v>3202.33</v>
      </c>
      <c r="E1558" s="312" t="s">
        <v>68</v>
      </c>
      <c r="F1558" s="313">
        <v>5</v>
      </c>
      <c r="G1558" s="310" t="s">
        <v>74</v>
      </c>
      <c r="H1558" s="87" t="s">
        <v>66</v>
      </c>
      <c r="I1558" s="223">
        <f>I1559</f>
        <v>76855.92</v>
      </c>
      <c r="J1558" s="223">
        <f>J1559</f>
        <v>24</v>
      </c>
      <c r="K1558" s="223">
        <f>K1559</f>
        <v>24</v>
      </c>
    </row>
    <row r="1559" spans="1:11" ht="47.25" customHeight="1" x14ac:dyDescent="0.25">
      <c r="A1559" s="310"/>
      <c r="B1559" s="310"/>
      <c r="C1559" s="333"/>
      <c r="D1559" s="312"/>
      <c r="E1559" s="312"/>
      <c r="F1559" s="313"/>
      <c r="G1559" s="310"/>
      <c r="H1559" s="87" t="s">
        <v>168</v>
      </c>
      <c r="I1559" s="223">
        <f>D1558*K1559</f>
        <v>76855.92</v>
      </c>
      <c r="J1559" s="223">
        <f>I1559/D1558</f>
        <v>24</v>
      </c>
      <c r="K1559" s="223">
        <f>22+2</f>
        <v>24</v>
      </c>
    </row>
    <row r="1560" spans="1:11" x14ac:dyDescent="0.25">
      <c r="A1560" s="310">
        <f>A1558+1</f>
        <v>14</v>
      </c>
      <c r="B1560" s="310">
        <v>368</v>
      </c>
      <c r="C1560" s="333" t="s">
        <v>539</v>
      </c>
      <c r="D1560" s="312">
        <v>3670.2</v>
      </c>
      <c r="E1560" s="312" t="s">
        <v>68</v>
      </c>
      <c r="F1560" s="313">
        <v>5</v>
      </c>
      <c r="G1560" s="310" t="s">
        <v>74</v>
      </c>
      <c r="H1560" s="87" t="s">
        <v>66</v>
      </c>
      <c r="I1560" s="223">
        <f>I1561+I1562</f>
        <v>832357.64</v>
      </c>
      <c r="J1560" s="223">
        <f>J1561+J1562</f>
        <v>226.79</v>
      </c>
      <c r="K1560" s="223">
        <f>K1561+K1562</f>
        <v>407</v>
      </c>
    </row>
    <row r="1561" spans="1:11" x14ac:dyDescent="0.25">
      <c r="A1561" s="310"/>
      <c r="B1561" s="310"/>
      <c r="C1561" s="333"/>
      <c r="D1561" s="312"/>
      <c r="E1561" s="312"/>
      <c r="F1561" s="313"/>
      <c r="G1561" s="310"/>
      <c r="H1561" s="87" t="s">
        <v>67</v>
      </c>
      <c r="I1561" s="223">
        <v>814918.39</v>
      </c>
      <c r="J1561" s="223">
        <f>I1561/D1560</f>
        <v>222.04</v>
      </c>
      <c r="K1561" s="223">
        <v>398</v>
      </c>
    </row>
    <row r="1562" spans="1:11" x14ac:dyDescent="0.25">
      <c r="A1562" s="310"/>
      <c r="B1562" s="310"/>
      <c r="C1562" s="333"/>
      <c r="D1562" s="312"/>
      <c r="E1562" s="312"/>
      <c r="F1562" s="313"/>
      <c r="G1562" s="310"/>
      <c r="H1562" s="87" t="s">
        <v>69</v>
      </c>
      <c r="I1562" s="223">
        <f>I1561*0.0214</f>
        <v>17439.25</v>
      </c>
      <c r="J1562" s="223">
        <f>I1562/D1560</f>
        <v>4.75</v>
      </c>
      <c r="K1562" s="223">
        <v>9</v>
      </c>
    </row>
    <row r="1563" spans="1:11" ht="15.75" customHeight="1" x14ac:dyDescent="0.25">
      <c r="A1563" s="310">
        <f>A1560+1</f>
        <v>15</v>
      </c>
      <c r="B1563" s="310">
        <v>234</v>
      </c>
      <c r="C1563" s="311" t="s">
        <v>739</v>
      </c>
      <c r="D1563" s="312">
        <v>1369.3</v>
      </c>
      <c r="E1563" s="312" t="s">
        <v>73</v>
      </c>
      <c r="F1563" s="313">
        <v>3</v>
      </c>
      <c r="G1563" s="145"/>
      <c r="H1563" s="87" t="s">
        <v>66</v>
      </c>
      <c r="I1563" s="223">
        <f>I1564</f>
        <v>345063.6</v>
      </c>
      <c r="J1563" s="223">
        <f>J1564</f>
        <v>252</v>
      </c>
      <c r="K1563" s="223">
        <f>K1564</f>
        <v>252</v>
      </c>
    </row>
    <row r="1564" spans="1:11" ht="63" x14ac:dyDescent="0.25">
      <c r="A1564" s="310"/>
      <c r="B1564" s="310"/>
      <c r="C1564" s="311"/>
      <c r="D1564" s="312"/>
      <c r="E1564" s="312"/>
      <c r="F1564" s="313"/>
      <c r="G1564" s="148" t="s">
        <v>65</v>
      </c>
      <c r="H1564" s="87" t="s">
        <v>178</v>
      </c>
      <c r="I1564" s="223">
        <f>K1564*D1563</f>
        <v>345063.6</v>
      </c>
      <c r="J1564" s="223">
        <f>I1564/D1563</f>
        <v>252</v>
      </c>
      <c r="K1564" s="223">
        <f>164+88</f>
        <v>252</v>
      </c>
    </row>
    <row r="1565" spans="1:11" x14ac:dyDescent="0.25">
      <c r="A1565" s="310">
        <f>A1563+1</f>
        <v>16</v>
      </c>
      <c r="B1565" s="310">
        <v>827</v>
      </c>
      <c r="C1565" s="333" t="s">
        <v>369</v>
      </c>
      <c r="D1565" s="312">
        <v>4235.7</v>
      </c>
      <c r="E1565" s="312" t="s">
        <v>68</v>
      </c>
      <c r="F1565" s="313">
        <v>5</v>
      </c>
      <c r="G1565" s="310" t="s">
        <v>65</v>
      </c>
      <c r="H1565" s="87" t="s">
        <v>66</v>
      </c>
      <c r="I1565" s="223">
        <f>I1566</f>
        <v>667864</v>
      </c>
      <c r="J1565" s="223">
        <f>J1566</f>
        <v>157.68</v>
      </c>
      <c r="K1565" s="223">
        <f>K1566</f>
        <v>169</v>
      </c>
    </row>
    <row r="1566" spans="1:11" ht="63" x14ac:dyDescent="0.25">
      <c r="A1566" s="310"/>
      <c r="B1566" s="310"/>
      <c r="C1566" s="333"/>
      <c r="D1566" s="312"/>
      <c r="E1566" s="312"/>
      <c r="F1566" s="313"/>
      <c r="G1566" s="310"/>
      <c r="H1566" s="87" t="s">
        <v>168</v>
      </c>
      <c r="I1566" s="223">
        <v>667864</v>
      </c>
      <c r="J1566" s="223">
        <f>I1566/D1565</f>
        <v>157.68</v>
      </c>
      <c r="K1566" s="223">
        <f>151+18</f>
        <v>169</v>
      </c>
    </row>
    <row r="1567" spans="1:11" x14ac:dyDescent="0.25">
      <c r="A1567" s="310">
        <f>A1565+1</f>
        <v>17</v>
      </c>
      <c r="B1567" s="310">
        <v>602</v>
      </c>
      <c r="C1567" s="333" t="s">
        <v>120</v>
      </c>
      <c r="D1567" s="312">
        <v>3240.43</v>
      </c>
      <c r="E1567" s="312" t="s">
        <v>68</v>
      </c>
      <c r="F1567" s="313">
        <v>5</v>
      </c>
      <c r="G1567" s="310" t="s">
        <v>75</v>
      </c>
      <c r="H1567" s="87" t="s">
        <v>66</v>
      </c>
      <c r="I1567" s="223">
        <f>I1568+I1569</f>
        <v>15444499.52</v>
      </c>
      <c r="J1567" s="223">
        <f>J1568+J1569</f>
        <v>4766.1899999999996</v>
      </c>
      <c r="K1567" s="223">
        <f>K1568+K1569</f>
        <v>5861</v>
      </c>
    </row>
    <row r="1568" spans="1:11" x14ac:dyDescent="0.25">
      <c r="A1568" s="310">
        <v>76</v>
      </c>
      <c r="B1568" s="310"/>
      <c r="C1568" s="333"/>
      <c r="D1568" s="310"/>
      <c r="E1568" s="312"/>
      <c r="F1568" s="313"/>
      <c r="G1568" s="310"/>
      <c r="H1568" s="87" t="s">
        <v>179</v>
      </c>
      <c r="I1568" s="223">
        <v>15120912</v>
      </c>
      <c r="J1568" s="223">
        <f>I1568/D1567</f>
        <v>4666.33</v>
      </c>
      <c r="K1568" s="223">
        <v>5738</v>
      </c>
    </row>
    <row r="1569" spans="1:11" x14ac:dyDescent="0.25">
      <c r="A1569" s="310"/>
      <c r="B1569" s="310"/>
      <c r="C1569" s="333"/>
      <c r="D1569" s="310"/>
      <c r="E1569" s="312"/>
      <c r="F1569" s="313"/>
      <c r="G1569" s="310"/>
      <c r="H1569" s="87" t="s">
        <v>69</v>
      </c>
      <c r="I1569" s="223">
        <f>I1568*0.0214</f>
        <v>323587.52</v>
      </c>
      <c r="J1569" s="223">
        <f>I1569/D1567</f>
        <v>99.86</v>
      </c>
      <c r="K1569" s="223">
        <v>123</v>
      </c>
    </row>
    <row r="1570" spans="1:11" ht="15.75" customHeight="1" x14ac:dyDescent="0.25">
      <c r="A1570" s="310">
        <f>A1567+1</f>
        <v>18</v>
      </c>
      <c r="B1570" s="310">
        <v>293</v>
      </c>
      <c r="C1570" s="333" t="s">
        <v>619</v>
      </c>
      <c r="D1570" s="312">
        <v>1262.0999999999999</v>
      </c>
      <c r="E1570" s="312" t="s">
        <v>68</v>
      </c>
      <c r="F1570" s="313">
        <v>4</v>
      </c>
      <c r="G1570" s="310" t="s">
        <v>74</v>
      </c>
      <c r="H1570" s="87" t="s">
        <v>66</v>
      </c>
      <c r="I1570" s="223">
        <f>I1571</f>
        <v>59318.7</v>
      </c>
      <c r="J1570" s="223">
        <f>J1571</f>
        <v>47</v>
      </c>
      <c r="K1570" s="223">
        <f>K1571</f>
        <v>47</v>
      </c>
    </row>
    <row r="1571" spans="1:11" ht="47.25" customHeight="1" x14ac:dyDescent="0.25">
      <c r="A1571" s="310"/>
      <c r="B1571" s="310"/>
      <c r="C1571" s="333"/>
      <c r="D1571" s="312"/>
      <c r="E1571" s="312"/>
      <c r="F1571" s="313"/>
      <c r="G1571" s="310"/>
      <c r="H1571" s="87" t="s">
        <v>168</v>
      </c>
      <c r="I1571" s="223">
        <f>D1570*K1571</f>
        <v>59318.7</v>
      </c>
      <c r="J1571" s="223">
        <f>I1571/D1570</f>
        <v>47</v>
      </c>
      <c r="K1571" s="223">
        <f>34+13</f>
        <v>47</v>
      </c>
    </row>
    <row r="1572" spans="1:11" ht="15.75" customHeight="1" x14ac:dyDescent="0.25">
      <c r="A1572" s="310">
        <f>A1570+1</f>
        <v>19</v>
      </c>
      <c r="B1572" s="310">
        <v>471</v>
      </c>
      <c r="C1572" s="333" t="s">
        <v>620</v>
      </c>
      <c r="D1572" s="312">
        <v>1568.8</v>
      </c>
      <c r="E1572" s="312" t="s">
        <v>68</v>
      </c>
      <c r="F1572" s="313">
        <v>5</v>
      </c>
      <c r="G1572" s="310" t="s">
        <v>65</v>
      </c>
      <c r="H1572" s="87" t="s">
        <v>66</v>
      </c>
      <c r="I1572" s="223">
        <f>I1573</f>
        <v>241399.37</v>
      </c>
      <c r="J1572" s="223">
        <f>J1573</f>
        <v>153.88</v>
      </c>
      <c r="K1572" s="223">
        <f>K1573</f>
        <v>169</v>
      </c>
    </row>
    <row r="1573" spans="1:11" ht="63" x14ac:dyDescent="0.25">
      <c r="A1573" s="310"/>
      <c r="B1573" s="310"/>
      <c r="C1573" s="333"/>
      <c r="D1573" s="312"/>
      <c r="E1573" s="312"/>
      <c r="F1573" s="313"/>
      <c r="G1573" s="310"/>
      <c r="H1573" s="87" t="s">
        <v>178</v>
      </c>
      <c r="I1573" s="223">
        <v>241399.37</v>
      </c>
      <c r="J1573" s="223">
        <f>I1573/D1572</f>
        <v>153.88</v>
      </c>
      <c r="K1573" s="223">
        <f>151+18</f>
        <v>169</v>
      </c>
    </row>
    <row r="1574" spans="1:11" ht="15.75" customHeight="1" x14ac:dyDescent="0.25">
      <c r="A1574" s="310">
        <f>A1572+1</f>
        <v>20</v>
      </c>
      <c r="B1574" s="310">
        <v>340</v>
      </c>
      <c r="C1574" s="333" t="s">
        <v>621</v>
      </c>
      <c r="D1574" s="312">
        <v>1359.55</v>
      </c>
      <c r="E1574" s="312" t="s">
        <v>68</v>
      </c>
      <c r="F1574" s="313">
        <v>4</v>
      </c>
      <c r="G1574" s="310" t="s">
        <v>74</v>
      </c>
      <c r="H1574" s="87" t="s">
        <v>66</v>
      </c>
      <c r="I1574" s="223">
        <f>I1575</f>
        <v>63898.85</v>
      </c>
      <c r="J1574" s="223">
        <f>J1575</f>
        <v>47</v>
      </c>
      <c r="K1574" s="223">
        <f>K1575</f>
        <v>47</v>
      </c>
    </row>
    <row r="1575" spans="1:11" ht="47.25" customHeight="1" x14ac:dyDescent="0.25">
      <c r="A1575" s="310"/>
      <c r="B1575" s="310"/>
      <c r="C1575" s="333"/>
      <c r="D1575" s="312"/>
      <c r="E1575" s="312"/>
      <c r="F1575" s="313"/>
      <c r="G1575" s="310"/>
      <c r="H1575" s="87" t="s">
        <v>168</v>
      </c>
      <c r="I1575" s="223">
        <f>D1574*K1575</f>
        <v>63898.85</v>
      </c>
      <c r="J1575" s="223">
        <f>I1575/D1574</f>
        <v>47</v>
      </c>
      <c r="K1575" s="223">
        <f>34+13</f>
        <v>47</v>
      </c>
    </row>
    <row r="1576" spans="1:11" ht="15.75" customHeight="1" x14ac:dyDescent="0.25">
      <c r="A1576" s="310">
        <f>A1574+1</f>
        <v>21</v>
      </c>
      <c r="B1576" s="310">
        <v>341</v>
      </c>
      <c r="C1576" s="333" t="s">
        <v>622</v>
      </c>
      <c r="D1576" s="312">
        <v>1268.5999999999999</v>
      </c>
      <c r="E1576" s="312" t="s">
        <v>68</v>
      </c>
      <c r="F1576" s="313">
        <v>4</v>
      </c>
      <c r="G1576" s="310" t="s">
        <v>74</v>
      </c>
      <c r="H1576" s="87" t="s">
        <v>66</v>
      </c>
      <c r="I1576" s="223">
        <f>I1577</f>
        <v>59624.2</v>
      </c>
      <c r="J1576" s="223">
        <f>J1577</f>
        <v>47</v>
      </c>
      <c r="K1576" s="223">
        <f>K1577</f>
        <v>47</v>
      </c>
    </row>
    <row r="1577" spans="1:11" ht="47.25" customHeight="1" x14ac:dyDescent="0.25">
      <c r="A1577" s="310"/>
      <c r="B1577" s="310"/>
      <c r="C1577" s="333"/>
      <c r="D1577" s="312"/>
      <c r="E1577" s="312"/>
      <c r="F1577" s="313"/>
      <c r="G1577" s="310"/>
      <c r="H1577" s="87" t="s">
        <v>168</v>
      </c>
      <c r="I1577" s="223">
        <f>D1576*K1577</f>
        <v>59624.2</v>
      </c>
      <c r="J1577" s="223">
        <f>I1577/D1576</f>
        <v>47</v>
      </c>
      <c r="K1577" s="223">
        <f>34+13</f>
        <v>47</v>
      </c>
    </row>
    <row r="1578" spans="1:11" x14ac:dyDescent="0.25">
      <c r="A1578" s="310">
        <f>A1576+1</f>
        <v>22</v>
      </c>
      <c r="B1578" s="310">
        <v>351</v>
      </c>
      <c r="C1578" s="333" t="s">
        <v>534</v>
      </c>
      <c r="D1578" s="312">
        <v>1260.4000000000001</v>
      </c>
      <c r="E1578" s="312" t="s">
        <v>68</v>
      </c>
      <c r="F1578" s="313">
        <v>4</v>
      </c>
      <c r="G1578" s="310" t="s">
        <v>74</v>
      </c>
      <c r="H1578" s="87" t="s">
        <v>66</v>
      </c>
      <c r="I1578" s="223">
        <f>I1579+I1580</f>
        <v>392726.37</v>
      </c>
      <c r="J1578" s="223">
        <f>J1579+J1580</f>
        <v>311.58999999999997</v>
      </c>
      <c r="K1578" s="223">
        <f>K1579+K1580</f>
        <v>362</v>
      </c>
    </row>
    <row r="1579" spans="1:11" x14ac:dyDescent="0.25">
      <c r="A1579" s="310"/>
      <c r="B1579" s="310"/>
      <c r="C1579" s="333"/>
      <c r="D1579" s="312"/>
      <c r="E1579" s="312"/>
      <c r="F1579" s="313"/>
      <c r="G1579" s="310"/>
      <c r="H1579" s="87" t="s">
        <v>67</v>
      </c>
      <c r="I1579" s="223">
        <v>384498.11</v>
      </c>
      <c r="J1579" s="223">
        <f>I1579/D1578</f>
        <v>305.06</v>
      </c>
      <c r="K1579" s="223">
        <v>354</v>
      </c>
    </row>
    <row r="1580" spans="1:11" x14ac:dyDescent="0.25">
      <c r="A1580" s="310"/>
      <c r="B1580" s="310"/>
      <c r="C1580" s="333"/>
      <c r="D1580" s="312"/>
      <c r="E1580" s="312"/>
      <c r="F1580" s="313"/>
      <c r="G1580" s="310"/>
      <c r="H1580" s="87" t="s">
        <v>69</v>
      </c>
      <c r="I1580" s="223">
        <f>I1579*0.0214</f>
        <v>8228.26</v>
      </c>
      <c r="J1580" s="223">
        <f>I1580/D1578</f>
        <v>6.53</v>
      </c>
      <c r="K1580" s="223">
        <v>8</v>
      </c>
    </row>
    <row r="1581" spans="1:11" x14ac:dyDescent="0.25">
      <c r="A1581" s="307">
        <f>A1578+1</f>
        <v>23</v>
      </c>
      <c r="B1581" s="307">
        <v>811</v>
      </c>
      <c r="C1581" s="315" t="s">
        <v>191</v>
      </c>
      <c r="D1581" s="318">
        <v>4347.7</v>
      </c>
      <c r="E1581" s="318" t="s">
        <v>64</v>
      </c>
      <c r="F1581" s="330">
        <v>9</v>
      </c>
      <c r="G1581" s="121"/>
      <c r="H1581" s="87" t="s">
        <v>66</v>
      </c>
      <c r="I1581" s="223">
        <f>I1582+I1583+I1584+I1585+I1586+I1587</f>
        <v>12098374.76</v>
      </c>
      <c r="J1581" s="223">
        <f>J1582+J1583+J1584+J1585+J1586+J1587</f>
        <v>2782.71</v>
      </c>
      <c r="K1581" s="223">
        <f>K1582+K1583+K1584+K1585+K1586+K1587</f>
        <v>3419</v>
      </c>
    </row>
    <row r="1582" spans="1:11" x14ac:dyDescent="0.25">
      <c r="A1582" s="308"/>
      <c r="B1582" s="308"/>
      <c r="C1582" s="317"/>
      <c r="D1582" s="308"/>
      <c r="E1582" s="319"/>
      <c r="F1582" s="331"/>
      <c r="G1582" s="307" t="s">
        <v>70</v>
      </c>
      <c r="H1582" s="87" t="s">
        <v>67</v>
      </c>
      <c r="I1582" s="223">
        <v>8728332.9800000004</v>
      </c>
      <c r="J1582" s="223">
        <f>I1582/D1581+0.01</f>
        <v>2007.58</v>
      </c>
      <c r="K1582" s="223">
        <v>2292</v>
      </c>
    </row>
    <row r="1583" spans="1:11" x14ac:dyDescent="0.25">
      <c r="A1583" s="308"/>
      <c r="B1583" s="308"/>
      <c r="C1583" s="317"/>
      <c r="D1583" s="308"/>
      <c r="E1583" s="319"/>
      <c r="F1583" s="331"/>
      <c r="G1583" s="309"/>
      <c r="H1583" s="87" t="s">
        <v>69</v>
      </c>
      <c r="I1583" s="223">
        <f>I1582*0.0214</f>
        <v>186786.33</v>
      </c>
      <c r="J1583" s="223">
        <f>I1583/D1581</f>
        <v>42.96</v>
      </c>
      <c r="K1583" s="223">
        <v>49</v>
      </c>
    </row>
    <row r="1584" spans="1:11" x14ac:dyDescent="0.25">
      <c r="A1584" s="308"/>
      <c r="B1584" s="308"/>
      <c r="C1584" s="317"/>
      <c r="D1584" s="308"/>
      <c r="E1584" s="319"/>
      <c r="F1584" s="331"/>
      <c r="G1584" s="307" t="s">
        <v>71</v>
      </c>
      <c r="H1584" s="87" t="s">
        <v>67</v>
      </c>
      <c r="I1584" s="223">
        <v>1367144.35</v>
      </c>
      <c r="J1584" s="223">
        <f>I1584/D1581</f>
        <v>314.45</v>
      </c>
      <c r="K1584" s="223">
        <v>513</v>
      </c>
    </row>
    <row r="1585" spans="1:11" x14ac:dyDescent="0.25">
      <c r="A1585" s="308"/>
      <c r="B1585" s="308"/>
      <c r="C1585" s="317"/>
      <c r="D1585" s="308"/>
      <c r="E1585" s="319"/>
      <c r="F1585" s="331"/>
      <c r="G1585" s="309"/>
      <c r="H1585" s="87" t="s">
        <v>69</v>
      </c>
      <c r="I1585" s="223">
        <f>I1584*0.0214</f>
        <v>29256.89</v>
      </c>
      <c r="J1585" s="223">
        <f>I1585/D1581</f>
        <v>6.73</v>
      </c>
      <c r="K1585" s="223">
        <v>11</v>
      </c>
    </row>
    <row r="1586" spans="1:11" x14ac:dyDescent="0.25">
      <c r="A1586" s="308"/>
      <c r="B1586" s="308"/>
      <c r="C1586" s="317"/>
      <c r="D1586" s="308"/>
      <c r="E1586" s="319"/>
      <c r="F1586" s="331"/>
      <c r="G1586" s="307" t="s">
        <v>72</v>
      </c>
      <c r="H1586" s="87" t="s">
        <v>67</v>
      </c>
      <c r="I1586" s="223">
        <v>1749416.69</v>
      </c>
      <c r="J1586" s="223">
        <f>I1586/D1581</f>
        <v>402.38</v>
      </c>
      <c r="K1586" s="223">
        <v>542</v>
      </c>
    </row>
    <row r="1587" spans="1:11" x14ac:dyDescent="0.25">
      <c r="A1587" s="309"/>
      <c r="B1587" s="309"/>
      <c r="C1587" s="316"/>
      <c r="D1587" s="309"/>
      <c r="E1587" s="329"/>
      <c r="F1587" s="332"/>
      <c r="G1587" s="309"/>
      <c r="H1587" s="87" t="s">
        <v>69</v>
      </c>
      <c r="I1587" s="223">
        <f>I1586*0.0214</f>
        <v>37437.519999999997</v>
      </c>
      <c r="J1587" s="223">
        <f>I1587/D1581</f>
        <v>8.61</v>
      </c>
      <c r="K1587" s="223">
        <v>12</v>
      </c>
    </row>
    <row r="1588" spans="1:11" ht="15.75" customHeight="1" x14ac:dyDescent="0.25">
      <c r="A1588" s="310">
        <f>A1581+1</f>
        <v>24</v>
      </c>
      <c r="B1588" s="310">
        <v>34</v>
      </c>
      <c r="C1588" s="311" t="s">
        <v>740</v>
      </c>
      <c r="D1588" s="312">
        <v>257.7</v>
      </c>
      <c r="E1588" s="312" t="s">
        <v>167</v>
      </c>
      <c r="F1588" s="313">
        <v>2</v>
      </c>
      <c r="G1588" s="310" t="s">
        <v>77</v>
      </c>
      <c r="H1588" s="87" t="s">
        <v>66</v>
      </c>
      <c r="I1588" s="223">
        <f>I1589</f>
        <v>19842.900000000001</v>
      </c>
      <c r="J1588" s="223">
        <f>J1589</f>
        <v>77</v>
      </c>
      <c r="K1588" s="223">
        <f>K1589</f>
        <v>77</v>
      </c>
    </row>
    <row r="1589" spans="1:11" ht="47.25" customHeight="1" x14ac:dyDescent="0.25">
      <c r="A1589" s="310"/>
      <c r="B1589" s="310"/>
      <c r="C1589" s="311"/>
      <c r="D1589" s="312"/>
      <c r="E1589" s="312"/>
      <c r="F1589" s="313"/>
      <c r="G1589" s="310"/>
      <c r="H1589" s="87" t="s">
        <v>168</v>
      </c>
      <c r="I1589" s="223">
        <f>D1588*K1589</f>
        <v>19842.900000000001</v>
      </c>
      <c r="J1589" s="223">
        <f>I1589/D1588</f>
        <v>77</v>
      </c>
      <c r="K1589" s="223">
        <f>28+49</f>
        <v>77</v>
      </c>
    </row>
    <row r="1590" spans="1:11" x14ac:dyDescent="0.25">
      <c r="A1590" s="307">
        <f>A1588+1</f>
        <v>25</v>
      </c>
      <c r="B1590" s="307">
        <v>812</v>
      </c>
      <c r="C1590" s="315" t="s">
        <v>192</v>
      </c>
      <c r="D1590" s="318">
        <v>3238.46</v>
      </c>
      <c r="E1590" s="318" t="s">
        <v>68</v>
      </c>
      <c r="F1590" s="330">
        <v>5</v>
      </c>
      <c r="G1590" s="121"/>
      <c r="H1590" s="87" t="s">
        <v>66</v>
      </c>
      <c r="I1590" s="223">
        <f>I1591+I1592+I1593+I1594+I1595+I1596</f>
        <v>8383041.3499999996</v>
      </c>
      <c r="J1590" s="223">
        <f>J1591+J1592+J1593+J1594+J1595+J1596</f>
        <v>2588.59</v>
      </c>
      <c r="K1590" s="223">
        <f>K1591+K1592+K1593+K1594+K1595+K1596</f>
        <v>3419</v>
      </c>
    </row>
    <row r="1591" spans="1:11" x14ac:dyDescent="0.25">
      <c r="A1591" s="308"/>
      <c r="B1591" s="308"/>
      <c r="C1591" s="317"/>
      <c r="D1591" s="308"/>
      <c r="E1591" s="319"/>
      <c r="F1591" s="331"/>
      <c r="G1591" s="307" t="s">
        <v>70</v>
      </c>
      <c r="H1591" s="87" t="s">
        <v>67</v>
      </c>
      <c r="I1591" s="223">
        <v>6639675.9400000004</v>
      </c>
      <c r="J1591" s="223">
        <f>I1591/D1590</f>
        <v>2050.2600000000002</v>
      </c>
      <c r="K1591" s="223">
        <v>2292</v>
      </c>
    </row>
    <row r="1592" spans="1:11" x14ac:dyDescent="0.25">
      <c r="A1592" s="308"/>
      <c r="B1592" s="308"/>
      <c r="C1592" s="317"/>
      <c r="D1592" s="308"/>
      <c r="E1592" s="319"/>
      <c r="F1592" s="331"/>
      <c r="G1592" s="309"/>
      <c r="H1592" s="87" t="s">
        <v>69</v>
      </c>
      <c r="I1592" s="223">
        <f>I1591*0.0214</f>
        <v>142089.07</v>
      </c>
      <c r="J1592" s="223">
        <f>I1592/D1590</f>
        <v>43.88</v>
      </c>
      <c r="K1592" s="223">
        <v>49</v>
      </c>
    </row>
    <row r="1593" spans="1:11" x14ac:dyDescent="0.25">
      <c r="A1593" s="308"/>
      <c r="B1593" s="308"/>
      <c r="C1593" s="317"/>
      <c r="D1593" s="308"/>
      <c r="E1593" s="319"/>
      <c r="F1593" s="331"/>
      <c r="G1593" s="307" t="s">
        <v>71</v>
      </c>
      <c r="H1593" s="87" t="s">
        <v>67</v>
      </c>
      <c r="I1593" s="223">
        <v>602816.5</v>
      </c>
      <c r="J1593" s="223">
        <f>I1593/D1590</f>
        <v>186.14</v>
      </c>
      <c r="K1593" s="223">
        <v>513</v>
      </c>
    </row>
    <row r="1594" spans="1:11" x14ac:dyDescent="0.25">
      <c r="A1594" s="308"/>
      <c r="B1594" s="308"/>
      <c r="C1594" s="317"/>
      <c r="D1594" s="308"/>
      <c r="E1594" s="319"/>
      <c r="F1594" s="331"/>
      <c r="G1594" s="309"/>
      <c r="H1594" s="87" t="s">
        <v>69</v>
      </c>
      <c r="I1594" s="223">
        <f>I1593*0.0214</f>
        <v>12900.27</v>
      </c>
      <c r="J1594" s="223">
        <f>I1594/D1590</f>
        <v>3.98</v>
      </c>
      <c r="K1594" s="223">
        <v>11</v>
      </c>
    </row>
    <row r="1595" spans="1:11" x14ac:dyDescent="0.25">
      <c r="A1595" s="308"/>
      <c r="B1595" s="308"/>
      <c r="C1595" s="317"/>
      <c r="D1595" s="308"/>
      <c r="E1595" s="319"/>
      <c r="F1595" s="331"/>
      <c r="G1595" s="307" t="s">
        <v>72</v>
      </c>
      <c r="H1595" s="87" t="s">
        <v>67</v>
      </c>
      <c r="I1595" s="223">
        <v>964910.49</v>
      </c>
      <c r="J1595" s="223">
        <f>I1595/D1590</f>
        <v>297.95</v>
      </c>
      <c r="K1595" s="223">
        <v>542</v>
      </c>
    </row>
    <row r="1596" spans="1:11" x14ac:dyDescent="0.25">
      <c r="A1596" s="309"/>
      <c r="B1596" s="309"/>
      <c r="C1596" s="316"/>
      <c r="D1596" s="309"/>
      <c r="E1596" s="329"/>
      <c r="F1596" s="332"/>
      <c r="G1596" s="309"/>
      <c r="H1596" s="87" t="s">
        <v>69</v>
      </c>
      <c r="I1596" s="223">
        <f>I1595*0.0214</f>
        <v>20649.080000000002</v>
      </c>
      <c r="J1596" s="223">
        <f>I1596/D1590</f>
        <v>6.38</v>
      </c>
      <c r="K1596" s="223">
        <v>12</v>
      </c>
    </row>
    <row r="1597" spans="1:11" ht="15.75" customHeight="1" x14ac:dyDescent="0.25">
      <c r="A1597" s="310">
        <f>A1590+1</f>
        <v>26</v>
      </c>
      <c r="B1597" s="310">
        <v>294</v>
      </c>
      <c r="C1597" s="333" t="s">
        <v>623</v>
      </c>
      <c r="D1597" s="312">
        <v>3808.2</v>
      </c>
      <c r="E1597" s="312" t="s">
        <v>68</v>
      </c>
      <c r="F1597" s="313">
        <v>4</v>
      </c>
      <c r="G1597" s="310" t="s">
        <v>74</v>
      </c>
      <c r="H1597" s="87" t="s">
        <v>66</v>
      </c>
      <c r="I1597" s="223">
        <f>I1598</f>
        <v>91396.800000000003</v>
      </c>
      <c r="J1597" s="223">
        <f>J1598</f>
        <v>24</v>
      </c>
      <c r="K1597" s="223">
        <f>K1598</f>
        <v>24</v>
      </c>
    </row>
    <row r="1598" spans="1:11" ht="47.25" customHeight="1" x14ac:dyDescent="0.25">
      <c r="A1598" s="310"/>
      <c r="B1598" s="310"/>
      <c r="C1598" s="333"/>
      <c r="D1598" s="312"/>
      <c r="E1598" s="312"/>
      <c r="F1598" s="313"/>
      <c r="G1598" s="310"/>
      <c r="H1598" s="87" t="s">
        <v>168</v>
      </c>
      <c r="I1598" s="223">
        <f>D1597*K1598</f>
        <v>91396.800000000003</v>
      </c>
      <c r="J1598" s="223">
        <f>I1598/D1597</f>
        <v>24</v>
      </c>
      <c r="K1598" s="223">
        <f>22+2</f>
        <v>24</v>
      </c>
    </row>
    <row r="1599" spans="1:11" ht="15.75" customHeight="1" x14ac:dyDescent="0.25">
      <c r="A1599" s="310">
        <f>A1597+1</f>
        <v>27</v>
      </c>
      <c r="B1599" s="310">
        <v>326</v>
      </c>
      <c r="C1599" s="333" t="s">
        <v>624</v>
      </c>
      <c r="D1599" s="312">
        <v>1786.7</v>
      </c>
      <c r="E1599" s="312" t="s">
        <v>68</v>
      </c>
      <c r="F1599" s="313">
        <v>5</v>
      </c>
      <c r="G1599" s="310" t="s">
        <v>74</v>
      </c>
      <c r="H1599" s="87" t="s">
        <v>66</v>
      </c>
      <c r="I1599" s="223">
        <f>I1600</f>
        <v>83974.9</v>
      </c>
      <c r="J1599" s="223">
        <f>J1600</f>
        <v>47</v>
      </c>
      <c r="K1599" s="223">
        <f>K1600</f>
        <v>47</v>
      </c>
    </row>
    <row r="1600" spans="1:11" ht="47.25" customHeight="1" x14ac:dyDescent="0.25">
      <c r="A1600" s="310"/>
      <c r="B1600" s="310"/>
      <c r="C1600" s="333"/>
      <c r="D1600" s="312"/>
      <c r="E1600" s="312"/>
      <c r="F1600" s="313"/>
      <c r="G1600" s="310"/>
      <c r="H1600" s="87" t="s">
        <v>168</v>
      </c>
      <c r="I1600" s="223">
        <f>D1599*K1600</f>
        <v>83974.9</v>
      </c>
      <c r="J1600" s="223">
        <f>I1600/D1599</f>
        <v>47</v>
      </c>
      <c r="K1600" s="223">
        <f>34+13</f>
        <v>47</v>
      </c>
    </row>
    <row r="1601" spans="1:11" ht="15.75" customHeight="1" x14ac:dyDescent="0.25">
      <c r="A1601" s="310">
        <f>A1599+1</f>
        <v>28</v>
      </c>
      <c r="B1601" s="307">
        <v>774</v>
      </c>
      <c r="C1601" s="433" t="s">
        <v>96</v>
      </c>
      <c r="D1601" s="318">
        <v>14583.46</v>
      </c>
      <c r="E1601" s="318" t="s">
        <v>68</v>
      </c>
      <c r="F1601" s="330">
        <v>9</v>
      </c>
      <c r="G1601" s="121"/>
      <c r="H1601" s="87" t="s">
        <v>66</v>
      </c>
      <c r="I1601" s="223">
        <f>I1602+I1603+I1604+I1605</f>
        <v>4749700.6399999997</v>
      </c>
      <c r="J1601" s="223">
        <f>J1602+J1603+J1604+J1605</f>
        <v>325.69</v>
      </c>
      <c r="K1601" s="223">
        <f>K1602+K1603+K1604+K1605</f>
        <v>1078</v>
      </c>
    </row>
    <row r="1602" spans="1:11" ht="15.75" customHeight="1" x14ac:dyDescent="0.25">
      <c r="A1602" s="310"/>
      <c r="B1602" s="308"/>
      <c r="C1602" s="451"/>
      <c r="D1602" s="308"/>
      <c r="E1602" s="319"/>
      <c r="F1602" s="331"/>
      <c r="G1602" s="307" t="s">
        <v>71</v>
      </c>
      <c r="H1602" s="87" t="s">
        <v>67</v>
      </c>
      <c r="I1602" s="223">
        <f>3429095.81*0.7</f>
        <v>2400367.0699999998</v>
      </c>
      <c r="J1602" s="223">
        <f>I1602/D1601</f>
        <v>164.6</v>
      </c>
      <c r="K1602" s="223">
        <v>513</v>
      </c>
    </row>
    <row r="1603" spans="1:11" ht="15.75" customHeight="1" x14ac:dyDescent="0.25">
      <c r="A1603" s="310"/>
      <c r="B1603" s="308"/>
      <c r="C1603" s="451"/>
      <c r="D1603" s="308"/>
      <c r="E1603" s="319"/>
      <c r="F1603" s="331"/>
      <c r="G1603" s="309"/>
      <c r="H1603" s="87" t="s">
        <v>69</v>
      </c>
      <c r="I1603" s="223">
        <f>3429095.81*0.0214</f>
        <v>73382.649999999994</v>
      </c>
      <c r="J1603" s="223">
        <f>I1603/D1601</f>
        <v>5.03</v>
      </c>
      <c r="K1603" s="223">
        <v>11</v>
      </c>
    </row>
    <row r="1604" spans="1:11" ht="15.75" customHeight="1" x14ac:dyDescent="0.25">
      <c r="A1604" s="310"/>
      <c r="B1604" s="308"/>
      <c r="C1604" s="451"/>
      <c r="D1604" s="308"/>
      <c r="E1604" s="319"/>
      <c r="F1604" s="331"/>
      <c r="G1604" s="307" t="s">
        <v>72</v>
      </c>
      <c r="H1604" s="87" t="s">
        <v>67</v>
      </c>
      <c r="I1604" s="223">
        <f>3154908.4*0.7</f>
        <v>2208435.88</v>
      </c>
      <c r="J1604" s="223">
        <f>I1604/D1601</f>
        <v>151.43</v>
      </c>
      <c r="K1604" s="223">
        <v>542</v>
      </c>
    </row>
    <row r="1605" spans="1:11" ht="15.75" customHeight="1" x14ac:dyDescent="0.25">
      <c r="A1605" s="310"/>
      <c r="B1605" s="309"/>
      <c r="C1605" s="434"/>
      <c r="D1605" s="309"/>
      <c r="E1605" s="329"/>
      <c r="F1605" s="332"/>
      <c r="G1605" s="309"/>
      <c r="H1605" s="87" t="s">
        <v>69</v>
      </c>
      <c r="I1605" s="223">
        <f>3154908.4*0.0214</f>
        <v>67515.039999999994</v>
      </c>
      <c r="J1605" s="223">
        <f>I1605/D1601</f>
        <v>4.63</v>
      </c>
      <c r="K1605" s="223">
        <v>12</v>
      </c>
    </row>
    <row r="1606" spans="1:11" x14ac:dyDescent="0.25">
      <c r="A1606" s="307">
        <f>A1601+1</f>
        <v>29</v>
      </c>
      <c r="B1606" s="307">
        <v>877</v>
      </c>
      <c r="C1606" s="315" t="s">
        <v>195</v>
      </c>
      <c r="D1606" s="318">
        <v>1533.7</v>
      </c>
      <c r="E1606" s="318" t="s">
        <v>68</v>
      </c>
      <c r="F1606" s="330">
        <v>5</v>
      </c>
      <c r="G1606" s="121"/>
      <c r="H1606" s="87" t="s">
        <v>66</v>
      </c>
      <c r="I1606" s="223">
        <f>I1607+I1608+I1609+I1610+I1611+I1612</f>
        <v>5408916.3300000001</v>
      </c>
      <c r="J1606" s="223">
        <f t="shared" ref="J1606:K1606" si="63">J1607+J1608+J1609+J1610+J1611+J1612</f>
        <v>3526.71</v>
      </c>
      <c r="K1606" s="223">
        <f t="shared" si="63"/>
        <v>4051</v>
      </c>
    </row>
    <row r="1607" spans="1:11" ht="15.75" customHeight="1" x14ac:dyDescent="0.25">
      <c r="A1607" s="308"/>
      <c r="B1607" s="308"/>
      <c r="C1607" s="317"/>
      <c r="D1607" s="308"/>
      <c r="E1607" s="319"/>
      <c r="F1607" s="331"/>
      <c r="G1607" s="307" t="s">
        <v>70</v>
      </c>
      <c r="H1607" s="87" t="s">
        <v>67</v>
      </c>
      <c r="I1607" s="223">
        <f>4072708.86</f>
        <v>4072708.86</v>
      </c>
      <c r="J1607" s="223">
        <f>I1607/D1606-0.01</f>
        <v>2655.47</v>
      </c>
      <c r="K1607" s="223">
        <v>2911</v>
      </c>
    </row>
    <row r="1608" spans="1:11" x14ac:dyDescent="0.25">
      <c r="A1608" s="308"/>
      <c r="B1608" s="308"/>
      <c r="C1608" s="317"/>
      <c r="D1608" s="308"/>
      <c r="E1608" s="319"/>
      <c r="F1608" s="331"/>
      <c r="G1608" s="309"/>
      <c r="H1608" s="87" t="s">
        <v>69</v>
      </c>
      <c r="I1608" s="223">
        <f>I1607*0.0214</f>
        <v>87155.97</v>
      </c>
      <c r="J1608" s="223">
        <f>I1608/D1606</f>
        <v>56.83</v>
      </c>
      <c r="K1608" s="223">
        <v>62</v>
      </c>
    </row>
    <row r="1609" spans="1:11" ht="15.75" customHeight="1" x14ac:dyDescent="0.25">
      <c r="A1609" s="308"/>
      <c r="B1609" s="308"/>
      <c r="C1609" s="317"/>
      <c r="D1609" s="308"/>
      <c r="E1609" s="319"/>
      <c r="F1609" s="331"/>
      <c r="G1609" s="307" t="s">
        <v>71</v>
      </c>
      <c r="H1609" s="87" t="s">
        <v>67</v>
      </c>
      <c r="I1609" s="223">
        <v>405181.37</v>
      </c>
      <c r="J1609" s="223">
        <f>I1609/D1606</f>
        <v>264.19</v>
      </c>
      <c r="K1609" s="223">
        <v>513</v>
      </c>
    </row>
    <row r="1610" spans="1:11" x14ac:dyDescent="0.25">
      <c r="A1610" s="308"/>
      <c r="B1610" s="308"/>
      <c r="C1610" s="317"/>
      <c r="D1610" s="308"/>
      <c r="E1610" s="319"/>
      <c r="F1610" s="331"/>
      <c r="G1610" s="309"/>
      <c r="H1610" s="87" t="s">
        <v>69</v>
      </c>
      <c r="I1610" s="223">
        <f>I1609*0.0214</f>
        <v>8670.8799999999992</v>
      </c>
      <c r="J1610" s="223">
        <f>I1610/D1606</f>
        <v>5.65</v>
      </c>
      <c r="K1610" s="223">
        <v>11</v>
      </c>
    </row>
    <row r="1611" spans="1:11" ht="15.75" customHeight="1" x14ac:dyDescent="0.25">
      <c r="A1611" s="308"/>
      <c r="B1611" s="308"/>
      <c r="C1611" s="317"/>
      <c r="D1611" s="308"/>
      <c r="E1611" s="319"/>
      <c r="F1611" s="331"/>
      <c r="G1611" s="307" t="s">
        <v>72</v>
      </c>
      <c r="H1611" s="87" t="s">
        <v>67</v>
      </c>
      <c r="I1611" s="223">
        <f>817700.46</f>
        <v>817700.46</v>
      </c>
      <c r="J1611" s="223">
        <f>I1611/D1606</f>
        <v>533.16</v>
      </c>
      <c r="K1611" s="223">
        <v>542</v>
      </c>
    </row>
    <row r="1612" spans="1:11" x14ac:dyDescent="0.25">
      <c r="A1612" s="308"/>
      <c r="B1612" s="308"/>
      <c r="C1612" s="317"/>
      <c r="D1612" s="308"/>
      <c r="E1612" s="319"/>
      <c r="F1612" s="331"/>
      <c r="G1612" s="309"/>
      <c r="H1612" s="87" t="s">
        <v>69</v>
      </c>
      <c r="I1612" s="223">
        <f>I1611*0.0214</f>
        <v>17498.79</v>
      </c>
      <c r="J1612" s="223">
        <f>I1612/D1606</f>
        <v>11.41</v>
      </c>
      <c r="K1612" s="223">
        <v>12</v>
      </c>
    </row>
    <row r="1613" spans="1:11" ht="15.75" customHeight="1" x14ac:dyDescent="0.25">
      <c r="A1613" s="310">
        <f>A1606+1</f>
        <v>30</v>
      </c>
      <c r="B1613" s="310">
        <v>169</v>
      </c>
      <c r="C1613" s="311" t="s">
        <v>741</v>
      </c>
      <c r="D1613" s="312">
        <v>1896.3</v>
      </c>
      <c r="E1613" s="312" t="s">
        <v>73</v>
      </c>
      <c r="F1613" s="313">
        <v>4</v>
      </c>
      <c r="G1613" s="310" t="s">
        <v>75</v>
      </c>
      <c r="H1613" s="87" t="s">
        <v>66</v>
      </c>
      <c r="I1613" s="223">
        <f>I1614</f>
        <v>542341.80000000005</v>
      </c>
      <c r="J1613" s="223">
        <f>J1614</f>
        <v>286</v>
      </c>
      <c r="K1613" s="223">
        <f>K1614</f>
        <v>286</v>
      </c>
    </row>
    <row r="1614" spans="1:11" ht="47.25" customHeight="1" x14ac:dyDescent="0.25">
      <c r="A1614" s="310"/>
      <c r="B1614" s="310"/>
      <c r="C1614" s="311"/>
      <c r="D1614" s="312"/>
      <c r="E1614" s="312"/>
      <c r="F1614" s="313"/>
      <c r="G1614" s="310"/>
      <c r="H1614" s="87" t="s">
        <v>178</v>
      </c>
      <c r="I1614" s="223">
        <f>D1613*K1614</f>
        <v>542341.80000000005</v>
      </c>
      <c r="J1614" s="223">
        <f>I1614/D1613</f>
        <v>286</v>
      </c>
      <c r="K1614" s="223">
        <f>240+46</f>
        <v>286</v>
      </c>
    </row>
    <row r="1615" spans="1:11" ht="15.75" customHeight="1" x14ac:dyDescent="0.25">
      <c r="A1615" s="310">
        <f>A1613+1</f>
        <v>31</v>
      </c>
      <c r="B1615" s="310">
        <v>157</v>
      </c>
      <c r="C1615" s="333" t="s">
        <v>576</v>
      </c>
      <c r="D1615" s="312">
        <v>482.4</v>
      </c>
      <c r="E1615" s="312" t="s">
        <v>73</v>
      </c>
      <c r="F1615" s="313">
        <v>2</v>
      </c>
      <c r="G1615" s="310" t="s">
        <v>74</v>
      </c>
      <c r="H1615" s="87" t="s">
        <v>66</v>
      </c>
      <c r="I1615" s="223">
        <f>I1616+I1617</f>
        <v>174628.8</v>
      </c>
      <c r="J1615" s="223">
        <f>J1616+J1617</f>
        <v>362</v>
      </c>
      <c r="K1615" s="223">
        <f>K1616+K1617</f>
        <v>362</v>
      </c>
    </row>
    <row r="1616" spans="1:11" ht="15.75" customHeight="1" x14ac:dyDescent="0.25">
      <c r="A1616" s="310"/>
      <c r="B1616" s="310"/>
      <c r="C1616" s="333"/>
      <c r="D1616" s="312"/>
      <c r="E1616" s="312"/>
      <c r="F1616" s="313"/>
      <c r="G1616" s="310"/>
      <c r="H1616" s="87" t="s">
        <v>67</v>
      </c>
      <c r="I1616" s="223">
        <f>K1616*D1615</f>
        <v>170769.6</v>
      </c>
      <c r="J1616" s="223">
        <f>I1616/D1615</f>
        <v>354</v>
      </c>
      <c r="K1616" s="223">
        <v>354</v>
      </c>
    </row>
    <row r="1617" spans="1:11" ht="15.75" customHeight="1" x14ac:dyDescent="0.25">
      <c r="A1617" s="310"/>
      <c r="B1617" s="310"/>
      <c r="C1617" s="333"/>
      <c r="D1617" s="312"/>
      <c r="E1617" s="312"/>
      <c r="F1617" s="313"/>
      <c r="G1617" s="310"/>
      <c r="H1617" s="87" t="s">
        <v>69</v>
      </c>
      <c r="I1617" s="223">
        <f>D1615*K1617</f>
        <v>3859.2</v>
      </c>
      <c r="J1617" s="223">
        <f>I1617/D1615</f>
        <v>8</v>
      </c>
      <c r="K1617" s="223">
        <v>8</v>
      </c>
    </row>
    <row r="1618" spans="1:11" x14ac:dyDescent="0.25">
      <c r="A1618" s="307">
        <f>A1615+1</f>
        <v>32</v>
      </c>
      <c r="B1618" s="307">
        <v>987</v>
      </c>
      <c r="C1618" s="315" t="s">
        <v>357</v>
      </c>
      <c r="D1618" s="318">
        <v>2713.5</v>
      </c>
      <c r="E1618" s="318" t="s">
        <v>68</v>
      </c>
      <c r="F1618" s="330">
        <v>9</v>
      </c>
      <c r="G1618" s="307" t="s">
        <v>65</v>
      </c>
      <c r="H1618" s="87" t="s">
        <v>66</v>
      </c>
      <c r="I1618" s="223">
        <f>I1619+I1620</f>
        <v>3875205.1</v>
      </c>
      <c r="J1618" s="223">
        <f>J1619+J1620</f>
        <v>1428.12</v>
      </c>
      <c r="K1618" s="223">
        <f>K1619+K1620</f>
        <v>2492</v>
      </c>
    </row>
    <row r="1619" spans="1:11" x14ac:dyDescent="0.25">
      <c r="A1619" s="308"/>
      <c r="B1619" s="308"/>
      <c r="C1619" s="317"/>
      <c r="D1619" s="308"/>
      <c r="E1619" s="319"/>
      <c r="F1619" s="331"/>
      <c r="G1619" s="308"/>
      <c r="H1619" s="87" t="s">
        <v>67</v>
      </c>
      <c r="I1619" s="223">
        <v>3794013.22</v>
      </c>
      <c r="J1619" s="223">
        <f>I1619/D1618</f>
        <v>1398.2</v>
      </c>
      <c r="K1619" s="223">
        <v>2440</v>
      </c>
    </row>
    <row r="1620" spans="1:11" x14ac:dyDescent="0.25">
      <c r="A1620" s="308"/>
      <c r="B1620" s="308"/>
      <c r="C1620" s="317"/>
      <c r="D1620" s="308"/>
      <c r="E1620" s="319"/>
      <c r="F1620" s="331"/>
      <c r="G1620" s="309"/>
      <c r="H1620" s="87" t="s">
        <v>69</v>
      </c>
      <c r="I1620" s="223">
        <f>I1619*0.0214</f>
        <v>81191.88</v>
      </c>
      <c r="J1620" s="223">
        <f>I1620/D1618</f>
        <v>29.92</v>
      </c>
      <c r="K1620" s="223">
        <v>52</v>
      </c>
    </row>
    <row r="1621" spans="1:11" ht="15.75" customHeight="1" x14ac:dyDescent="0.25">
      <c r="A1621" s="310">
        <f>A1618+1</f>
        <v>33</v>
      </c>
      <c r="B1621" s="310">
        <v>119</v>
      </c>
      <c r="C1621" s="333" t="s">
        <v>577</v>
      </c>
      <c r="D1621" s="312">
        <v>811.7</v>
      </c>
      <c r="E1621" s="312" t="s">
        <v>73</v>
      </c>
      <c r="F1621" s="313">
        <v>3</v>
      </c>
      <c r="G1621" s="310" t="s">
        <v>74</v>
      </c>
      <c r="H1621" s="87" t="s">
        <v>66</v>
      </c>
      <c r="I1621" s="223">
        <f>I1622+I1623</f>
        <v>247260.93</v>
      </c>
      <c r="J1621" s="223">
        <f>J1622+J1623</f>
        <v>304.62</v>
      </c>
      <c r="K1621" s="223">
        <f>K1622+K1623</f>
        <v>362</v>
      </c>
    </row>
    <row r="1622" spans="1:11" ht="15.75" customHeight="1" x14ac:dyDescent="0.25">
      <c r="A1622" s="310"/>
      <c r="B1622" s="310"/>
      <c r="C1622" s="333"/>
      <c r="D1622" s="312"/>
      <c r="E1622" s="312"/>
      <c r="F1622" s="313"/>
      <c r="G1622" s="310"/>
      <c r="H1622" s="87" t="s">
        <v>67</v>
      </c>
      <c r="I1622" s="223">
        <v>242080.41</v>
      </c>
      <c r="J1622" s="223">
        <f>I1622/D1621</f>
        <v>298.24</v>
      </c>
      <c r="K1622" s="223">
        <v>354</v>
      </c>
    </row>
    <row r="1623" spans="1:11" ht="15.75" customHeight="1" x14ac:dyDescent="0.25">
      <c r="A1623" s="310"/>
      <c r="B1623" s="310"/>
      <c r="C1623" s="333"/>
      <c r="D1623" s="312"/>
      <c r="E1623" s="312"/>
      <c r="F1623" s="313"/>
      <c r="G1623" s="310"/>
      <c r="H1623" s="87" t="s">
        <v>69</v>
      </c>
      <c r="I1623" s="223">
        <f>I1622*0.0214</f>
        <v>5180.5200000000004</v>
      </c>
      <c r="J1623" s="223">
        <f>I1623/D1621</f>
        <v>6.38</v>
      </c>
      <c r="K1623" s="223">
        <v>8</v>
      </c>
    </row>
    <row r="1624" spans="1:11" ht="15.75" customHeight="1" x14ac:dyDescent="0.25">
      <c r="A1624" s="310">
        <f>A1621+1</f>
        <v>34</v>
      </c>
      <c r="B1624" s="310">
        <v>179</v>
      </c>
      <c r="C1624" s="333" t="s">
        <v>625</v>
      </c>
      <c r="D1624" s="312">
        <v>840.9</v>
      </c>
      <c r="E1624" s="312" t="s">
        <v>73</v>
      </c>
      <c r="F1624" s="313">
        <v>3</v>
      </c>
      <c r="G1624" s="310" t="s">
        <v>74</v>
      </c>
      <c r="H1624" s="87" t="s">
        <v>66</v>
      </c>
      <c r="I1624" s="223">
        <f>I1625</f>
        <v>61385.7</v>
      </c>
      <c r="J1624" s="223">
        <f>J1625</f>
        <v>73</v>
      </c>
      <c r="K1624" s="223">
        <f>K1625</f>
        <v>73</v>
      </c>
    </row>
    <row r="1625" spans="1:11" ht="47.25" customHeight="1" x14ac:dyDescent="0.25">
      <c r="A1625" s="310"/>
      <c r="B1625" s="310"/>
      <c r="C1625" s="333"/>
      <c r="D1625" s="312"/>
      <c r="E1625" s="312"/>
      <c r="F1625" s="313"/>
      <c r="G1625" s="310"/>
      <c r="H1625" s="87" t="s">
        <v>168</v>
      </c>
      <c r="I1625" s="223">
        <f>D1624*K1625</f>
        <v>61385.7</v>
      </c>
      <c r="J1625" s="223">
        <f>I1625/D1624</f>
        <v>73</v>
      </c>
      <c r="K1625" s="223">
        <f>60+13</f>
        <v>73</v>
      </c>
    </row>
    <row r="1626" spans="1:11" ht="15.75" customHeight="1" x14ac:dyDescent="0.25">
      <c r="A1626" s="310">
        <f>A1624+1</f>
        <v>35</v>
      </c>
      <c r="B1626" s="310">
        <v>262</v>
      </c>
      <c r="C1626" s="333" t="s">
        <v>626</v>
      </c>
      <c r="D1626" s="312">
        <v>990.5</v>
      </c>
      <c r="E1626" s="312" t="s">
        <v>73</v>
      </c>
      <c r="F1626" s="313">
        <v>3</v>
      </c>
      <c r="G1626" s="310" t="s">
        <v>74</v>
      </c>
      <c r="H1626" s="87" t="s">
        <v>66</v>
      </c>
      <c r="I1626" s="223">
        <f>I1627</f>
        <v>72306.5</v>
      </c>
      <c r="J1626" s="223">
        <f>J1627</f>
        <v>73</v>
      </c>
      <c r="K1626" s="223">
        <f>K1627</f>
        <v>73</v>
      </c>
    </row>
    <row r="1627" spans="1:11" ht="47.25" customHeight="1" x14ac:dyDescent="0.25">
      <c r="A1627" s="310"/>
      <c r="B1627" s="310"/>
      <c r="C1627" s="333"/>
      <c r="D1627" s="312"/>
      <c r="E1627" s="312"/>
      <c r="F1627" s="313"/>
      <c r="G1627" s="310"/>
      <c r="H1627" s="87" t="s">
        <v>168</v>
      </c>
      <c r="I1627" s="223">
        <f>D1626*K1627</f>
        <v>72306.5</v>
      </c>
      <c r="J1627" s="223">
        <f>I1627/D1626</f>
        <v>73</v>
      </c>
      <c r="K1627" s="223">
        <f>60+13</f>
        <v>73</v>
      </c>
    </row>
    <row r="1628" spans="1:11" ht="15.75" customHeight="1" x14ac:dyDescent="0.25">
      <c r="A1628" s="310">
        <f>A1626+1</f>
        <v>36</v>
      </c>
      <c r="B1628" s="310">
        <v>263</v>
      </c>
      <c r="C1628" s="333" t="s">
        <v>627</v>
      </c>
      <c r="D1628" s="312">
        <v>994.7</v>
      </c>
      <c r="E1628" s="312" t="s">
        <v>73</v>
      </c>
      <c r="F1628" s="313">
        <v>3</v>
      </c>
      <c r="G1628" s="310" t="s">
        <v>74</v>
      </c>
      <c r="H1628" s="87" t="s">
        <v>66</v>
      </c>
      <c r="I1628" s="223">
        <f>I1629</f>
        <v>72613.100000000006</v>
      </c>
      <c r="J1628" s="223">
        <f>J1629</f>
        <v>73</v>
      </c>
      <c r="K1628" s="223">
        <f>K1629</f>
        <v>73</v>
      </c>
    </row>
    <row r="1629" spans="1:11" ht="47.25" customHeight="1" x14ac:dyDescent="0.25">
      <c r="A1629" s="310"/>
      <c r="B1629" s="310"/>
      <c r="C1629" s="333"/>
      <c r="D1629" s="312"/>
      <c r="E1629" s="312"/>
      <c r="F1629" s="313"/>
      <c r="G1629" s="310"/>
      <c r="H1629" s="87" t="s">
        <v>168</v>
      </c>
      <c r="I1629" s="223">
        <f>D1628*K1629</f>
        <v>72613.100000000006</v>
      </c>
      <c r="J1629" s="223">
        <f>I1629/D1628</f>
        <v>73</v>
      </c>
      <c r="K1629" s="223">
        <f>60+13</f>
        <v>73</v>
      </c>
    </row>
    <row r="1630" spans="1:11" ht="15.75" customHeight="1" x14ac:dyDescent="0.25">
      <c r="A1630" s="307">
        <f>A1628+1</f>
        <v>37</v>
      </c>
      <c r="B1630" s="307">
        <v>888</v>
      </c>
      <c r="C1630" s="315" t="s">
        <v>578</v>
      </c>
      <c r="D1630" s="318">
        <v>3557.4</v>
      </c>
      <c r="E1630" s="307" t="s">
        <v>68</v>
      </c>
      <c r="F1630" s="307">
        <v>9</v>
      </c>
      <c r="G1630" s="145"/>
      <c r="H1630" s="87" t="s">
        <v>66</v>
      </c>
      <c r="I1630" s="223">
        <f>I1631+I1632+I1633+I1634</f>
        <v>4579236</v>
      </c>
      <c r="J1630" s="223">
        <f>J1631+J1632+J1633+J1634</f>
        <v>1287.24</v>
      </c>
      <c r="K1630" s="223">
        <f>K1631+K1632+K1633+K1634</f>
        <v>1287.24</v>
      </c>
    </row>
    <row r="1631" spans="1:11" ht="15.75" customHeight="1" x14ac:dyDescent="0.25">
      <c r="A1631" s="308"/>
      <c r="B1631" s="308"/>
      <c r="C1631" s="317"/>
      <c r="D1631" s="319"/>
      <c r="E1631" s="308"/>
      <c r="F1631" s="308"/>
      <c r="G1631" s="307" t="s">
        <v>170</v>
      </c>
      <c r="H1631" s="87" t="s">
        <v>171</v>
      </c>
      <c r="I1631" s="223">
        <v>2241647</v>
      </c>
      <c r="J1631" s="223">
        <f>I1631/D1630</f>
        <v>630.14</v>
      </c>
      <c r="K1631" s="223">
        <f>2241647/D1630</f>
        <v>630.14</v>
      </c>
    </row>
    <row r="1632" spans="1:11" ht="15.75" customHeight="1" x14ac:dyDescent="0.25">
      <c r="A1632" s="308"/>
      <c r="B1632" s="308"/>
      <c r="C1632" s="317"/>
      <c r="D1632" s="319"/>
      <c r="E1632" s="308"/>
      <c r="F1632" s="308"/>
      <c r="G1632" s="309"/>
      <c r="H1632" s="87" t="s">
        <v>69</v>
      </c>
      <c r="I1632" s="223">
        <v>47971</v>
      </c>
      <c r="J1632" s="223">
        <f>I1632/D1630</f>
        <v>13.48</v>
      </c>
      <c r="K1632" s="223">
        <f>47971/D1630</f>
        <v>13.48</v>
      </c>
    </row>
    <row r="1633" spans="1:11" ht="15.75" customHeight="1" x14ac:dyDescent="0.25">
      <c r="A1633" s="308"/>
      <c r="B1633" s="308"/>
      <c r="C1633" s="317"/>
      <c r="D1633" s="319"/>
      <c r="E1633" s="308"/>
      <c r="F1633" s="308"/>
      <c r="G1633" s="307" t="s">
        <v>173</v>
      </c>
      <c r="H1633" s="87" t="s">
        <v>171</v>
      </c>
      <c r="I1633" s="223">
        <v>2241647</v>
      </c>
      <c r="J1633" s="223">
        <f>I1633/D1630</f>
        <v>630.14</v>
      </c>
      <c r="K1633" s="223">
        <f>2241647/D1630</f>
        <v>630.14</v>
      </c>
    </row>
    <row r="1634" spans="1:11" ht="15.75" customHeight="1" x14ac:dyDescent="0.25">
      <c r="A1634" s="308"/>
      <c r="B1634" s="308"/>
      <c r="C1634" s="317"/>
      <c r="D1634" s="319"/>
      <c r="E1634" s="308"/>
      <c r="F1634" s="308"/>
      <c r="G1634" s="309"/>
      <c r="H1634" s="87" t="s">
        <v>69</v>
      </c>
      <c r="I1634" s="223">
        <v>47971</v>
      </c>
      <c r="J1634" s="223">
        <f>I1634/D1630</f>
        <v>13.48</v>
      </c>
      <c r="K1634" s="223">
        <f>47971/D1630</f>
        <v>13.48</v>
      </c>
    </row>
    <row r="1635" spans="1:11" ht="15.75" customHeight="1" x14ac:dyDescent="0.25">
      <c r="A1635" s="310">
        <f>A1630+1</f>
        <v>38</v>
      </c>
      <c r="B1635" s="310">
        <v>245</v>
      </c>
      <c r="C1635" s="333" t="s">
        <v>628</v>
      </c>
      <c r="D1635" s="312">
        <v>2691.8</v>
      </c>
      <c r="E1635" s="312" t="s">
        <v>68</v>
      </c>
      <c r="F1635" s="313">
        <v>4</v>
      </c>
      <c r="G1635" s="310" t="s">
        <v>74</v>
      </c>
      <c r="H1635" s="87" t="s">
        <v>66</v>
      </c>
      <c r="I1635" s="223">
        <f>I1636</f>
        <v>126514.6</v>
      </c>
      <c r="J1635" s="223">
        <f>J1636</f>
        <v>47</v>
      </c>
      <c r="K1635" s="223">
        <f>K1636</f>
        <v>47</v>
      </c>
    </row>
    <row r="1636" spans="1:11" ht="47.25" customHeight="1" x14ac:dyDescent="0.25">
      <c r="A1636" s="310"/>
      <c r="B1636" s="310"/>
      <c r="C1636" s="333"/>
      <c r="D1636" s="312"/>
      <c r="E1636" s="312"/>
      <c r="F1636" s="313"/>
      <c r="G1636" s="310"/>
      <c r="H1636" s="87" t="s">
        <v>168</v>
      </c>
      <c r="I1636" s="223">
        <f>D1635*K1636</f>
        <v>126514.6</v>
      </c>
      <c r="J1636" s="223">
        <f>I1636/D1635</f>
        <v>47</v>
      </c>
      <c r="K1636" s="223">
        <f>34+13</f>
        <v>47</v>
      </c>
    </row>
    <row r="1637" spans="1:11" ht="15.75" customHeight="1" x14ac:dyDescent="0.25">
      <c r="A1637" s="310">
        <f>A1635+1</f>
        <v>39</v>
      </c>
      <c r="B1637" s="310">
        <v>352</v>
      </c>
      <c r="C1637" s="333" t="s">
        <v>629</v>
      </c>
      <c r="D1637" s="312">
        <v>1250.22</v>
      </c>
      <c r="E1637" s="312" t="s">
        <v>68</v>
      </c>
      <c r="F1637" s="313">
        <v>4</v>
      </c>
      <c r="G1637" s="310" t="s">
        <v>74</v>
      </c>
      <c r="H1637" s="87" t="s">
        <v>66</v>
      </c>
      <c r="I1637" s="223">
        <f>I1638</f>
        <v>58760.34</v>
      </c>
      <c r="J1637" s="223">
        <f>J1638</f>
        <v>47</v>
      </c>
      <c r="K1637" s="223">
        <f>K1638</f>
        <v>47</v>
      </c>
    </row>
    <row r="1638" spans="1:11" ht="47.25" customHeight="1" x14ac:dyDescent="0.25">
      <c r="A1638" s="310"/>
      <c r="B1638" s="310"/>
      <c r="C1638" s="333"/>
      <c r="D1638" s="312"/>
      <c r="E1638" s="312"/>
      <c r="F1638" s="313"/>
      <c r="G1638" s="310"/>
      <c r="H1638" s="87" t="s">
        <v>168</v>
      </c>
      <c r="I1638" s="223">
        <f>D1637*K1638</f>
        <v>58760.34</v>
      </c>
      <c r="J1638" s="223">
        <f>I1638/D1637</f>
        <v>47</v>
      </c>
      <c r="K1638" s="223">
        <f>34+13</f>
        <v>47</v>
      </c>
    </row>
    <row r="1639" spans="1:11" ht="15.75" customHeight="1" x14ac:dyDescent="0.25">
      <c r="A1639" s="307">
        <f>A1637+1</f>
        <v>40</v>
      </c>
      <c r="B1639" s="307">
        <v>1239</v>
      </c>
      <c r="C1639" s="315" t="s">
        <v>630</v>
      </c>
      <c r="D1639" s="318">
        <v>6398.3</v>
      </c>
      <c r="E1639" s="307" t="s">
        <v>68</v>
      </c>
      <c r="F1639" s="307">
        <v>9</v>
      </c>
      <c r="G1639" s="145"/>
      <c r="H1639" s="87" t="s">
        <v>66</v>
      </c>
      <c r="I1639" s="223">
        <f>I1640+I1641+I1642</f>
        <v>96843</v>
      </c>
      <c r="J1639" s="223">
        <f>J1640+J1641+J1642</f>
        <v>15.14</v>
      </c>
      <c r="K1639" s="223">
        <f>K1640+K1641+K1642</f>
        <v>15.14</v>
      </c>
    </row>
    <row r="1640" spans="1:11" ht="47.25" customHeight="1" x14ac:dyDescent="0.25">
      <c r="A1640" s="308"/>
      <c r="B1640" s="308"/>
      <c r="C1640" s="317"/>
      <c r="D1640" s="319"/>
      <c r="E1640" s="308"/>
      <c r="F1640" s="308"/>
      <c r="G1640" s="148" t="s">
        <v>170</v>
      </c>
      <c r="H1640" s="87" t="s">
        <v>168</v>
      </c>
      <c r="I1640" s="223">
        <f>22681+9600</f>
        <v>32281</v>
      </c>
      <c r="J1640" s="223">
        <f>I1640/D1639</f>
        <v>5.05</v>
      </c>
      <c r="K1640" s="223">
        <f>32281/D1639</f>
        <v>5.05</v>
      </c>
    </row>
    <row r="1641" spans="1:11" ht="47.25" customHeight="1" x14ac:dyDescent="0.25">
      <c r="A1641" s="308"/>
      <c r="B1641" s="308"/>
      <c r="C1641" s="317"/>
      <c r="D1641" s="319"/>
      <c r="E1641" s="308"/>
      <c r="F1641" s="308"/>
      <c r="G1641" s="148" t="s">
        <v>173</v>
      </c>
      <c r="H1641" s="87" t="s">
        <v>168</v>
      </c>
      <c r="I1641" s="223">
        <f>22681+9600</f>
        <v>32281</v>
      </c>
      <c r="J1641" s="223">
        <f>I1641/D1639-0.01</f>
        <v>5.04</v>
      </c>
      <c r="K1641" s="223">
        <f>32281/D1639-0.01</f>
        <v>5.04</v>
      </c>
    </row>
    <row r="1642" spans="1:11" ht="47.25" customHeight="1" x14ac:dyDescent="0.25">
      <c r="A1642" s="308"/>
      <c r="B1642" s="308"/>
      <c r="C1642" s="317"/>
      <c r="D1642" s="319"/>
      <c r="E1642" s="308"/>
      <c r="F1642" s="308"/>
      <c r="G1642" s="148" t="s">
        <v>174</v>
      </c>
      <c r="H1642" s="87" t="s">
        <v>168</v>
      </c>
      <c r="I1642" s="223">
        <f>22681+9600</f>
        <v>32281</v>
      </c>
      <c r="J1642" s="223">
        <f>I1642/D1639</f>
        <v>5.05</v>
      </c>
      <c r="K1642" s="223">
        <f>32281/D1639</f>
        <v>5.05</v>
      </c>
    </row>
    <row r="1643" spans="1:11" x14ac:dyDescent="0.25">
      <c r="A1643" s="307">
        <f>A1639+1</f>
        <v>41</v>
      </c>
      <c r="B1643" s="307">
        <v>1242</v>
      </c>
      <c r="C1643" s="315" t="s">
        <v>198</v>
      </c>
      <c r="D1643" s="318">
        <v>10059.200000000001</v>
      </c>
      <c r="E1643" s="318" t="s">
        <v>64</v>
      </c>
      <c r="F1643" s="330">
        <v>9</v>
      </c>
      <c r="G1643" s="121"/>
      <c r="H1643" s="87" t="s">
        <v>66</v>
      </c>
      <c r="I1643" s="223">
        <f>I1644+I1645+I1646</f>
        <v>5701202.2800000003</v>
      </c>
      <c r="J1643" s="223">
        <f t="shared" ref="J1643:K1643" si="64">J1644+J1645+J1646</f>
        <v>566.76</v>
      </c>
      <c r="K1643" s="223">
        <f t="shared" si="64"/>
        <v>3347</v>
      </c>
    </row>
    <row r="1644" spans="1:11" ht="31.5" x14ac:dyDescent="0.25">
      <c r="A1644" s="308"/>
      <c r="B1644" s="308"/>
      <c r="C1644" s="317"/>
      <c r="D1644" s="308"/>
      <c r="E1644" s="319"/>
      <c r="F1644" s="331"/>
      <c r="G1644" s="148" t="s">
        <v>70</v>
      </c>
      <c r="H1644" s="87" t="s">
        <v>67</v>
      </c>
      <c r="I1644" s="223">
        <f>(12281670+69910+98965+6909)*1.02*1.2*0.3</f>
        <v>4574377.1100000003</v>
      </c>
      <c r="J1644" s="223">
        <f>I1644/D1643-0.01</f>
        <v>454.74</v>
      </c>
      <c r="K1644" s="223">
        <v>2292</v>
      </c>
    </row>
    <row r="1645" spans="1:11" ht="47.25" x14ac:dyDescent="0.25">
      <c r="A1645" s="308"/>
      <c r="B1645" s="308"/>
      <c r="C1645" s="317"/>
      <c r="D1645" s="308"/>
      <c r="E1645" s="319"/>
      <c r="F1645" s="331"/>
      <c r="G1645" s="148" t="s">
        <v>71</v>
      </c>
      <c r="H1645" s="87" t="s">
        <v>67</v>
      </c>
      <c r="I1645" s="223">
        <f>(1166903)*1.02*1.2*0.3</f>
        <v>428486.78</v>
      </c>
      <c r="J1645" s="223">
        <f>I1645/D1643</f>
        <v>42.6</v>
      </c>
      <c r="K1645" s="223">
        <v>513</v>
      </c>
    </row>
    <row r="1646" spans="1:11" ht="47.25" x14ac:dyDescent="0.25">
      <c r="A1646" s="308"/>
      <c r="B1646" s="308"/>
      <c r="C1646" s="317"/>
      <c r="D1646" s="308"/>
      <c r="E1646" s="319"/>
      <c r="F1646" s="331"/>
      <c r="G1646" s="148" t="s">
        <v>72</v>
      </c>
      <c r="H1646" s="87" t="s">
        <v>67</v>
      </c>
      <c r="I1646" s="223">
        <f>(1901793)*1.02*1.2*0.3</f>
        <v>698338.39</v>
      </c>
      <c r="J1646" s="223">
        <f>I1646/D1643</f>
        <v>69.42</v>
      </c>
      <c r="K1646" s="223">
        <v>542</v>
      </c>
    </row>
    <row r="1647" spans="1:11" x14ac:dyDescent="0.25">
      <c r="A1647" s="310">
        <f>A1643+1</f>
        <v>42</v>
      </c>
      <c r="B1647" s="310">
        <v>1836</v>
      </c>
      <c r="C1647" s="333" t="s">
        <v>196</v>
      </c>
      <c r="D1647" s="312">
        <v>10176.5</v>
      </c>
      <c r="E1647" s="312" t="s">
        <v>68</v>
      </c>
      <c r="F1647" s="313">
        <v>6</v>
      </c>
      <c r="G1647" s="310" t="s">
        <v>65</v>
      </c>
      <c r="H1647" s="87" t="s">
        <v>66</v>
      </c>
      <c r="I1647" s="223">
        <f>I1648+I1649</f>
        <v>24983598.579999998</v>
      </c>
      <c r="J1647" s="223">
        <f>J1648+J1649</f>
        <v>2455.0300000000002</v>
      </c>
      <c r="K1647" s="223">
        <f>K1648+K1649</f>
        <v>3749</v>
      </c>
    </row>
    <row r="1648" spans="1:11" ht="31.5" x14ac:dyDescent="0.25">
      <c r="A1648" s="310">
        <v>77</v>
      </c>
      <c r="B1648" s="310"/>
      <c r="C1648" s="333"/>
      <c r="D1648" s="310"/>
      <c r="E1648" s="312"/>
      <c r="F1648" s="313"/>
      <c r="G1648" s="310"/>
      <c r="H1648" s="87" t="s">
        <v>76</v>
      </c>
      <c r="I1648" s="223">
        <v>24460151.34</v>
      </c>
      <c r="J1648" s="223">
        <f>I1648/D1647</f>
        <v>2403.59</v>
      </c>
      <c r="K1648" s="223">
        <v>3670</v>
      </c>
    </row>
    <row r="1649" spans="1:11" x14ac:dyDescent="0.25">
      <c r="A1649" s="310"/>
      <c r="B1649" s="310"/>
      <c r="C1649" s="333"/>
      <c r="D1649" s="310"/>
      <c r="E1649" s="312"/>
      <c r="F1649" s="313"/>
      <c r="G1649" s="310"/>
      <c r="H1649" s="87" t="s">
        <v>69</v>
      </c>
      <c r="I1649" s="223">
        <f>I1648*0.0214</f>
        <v>523447.24</v>
      </c>
      <c r="J1649" s="223">
        <f>I1649/D1647</f>
        <v>51.44</v>
      </c>
      <c r="K1649" s="223">
        <v>79</v>
      </c>
    </row>
    <row r="1650" spans="1:11" ht="15.75" customHeight="1" x14ac:dyDescent="0.25">
      <c r="A1650" s="307">
        <f>A1647+1</f>
        <v>43</v>
      </c>
      <c r="B1650" s="307">
        <v>1397</v>
      </c>
      <c r="C1650" s="315" t="s">
        <v>631</v>
      </c>
      <c r="D1650" s="318">
        <v>7809.1</v>
      </c>
      <c r="E1650" s="307" t="s">
        <v>68</v>
      </c>
      <c r="F1650" s="307">
        <v>9</v>
      </c>
      <c r="G1650" s="145"/>
      <c r="H1650" s="87" t="s">
        <v>66</v>
      </c>
      <c r="I1650" s="223">
        <f>I1651+I1652+I1653+I1654</f>
        <v>129124</v>
      </c>
      <c r="J1650" s="223">
        <f>J1651+J1652+J1653+J1654</f>
        <v>16.54</v>
      </c>
      <c r="K1650" s="223">
        <f>K1651+K1652+K1653+K1654</f>
        <v>16.54</v>
      </c>
    </row>
    <row r="1651" spans="1:11" ht="47.25" customHeight="1" x14ac:dyDescent="0.25">
      <c r="A1651" s="308"/>
      <c r="B1651" s="308"/>
      <c r="C1651" s="317"/>
      <c r="D1651" s="319"/>
      <c r="E1651" s="308"/>
      <c r="F1651" s="308"/>
      <c r="G1651" s="148" t="s">
        <v>170</v>
      </c>
      <c r="H1651" s="87" t="s">
        <v>168</v>
      </c>
      <c r="I1651" s="223">
        <f>22681+9600</f>
        <v>32281</v>
      </c>
      <c r="J1651" s="223">
        <f>I1651/D1650+0.01</f>
        <v>4.1399999999999997</v>
      </c>
      <c r="K1651" s="223">
        <f>32281/D1650+0.01</f>
        <v>4.1399999999999997</v>
      </c>
    </row>
    <row r="1652" spans="1:11" ht="47.25" customHeight="1" x14ac:dyDescent="0.25">
      <c r="A1652" s="308"/>
      <c r="B1652" s="308"/>
      <c r="C1652" s="317"/>
      <c r="D1652" s="319"/>
      <c r="E1652" s="308"/>
      <c r="F1652" s="308"/>
      <c r="G1652" s="148" t="s">
        <v>173</v>
      </c>
      <c r="H1652" s="87" t="s">
        <v>168</v>
      </c>
      <c r="I1652" s="223">
        <f>22681+9600</f>
        <v>32281</v>
      </c>
      <c r="J1652" s="223">
        <f>I1652/D1650</f>
        <v>4.13</v>
      </c>
      <c r="K1652" s="223">
        <f>32281/D1650</f>
        <v>4.13</v>
      </c>
    </row>
    <row r="1653" spans="1:11" ht="47.25" customHeight="1" x14ac:dyDescent="0.25">
      <c r="A1653" s="308"/>
      <c r="B1653" s="308"/>
      <c r="C1653" s="317"/>
      <c r="D1653" s="319"/>
      <c r="E1653" s="308"/>
      <c r="F1653" s="308"/>
      <c r="G1653" s="148" t="s">
        <v>174</v>
      </c>
      <c r="H1653" s="87" t="s">
        <v>168</v>
      </c>
      <c r="I1653" s="223">
        <f>22681+9600</f>
        <v>32281</v>
      </c>
      <c r="J1653" s="223">
        <f>I1653/D1650+0.01</f>
        <v>4.1399999999999997</v>
      </c>
      <c r="K1653" s="223">
        <f>32281/D1650+0.01</f>
        <v>4.1399999999999997</v>
      </c>
    </row>
    <row r="1654" spans="1:11" ht="47.25" customHeight="1" x14ac:dyDescent="0.25">
      <c r="A1654" s="308"/>
      <c r="B1654" s="308"/>
      <c r="C1654" s="317"/>
      <c r="D1654" s="319"/>
      <c r="E1654" s="308"/>
      <c r="F1654" s="308"/>
      <c r="G1654" s="148" t="s">
        <v>175</v>
      </c>
      <c r="H1654" s="87" t="s">
        <v>168</v>
      </c>
      <c r="I1654" s="223">
        <f>22681+9600</f>
        <v>32281</v>
      </c>
      <c r="J1654" s="223">
        <f>I1654/D1650</f>
        <v>4.13</v>
      </c>
      <c r="K1654" s="223">
        <f>32281/D1650</f>
        <v>4.13</v>
      </c>
    </row>
    <row r="1655" spans="1:11" ht="15.75" customHeight="1" x14ac:dyDescent="0.25">
      <c r="A1655" s="307">
        <f>A1650+1</f>
        <v>44</v>
      </c>
      <c r="B1655" s="307">
        <v>1938</v>
      </c>
      <c r="C1655" s="315" t="s">
        <v>579</v>
      </c>
      <c r="D1655" s="318">
        <v>1618</v>
      </c>
      <c r="E1655" s="318" t="s">
        <v>68</v>
      </c>
      <c r="F1655" s="330">
        <v>4</v>
      </c>
      <c r="G1655" s="121"/>
      <c r="H1655" s="87" t="s">
        <v>66</v>
      </c>
      <c r="I1655" s="223">
        <f>I1656+I1657+I1658+I1659+I1660+I1661+I1662+I1663</f>
        <v>5577318.4800000004</v>
      </c>
      <c r="J1655" s="223">
        <f>J1656+J1657+J1658+J1659+J1660+J1661+J1662+J1663</f>
        <v>3447.04</v>
      </c>
      <c r="K1655" s="223">
        <f>K1656+K1657+K1658+K1659+K1660+K1661+K1662+K1663</f>
        <v>4557</v>
      </c>
    </row>
    <row r="1656" spans="1:11" ht="15.75" customHeight="1" x14ac:dyDescent="0.25">
      <c r="A1656" s="308"/>
      <c r="B1656" s="308"/>
      <c r="C1656" s="317"/>
      <c r="D1656" s="308"/>
      <c r="E1656" s="319"/>
      <c r="F1656" s="331"/>
      <c r="G1656" s="307" t="s">
        <v>70</v>
      </c>
      <c r="H1656" s="87" t="s">
        <v>67</v>
      </c>
      <c r="I1656" s="223">
        <v>4369741.8899999997</v>
      </c>
      <c r="J1656" s="223">
        <f>I1656/D1655-0.01</f>
        <v>2700.7</v>
      </c>
      <c r="K1656" s="223">
        <v>2911</v>
      </c>
    </row>
    <row r="1657" spans="1:11" ht="15.75" customHeight="1" x14ac:dyDescent="0.25">
      <c r="A1657" s="308"/>
      <c r="B1657" s="308"/>
      <c r="C1657" s="317"/>
      <c r="D1657" s="308"/>
      <c r="E1657" s="319"/>
      <c r="F1657" s="331"/>
      <c r="G1657" s="309"/>
      <c r="H1657" s="87" t="s">
        <v>69</v>
      </c>
      <c r="I1657" s="223">
        <f>I1656*0.0214</f>
        <v>93512.48</v>
      </c>
      <c r="J1657" s="223">
        <f>I1657/D1655</f>
        <v>57.8</v>
      </c>
      <c r="K1657" s="223">
        <v>62</v>
      </c>
    </row>
    <row r="1658" spans="1:11" ht="15.75" customHeight="1" x14ac:dyDescent="0.25">
      <c r="A1658" s="308"/>
      <c r="B1658" s="308"/>
      <c r="C1658" s="317"/>
      <c r="D1658" s="308"/>
      <c r="E1658" s="319"/>
      <c r="F1658" s="331"/>
      <c r="G1658" s="307" t="s">
        <v>71</v>
      </c>
      <c r="H1658" s="87" t="s">
        <v>67</v>
      </c>
      <c r="I1658" s="223">
        <v>224957.39</v>
      </c>
      <c r="J1658" s="223">
        <f>I1658/D1655</f>
        <v>139.03</v>
      </c>
      <c r="K1658" s="223">
        <v>513</v>
      </c>
    </row>
    <row r="1659" spans="1:11" ht="15.75" customHeight="1" x14ac:dyDescent="0.25">
      <c r="A1659" s="308"/>
      <c r="B1659" s="308"/>
      <c r="C1659" s="317"/>
      <c r="D1659" s="308"/>
      <c r="E1659" s="319"/>
      <c r="F1659" s="331"/>
      <c r="G1659" s="309"/>
      <c r="H1659" s="87" t="s">
        <v>69</v>
      </c>
      <c r="I1659" s="223">
        <f>I1658*0.0214</f>
        <v>4814.09</v>
      </c>
      <c r="J1659" s="223">
        <f>I1659/D1655</f>
        <v>2.98</v>
      </c>
      <c r="K1659" s="223">
        <v>11</v>
      </c>
    </row>
    <row r="1660" spans="1:11" ht="15.75" customHeight="1" x14ac:dyDescent="0.25">
      <c r="A1660" s="308"/>
      <c r="B1660" s="308"/>
      <c r="C1660" s="317"/>
      <c r="D1660" s="308"/>
      <c r="E1660" s="319"/>
      <c r="F1660" s="331"/>
      <c r="G1660" s="307" t="s">
        <v>72</v>
      </c>
      <c r="H1660" s="87" t="s">
        <v>67</v>
      </c>
      <c r="I1660" s="223">
        <v>590809.85</v>
      </c>
      <c r="J1660" s="223">
        <f>I1660/D1655-0.01</f>
        <v>365.14</v>
      </c>
      <c r="K1660" s="223">
        <v>542</v>
      </c>
    </row>
    <row r="1661" spans="1:11" ht="15.75" customHeight="1" x14ac:dyDescent="0.25">
      <c r="A1661" s="308"/>
      <c r="B1661" s="308"/>
      <c r="C1661" s="317"/>
      <c r="D1661" s="308"/>
      <c r="E1661" s="319"/>
      <c r="F1661" s="331"/>
      <c r="G1661" s="309"/>
      <c r="H1661" s="87" t="s">
        <v>69</v>
      </c>
      <c r="I1661" s="223">
        <f>I1660*0.0214</f>
        <v>12643.33</v>
      </c>
      <c r="J1661" s="223">
        <f>I1661/D1655</f>
        <v>7.81</v>
      </c>
      <c r="K1661" s="223">
        <v>12</v>
      </c>
    </row>
    <row r="1662" spans="1:11" ht="15.75" customHeight="1" x14ac:dyDescent="0.25">
      <c r="A1662" s="308"/>
      <c r="B1662" s="308"/>
      <c r="C1662" s="317"/>
      <c r="D1662" s="308"/>
      <c r="E1662" s="319"/>
      <c r="F1662" s="331"/>
      <c r="G1662" s="307" t="s">
        <v>78</v>
      </c>
      <c r="H1662" s="87" t="s">
        <v>67</v>
      </c>
      <c r="I1662" s="223">
        <v>274955.40000000002</v>
      </c>
      <c r="J1662" s="223">
        <f>I1662/D1655</f>
        <v>169.94</v>
      </c>
      <c r="K1662" s="223">
        <v>485</v>
      </c>
    </row>
    <row r="1663" spans="1:11" ht="15.75" customHeight="1" x14ac:dyDescent="0.25">
      <c r="A1663" s="309"/>
      <c r="B1663" s="309"/>
      <c r="C1663" s="316"/>
      <c r="D1663" s="309"/>
      <c r="E1663" s="329"/>
      <c r="F1663" s="332"/>
      <c r="G1663" s="309"/>
      <c r="H1663" s="87" t="s">
        <v>69</v>
      </c>
      <c r="I1663" s="223">
        <f>I1662*0.0214</f>
        <v>5884.05</v>
      </c>
      <c r="J1663" s="223">
        <f>I1663/D1655</f>
        <v>3.64</v>
      </c>
      <c r="K1663" s="223">
        <v>21</v>
      </c>
    </row>
    <row r="1664" spans="1:11" x14ac:dyDescent="0.25">
      <c r="A1664" s="307">
        <f>A1655+1</f>
        <v>45</v>
      </c>
      <c r="B1664" s="307">
        <v>1275</v>
      </c>
      <c r="C1664" s="315" t="s">
        <v>197</v>
      </c>
      <c r="D1664" s="318">
        <v>3224.4</v>
      </c>
      <c r="E1664" s="318" t="s">
        <v>68</v>
      </c>
      <c r="F1664" s="330">
        <v>6</v>
      </c>
      <c r="G1664" s="121"/>
      <c r="H1664" s="87" t="s">
        <v>66</v>
      </c>
      <c r="I1664" s="223">
        <f>I1665+I1666+I1667+I1668+I1669+I1670</f>
        <v>10093825.689999999</v>
      </c>
      <c r="J1664" s="223">
        <f>J1665+J1666+J1667+J1668+J1669+J1670</f>
        <v>3130.45</v>
      </c>
      <c r="K1664" s="223">
        <f>K1665+K1666+K1667+K1668+K1669+K1670</f>
        <v>4051</v>
      </c>
    </row>
    <row r="1665" spans="1:11" x14ac:dyDescent="0.25">
      <c r="A1665" s="308"/>
      <c r="B1665" s="308"/>
      <c r="C1665" s="317"/>
      <c r="D1665" s="308"/>
      <c r="E1665" s="319"/>
      <c r="F1665" s="331"/>
      <c r="G1665" s="307" t="s">
        <v>70</v>
      </c>
      <c r="H1665" s="87" t="s">
        <v>67</v>
      </c>
      <c r="I1665" s="223">
        <v>7942676</v>
      </c>
      <c r="J1665" s="223">
        <f>I1665/D1664+0.01</f>
        <v>2463.31</v>
      </c>
      <c r="K1665" s="223">
        <v>2911</v>
      </c>
    </row>
    <row r="1666" spans="1:11" x14ac:dyDescent="0.25">
      <c r="A1666" s="308"/>
      <c r="B1666" s="308"/>
      <c r="C1666" s="317"/>
      <c r="D1666" s="308"/>
      <c r="E1666" s="319"/>
      <c r="F1666" s="331"/>
      <c r="G1666" s="309"/>
      <c r="H1666" s="87" t="s">
        <v>69</v>
      </c>
      <c r="I1666" s="223">
        <f>I1665*0.0214</f>
        <v>169973.27</v>
      </c>
      <c r="J1666" s="223">
        <f>I1666/D1664</f>
        <v>52.71</v>
      </c>
      <c r="K1666" s="223">
        <v>62</v>
      </c>
    </row>
    <row r="1667" spans="1:11" x14ac:dyDescent="0.25">
      <c r="A1667" s="308"/>
      <c r="B1667" s="308"/>
      <c r="C1667" s="317"/>
      <c r="D1667" s="308"/>
      <c r="E1667" s="319"/>
      <c r="F1667" s="331"/>
      <c r="G1667" s="307" t="s">
        <v>71</v>
      </c>
      <c r="H1667" s="87" t="s">
        <v>67</v>
      </c>
      <c r="I1667" s="223">
        <v>596856.19999999995</v>
      </c>
      <c r="J1667" s="223">
        <f>I1667/D1664</f>
        <v>185.11</v>
      </c>
      <c r="K1667" s="223">
        <v>513</v>
      </c>
    </row>
    <row r="1668" spans="1:11" x14ac:dyDescent="0.25">
      <c r="A1668" s="308"/>
      <c r="B1668" s="308"/>
      <c r="C1668" s="317"/>
      <c r="D1668" s="308"/>
      <c r="E1668" s="319"/>
      <c r="F1668" s="331"/>
      <c r="G1668" s="309"/>
      <c r="H1668" s="87" t="s">
        <v>69</v>
      </c>
      <c r="I1668" s="223">
        <f>I1667*0.0214</f>
        <v>12772.72</v>
      </c>
      <c r="J1668" s="223">
        <f>I1668/D1664</f>
        <v>3.96</v>
      </c>
      <c r="K1668" s="223">
        <v>11</v>
      </c>
    </row>
    <row r="1669" spans="1:11" x14ac:dyDescent="0.25">
      <c r="A1669" s="308"/>
      <c r="B1669" s="308"/>
      <c r="C1669" s="317"/>
      <c r="D1669" s="308"/>
      <c r="E1669" s="319"/>
      <c r="F1669" s="331"/>
      <c r="G1669" s="307" t="s">
        <v>72</v>
      </c>
      <c r="H1669" s="87" t="s">
        <v>67</v>
      </c>
      <c r="I1669" s="223">
        <v>1342811.34</v>
      </c>
      <c r="J1669" s="223">
        <f>I1669/D1664</f>
        <v>416.45</v>
      </c>
      <c r="K1669" s="223">
        <v>542</v>
      </c>
    </row>
    <row r="1670" spans="1:11" x14ac:dyDescent="0.25">
      <c r="A1670" s="309"/>
      <c r="B1670" s="309"/>
      <c r="C1670" s="316"/>
      <c r="D1670" s="309"/>
      <c r="E1670" s="329"/>
      <c r="F1670" s="332"/>
      <c r="G1670" s="309"/>
      <c r="H1670" s="87" t="s">
        <v>69</v>
      </c>
      <c r="I1670" s="223">
        <f>I1669*0.0214</f>
        <v>28736.16</v>
      </c>
      <c r="J1670" s="223">
        <f>I1670/D1664</f>
        <v>8.91</v>
      </c>
      <c r="K1670" s="223">
        <v>12</v>
      </c>
    </row>
    <row r="1671" spans="1:11" x14ac:dyDescent="0.25">
      <c r="A1671" s="310">
        <f>A1664+1</f>
        <v>46</v>
      </c>
      <c r="B1671" s="310">
        <v>1279</v>
      </c>
      <c r="C1671" s="333" t="s">
        <v>370</v>
      </c>
      <c r="D1671" s="312">
        <v>4031.2</v>
      </c>
      <c r="E1671" s="312" t="s">
        <v>68</v>
      </c>
      <c r="F1671" s="313">
        <v>5</v>
      </c>
      <c r="G1671" s="310" t="s">
        <v>65</v>
      </c>
      <c r="H1671" s="87" t="s">
        <v>66</v>
      </c>
      <c r="I1671" s="223">
        <f>I1672</f>
        <v>635619.46</v>
      </c>
      <c r="J1671" s="223">
        <f>J1672</f>
        <v>157.68</v>
      </c>
      <c r="K1671" s="223">
        <f>K1672</f>
        <v>169</v>
      </c>
    </row>
    <row r="1672" spans="1:11" ht="63" x14ac:dyDescent="0.25">
      <c r="A1672" s="310"/>
      <c r="B1672" s="310"/>
      <c r="C1672" s="333"/>
      <c r="D1672" s="312"/>
      <c r="E1672" s="312"/>
      <c r="F1672" s="313"/>
      <c r="G1672" s="310"/>
      <c r="H1672" s="87" t="s">
        <v>168</v>
      </c>
      <c r="I1672" s="223">
        <v>635619.46</v>
      </c>
      <c r="J1672" s="223">
        <f>I1672/D1671</f>
        <v>157.68</v>
      </c>
      <c r="K1672" s="223">
        <f>151+18</f>
        <v>169</v>
      </c>
    </row>
    <row r="1673" spans="1:11" ht="15.75" customHeight="1" x14ac:dyDescent="0.25">
      <c r="A1673" s="307">
        <f>A1671+1</f>
        <v>47</v>
      </c>
      <c r="B1673" s="307">
        <v>1021</v>
      </c>
      <c r="C1673" s="315" t="s">
        <v>580</v>
      </c>
      <c r="D1673" s="318">
        <v>8061.42</v>
      </c>
      <c r="E1673" s="307" t="s">
        <v>68</v>
      </c>
      <c r="F1673" s="307">
        <v>10</v>
      </c>
      <c r="G1673" s="145"/>
      <c r="H1673" s="87" t="s">
        <v>66</v>
      </c>
      <c r="I1673" s="223">
        <f>I1674+I1675+I1676+I1677+I1678+I1679+I1680+I1681</f>
        <v>6797832.2699999996</v>
      </c>
      <c r="J1673" s="223">
        <f>J1674+J1675+J1676+J1677+J1678+J1679+J1680+J1681</f>
        <v>843.25</v>
      </c>
      <c r="K1673" s="223">
        <f>K1674+K1675+K1676+K1677+K1678+K1679+K1680+K1681</f>
        <v>1246.1199999999999</v>
      </c>
    </row>
    <row r="1674" spans="1:11" ht="15.75" customHeight="1" x14ac:dyDescent="0.25">
      <c r="A1674" s="308"/>
      <c r="B1674" s="308"/>
      <c r="C1674" s="317"/>
      <c r="D1674" s="319"/>
      <c r="E1674" s="308"/>
      <c r="F1674" s="308"/>
      <c r="G1674" s="307" t="s">
        <v>170</v>
      </c>
      <c r="H1674" s="87" t="s">
        <v>171</v>
      </c>
      <c r="I1674" s="223">
        <v>1665649.24</v>
      </c>
      <c r="J1674" s="223">
        <f>I1674/D1673</f>
        <v>206.62</v>
      </c>
      <c r="K1674" s="223">
        <f>2458756/D1673</f>
        <v>305</v>
      </c>
    </row>
    <row r="1675" spans="1:11" ht="15.75" customHeight="1" x14ac:dyDescent="0.25">
      <c r="A1675" s="308"/>
      <c r="B1675" s="308"/>
      <c r="C1675" s="317"/>
      <c r="D1675" s="319"/>
      <c r="E1675" s="308"/>
      <c r="F1675" s="308"/>
      <c r="G1675" s="309"/>
      <c r="H1675" s="87" t="s">
        <v>69</v>
      </c>
      <c r="I1675" s="223">
        <v>16365.57</v>
      </c>
      <c r="J1675" s="223">
        <f>I1675/D1673</f>
        <v>2.0299999999999998</v>
      </c>
      <c r="K1675" s="223">
        <f>52617/D1673</f>
        <v>6.53</v>
      </c>
    </row>
    <row r="1676" spans="1:11" ht="15.75" customHeight="1" x14ac:dyDescent="0.25">
      <c r="A1676" s="308"/>
      <c r="B1676" s="308"/>
      <c r="C1676" s="317"/>
      <c r="D1676" s="319"/>
      <c r="E1676" s="308"/>
      <c r="F1676" s="308"/>
      <c r="G1676" s="307" t="s">
        <v>173</v>
      </c>
      <c r="H1676" s="87" t="s">
        <v>171</v>
      </c>
      <c r="I1676" s="223">
        <v>1683419.21</v>
      </c>
      <c r="J1676" s="223">
        <f>I1676/D1673</f>
        <v>208.82</v>
      </c>
      <c r="K1676" s="223">
        <f>2458756/D1673</f>
        <v>305</v>
      </c>
    </row>
    <row r="1677" spans="1:11" ht="15.75" customHeight="1" x14ac:dyDescent="0.25">
      <c r="A1677" s="308"/>
      <c r="B1677" s="308"/>
      <c r="C1677" s="317"/>
      <c r="D1677" s="319"/>
      <c r="E1677" s="308"/>
      <c r="F1677" s="308"/>
      <c r="G1677" s="309"/>
      <c r="H1677" s="87" t="s">
        <v>69</v>
      </c>
      <c r="I1677" s="223">
        <v>16365.57</v>
      </c>
      <c r="J1677" s="223">
        <f>I1677/D1673</f>
        <v>2.0299999999999998</v>
      </c>
      <c r="K1677" s="223">
        <f>52617/D1673</f>
        <v>6.53</v>
      </c>
    </row>
    <row r="1678" spans="1:11" ht="15.75" customHeight="1" x14ac:dyDescent="0.25">
      <c r="A1678" s="308"/>
      <c r="B1678" s="308"/>
      <c r="C1678" s="317"/>
      <c r="D1678" s="319"/>
      <c r="E1678" s="308"/>
      <c r="F1678" s="308"/>
      <c r="G1678" s="307" t="s">
        <v>174</v>
      </c>
      <c r="H1678" s="87" t="s">
        <v>171</v>
      </c>
      <c r="I1678" s="223">
        <v>1691820.37</v>
      </c>
      <c r="J1678" s="223">
        <f>I1678/D1673</f>
        <v>209.87</v>
      </c>
      <c r="K1678" s="223">
        <f>2458756/D1673</f>
        <v>305</v>
      </c>
    </row>
    <row r="1679" spans="1:11" ht="15.75" customHeight="1" x14ac:dyDescent="0.25">
      <c r="A1679" s="308"/>
      <c r="B1679" s="308"/>
      <c r="C1679" s="317"/>
      <c r="D1679" s="319"/>
      <c r="E1679" s="308"/>
      <c r="F1679" s="308"/>
      <c r="G1679" s="309"/>
      <c r="H1679" s="87" t="s">
        <v>69</v>
      </c>
      <c r="I1679" s="223">
        <v>16365.57</v>
      </c>
      <c r="J1679" s="223">
        <f>I1679/D1673</f>
        <v>2.0299999999999998</v>
      </c>
      <c r="K1679" s="223">
        <f>52617/D1673</f>
        <v>6.53</v>
      </c>
    </row>
    <row r="1680" spans="1:11" ht="15.75" customHeight="1" x14ac:dyDescent="0.25">
      <c r="A1680" s="308"/>
      <c r="B1680" s="308"/>
      <c r="C1680" s="317"/>
      <c r="D1680" s="319"/>
      <c r="E1680" s="308"/>
      <c r="F1680" s="308"/>
      <c r="G1680" s="307" t="s">
        <v>175</v>
      </c>
      <c r="H1680" s="87" t="s">
        <v>171</v>
      </c>
      <c r="I1680" s="223">
        <v>1691481.17</v>
      </c>
      <c r="J1680" s="223">
        <f>I1680/D1673</f>
        <v>209.82</v>
      </c>
      <c r="K1680" s="223">
        <f>2458756/D1673</f>
        <v>305</v>
      </c>
    </row>
    <row r="1681" spans="1:11" ht="15.75" customHeight="1" x14ac:dyDescent="0.25">
      <c r="A1681" s="309"/>
      <c r="B1681" s="309"/>
      <c r="C1681" s="316"/>
      <c r="D1681" s="329"/>
      <c r="E1681" s="309"/>
      <c r="F1681" s="309"/>
      <c r="G1681" s="309"/>
      <c r="H1681" s="87" t="s">
        <v>69</v>
      </c>
      <c r="I1681" s="223">
        <v>16365.57</v>
      </c>
      <c r="J1681" s="223">
        <f>I1681/D1673</f>
        <v>2.0299999999999998</v>
      </c>
      <c r="K1681" s="223">
        <f>52617/D1673</f>
        <v>6.53</v>
      </c>
    </row>
    <row r="1682" spans="1:11" ht="15.75" customHeight="1" x14ac:dyDescent="0.25">
      <c r="A1682" s="307">
        <f>A1673+1</f>
        <v>48</v>
      </c>
      <c r="B1682" s="307">
        <v>1284</v>
      </c>
      <c r="C1682" s="315" t="s">
        <v>581</v>
      </c>
      <c r="D1682" s="318">
        <v>3691.9</v>
      </c>
      <c r="E1682" s="307" t="s">
        <v>64</v>
      </c>
      <c r="F1682" s="307">
        <v>10</v>
      </c>
      <c r="G1682" s="145"/>
      <c r="H1682" s="87" t="s">
        <v>66</v>
      </c>
      <c r="I1682" s="223">
        <f>I1683+I1684+I1685+I1686</f>
        <v>3386311.03</v>
      </c>
      <c r="J1682" s="223">
        <f>J1683+J1684+J1685+J1686</f>
        <v>917.23</v>
      </c>
      <c r="K1682" s="223">
        <f>K1683+K1684+K1685+K1686</f>
        <v>1240.3499999999999</v>
      </c>
    </row>
    <row r="1683" spans="1:11" ht="15.75" customHeight="1" x14ac:dyDescent="0.25">
      <c r="A1683" s="308"/>
      <c r="B1683" s="308"/>
      <c r="C1683" s="317"/>
      <c r="D1683" s="319"/>
      <c r="E1683" s="308"/>
      <c r="F1683" s="308"/>
      <c r="G1683" s="307" t="s">
        <v>170</v>
      </c>
      <c r="H1683" s="87" t="s">
        <v>171</v>
      </c>
      <c r="I1683" s="223">
        <v>1678235</v>
      </c>
      <c r="J1683" s="223">
        <f>I1683/D1682</f>
        <v>454.57</v>
      </c>
      <c r="K1683" s="223">
        <f>2241647/D1682</f>
        <v>607.17999999999995</v>
      </c>
    </row>
    <row r="1684" spans="1:11" ht="15.75" customHeight="1" x14ac:dyDescent="0.25">
      <c r="A1684" s="308"/>
      <c r="B1684" s="308"/>
      <c r="C1684" s="317"/>
      <c r="D1684" s="319"/>
      <c r="E1684" s="308"/>
      <c r="F1684" s="308"/>
      <c r="G1684" s="309"/>
      <c r="H1684" s="87" t="s">
        <v>69</v>
      </c>
      <c r="I1684" s="223">
        <v>14920.52</v>
      </c>
      <c r="J1684" s="223">
        <f>I1684/D1682</f>
        <v>4.04</v>
      </c>
      <c r="K1684" s="223">
        <f>47971/D1682</f>
        <v>12.99</v>
      </c>
    </row>
    <row r="1685" spans="1:11" ht="15.75" customHeight="1" x14ac:dyDescent="0.25">
      <c r="A1685" s="308"/>
      <c r="B1685" s="308"/>
      <c r="C1685" s="317"/>
      <c r="D1685" s="319"/>
      <c r="E1685" s="308"/>
      <c r="F1685" s="308"/>
      <c r="G1685" s="307" t="s">
        <v>173</v>
      </c>
      <c r="H1685" s="87" t="s">
        <v>171</v>
      </c>
      <c r="I1685" s="223">
        <v>1678235</v>
      </c>
      <c r="J1685" s="223">
        <f>I1685/D1682+0.01</f>
        <v>454.58</v>
      </c>
      <c r="K1685" s="223">
        <f>2241647/D1682+0.01</f>
        <v>607.19000000000005</v>
      </c>
    </row>
    <row r="1686" spans="1:11" ht="15.75" customHeight="1" x14ac:dyDescent="0.25">
      <c r="A1686" s="308"/>
      <c r="B1686" s="308"/>
      <c r="C1686" s="317"/>
      <c r="D1686" s="319"/>
      <c r="E1686" s="308"/>
      <c r="F1686" s="308"/>
      <c r="G1686" s="309"/>
      <c r="H1686" s="87" t="s">
        <v>69</v>
      </c>
      <c r="I1686" s="223">
        <v>14920.51</v>
      </c>
      <c r="J1686" s="223">
        <f>I1686/D1682</f>
        <v>4.04</v>
      </c>
      <c r="K1686" s="223">
        <f>47971/D1682</f>
        <v>12.99</v>
      </c>
    </row>
    <row r="1687" spans="1:11" ht="15.75" customHeight="1" x14ac:dyDescent="0.25">
      <c r="A1687" s="307">
        <f>A1682+1</f>
        <v>49</v>
      </c>
      <c r="B1687" s="307">
        <v>1292</v>
      </c>
      <c r="C1687" s="315" t="s">
        <v>582</v>
      </c>
      <c r="D1687" s="318">
        <v>9049.9</v>
      </c>
      <c r="E1687" s="307" t="s">
        <v>64</v>
      </c>
      <c r="F1687" s="307">
        <v>10</v>
      </c>
      <c r="G1687" s="145"/>
      <c r="H1687" s="87" t="s">
        <v>66</v>
      </c>
      <c r="I1687" s="223">
        <f>I1688+I1689</f>
        <v>2289618</v>
      </c>
      <c r="J1687" s="223">
        <f>J1688+J1689</f>
        <v>253</v>
      </c>
      <c r="K1687" s="223">
        <f>K1688+K1689</f>
        <v>253</v>
      </c>
    </row>
    <row r="1688" spans="1:11" ht="15.75" customHeight="1" x14ac:dyDescent="0.25">
      <c r="A1688" s="308"/>
      <c r="B1688" s="308"/>
      <c r="C1688" s="317"/>
      <c r="D1688" s="319"/>
      <c r="E1688" s="308"/>
      <c r="F1688" s="308"/>
      <c r="G1688" s="307" t="s">
        <v>170</v>
      </c>
      <c r="H1688" s="87" t="s">
        <v>171</v>
      </c>
      <c r="I1688" s="223">
        <v>2241647</v>
      </c>
      <c r="J1688" s="223">
        <f>I1688/D1687</f>
        <v>247.7</v>
      </c>
      <c r="K1688" s="223">
        <f>2241647/D1687</f>
        <v>247.7</v>
      </c>
    </row>
    <row r="1689" spans="1:11" ht="15.75" customHeight="1" x14ac:dyDescent="0.25">
      <c r="A1689" s="308"/>
      <c r="B1689" s="308"/>
      <c r="C1689" s="317"/>
      <c r="D1689" s="319"/>
      <c r="E1689" s="308"/>
      <c r="F1689" s="308"/>
      <c r="G1689" s="309"/>
      <c r="H1689" s="87" t="s">
        <v>69</v>
      </c>
      <c r="I1689" s="223">
        <v>47971</v>
      </c>
      <c r="J1689" s="223">
        <f>I1689/D1687</f>
        <v>5.3</v>
      </c>
      <c r="K1689" s="223">
        <f>47971/D1687</f>
        <v>5.3</v>
      </c>
    </row>
    <row r="1690" spans="1:11" ht="15.75" customHeight="1" x14ac:dyDescent="0.25">
      <c r="A1690" s="310">
        <f>A1687+1</f>
        <v>50</v>
      </c>
      <c r="B1690" s="310">
        <v>1057</v>
      </c>
      <c r="C1690" s="311" t="s">
        <v>535</v>
      </c>
      <c r="D1690" s="312">
        <v>15850.4</v>
      </c>
      <c r="E1690" s="312" t="s">
        <v>64</v>
      </c>
      <c r="F1690" s="313">
        <v>10</v>
      </c>
      <c r="G1690" s="145"/>
      <c r="H1690" s="87" t="s">
        <v>66</v>
      </c>
      <c r="I1690" s="223">
        <f>I1691</f>
        <v>2599465.6</v>
      </c>
      <c r="J1690" s="223">
        <f>J1691</f>
        <v>164</v>
      </c>
      <c r="K1690" s="223">
        <f>K1691</f>
        <v>164</v>
      </c>
    </row>
    <row r="1691" spans="1:11" ht="63" x14ac:dyDescent="0.25">
      <c r="A1691" s="310"/>
      <c r="B1691" s="310"/>
      <c r="C1691" s="311"/>
      <c r="D1691" s="312"/>
      <c r="E1691" s="312"/>
      <c r="F1691" s="313"/>
      <c r="G1691" s="148" t="s">
        <v>65</v>
      </c>
      <c r="H1691" s="87" t="s">
        <v>178</v>
      </c>
      <c r="I1691" s="223">
        <f>K1691*D1690</f>
        <v>2599465.6</v>
      </c>
      <c r="J1691" s="223">
        <f>I1691/D1690</f>
        <v>164</v>
      </c>
      <c r="K1691" s="223">
        <f>151+13</f>
        <v>164</v>
      </c>
    </row>
    <row r="1692" spans="1:11" ht="15.75" customHeight="1" x14ac:dyDescent="0.25">
      <c r="A1692" s="310">
        <f>A1690+1</f>
        <v>51</v>
      </c>
      <c r="B1692" s="310">
        <v>1020</v>
      </c>
      <c r="C1692" s="333" t="s">
        <v>632</v>
      </c>
      <c r="D1692" s="312">
        <v>2062.31</v>
      </c>
      <c r="E1692" s="312" t="s">
        <v>68</v>
      </c>
      <c r="F1692" s="313">
        <v>3</v>
      </c>
      <c r="G1692" s="310" t="s">
        <v>74</v>
      </c>
      <c r="H1692" s="87" t="s">
        <v>66</v>
      </c>
      <c r="I1692" s="223">
        <f>I1693</f>
        <v>96928.57</v>
      </c>
      <c r="J1692" s="223">
        <f>J1693</f>
        <v>47</v>
      </c>
      <c r="K1692" s="223">
        <f>K1693</f>
        <v>47</v>
      </c>
    </row>
    <row r="1693" spans="1:11" ht="47.25" customHeight="1" x14ac:dyDescent="0.25">
      <c r="A1693" s="310"/>
      <c r="B1693" s="310"/>
      <c r="C1693" s="333"/>
      <c r="D1693" s="312"/>
      <c r="E1693" s="312"/>
      <c r="F1693" s="313"/>
      <c r="G1693" s="310"/>
      <c r="H1693" s="87" t="s">
        <v>168</v>
      </c>
      <c r="I1693" s="223">
        <f>D1692*K1693</f>
        <v>96928.57</v>
      </c>
      <c r="J1693" s="223">
        <f>I1693/D1692</f>
        <v>47</v>
      </c>
      <c r="K1693" s="223">
        <f>34+13</f>
        <v>47</v>
      </c>
    </row>
    <row r="1694" spans="1:11" x14ac:dyDescent="0.25">
      <c r="A1694" s="310">
        <f>A1692+1</f>
        <v>52</v>
      </c>
      <c r="B1694" s="310">
        <v>1417</v>
      </c>
      <c r="C1694" s="333" t="s">
        <v>371</v>
      </c>
      <c r="D1694" s="312">
        <v>37493.51</v>
      </c>
      <c r="E1694" s="312" t="s">
        <v>64</v>
      </c>
      <c r="F1694" s="313">
        <v>10</v>
      </c>
      <c r="G1694" s="310" t="s">
        <v>65</v>
      </c>
      <c r="H1694" s="87" t="s">
        <v>66</v>
      </c>
      <c r="I1694" s="223">
        <f>I1695</f>
        <v>2860252</v>
      </c>
      <c r="J1694" s="223">
        <f>J1695</f>
        <v>76.290000000000006</v>
      </c>
      <c r="K1694" s="223">
        <f>K1695</f>
        <v>164</v>
      </c>
    </row>
    <row r="1695" spans="1:11" ht="63" x14ac:dyDescent="0.25">
      <c r="A1695" s="310"/>
      <c r="B1695" s="310"/>
      <c r="C1695" s="333"/>
      <c r="D1695" s="312"/>
      <c r="E1695" s="312"/>
      <c r="F1695" s="313"/>
      <c r="G1695" s="310"/>
      <c r="H1695" s="87" t="s">
        <v>168</v>
      </c>
      <c r="I1695" s="223">
        <f>2372836.37+487415.63</f>
        <v>2860252</v>
      </c>
      <c r="J1695" s="223">
        <f>I1695/D1694</f>
        <v>76.290000000000006</v>
      </c>
      <c r="K1695" s="223">
        <f>151+13</f>
        <v>164</v>
      </c>
    </row>
    <row r="1696" spans="1:11" x14ac:dyDescent="0.25">
      <c r="A1696" s="310">
        <f>A1694+1</f>
        <v>53</v>
      </c>
      <c r="B1696" s="310">
        <v>1361</v>
      </c>
      <c r="C1696" s="333" t="s">
        <v>102</v>
      </c>
      <c r="D1696" s="312">
        <v>4296</v>
      </c>
      <c r="E1696" s="312" t="s">
        <v>64</v>
      </c>
      <c r="F1696" s="313">
        <v>5</v>
      </c>
      <c r="G1696" s="310" t="s">
        <v>65</v>
      </c>
      <c r="H1696" s="87" t="s">
        <v>66</v>
      </c>
      <c r="I1696" s="223">
        <f>I1697+I1698</f>
        <v>15043843.689999999</v>
      </c>
      <c r="J1696" s="223">
        <f>J1697+J1698</f>
        <v>3501.83</v>
      </c>
      <c r="K1696" s="223">
        <f>K1697+K1698</f>
        <v>3749</v>
      </c>
    </row>
    <row r="1697" spans="1:11" ht="31.5" x14ac:dyDescent="0.25">
      <c r="A1697" s="310">
        <v>77</v>
      </c>
      <c r="B1697" s="310"/>
      <c r="C1697" s="333"/>
      <c r="D1697" s="310"/>
      <c r="E1697" s="312"/>
      <c r="F1697" s="313"/>
      <c r="G1697" s="310"/>
      <c r="H1697" s="87" t="s">
        <v>76</v>
      </c>
      <c r="I1697" s="223">
        <v>14728650.57</v>
      </c>
      <c r="J1697" s="223">
        <f>I1697/D1696</f>
        <v>3428.46</v>
      </c>
      <c r="K1697" s="223">
        <v>3670</v>
      </c>
    </row>
    <row r="1698" spans="1:11" x14ac:dyDescent="0.25">
      <c r="A1698" s="310"/>
      <c r="B1698" s="310"/>
      <c r="C1698" s="333"/>
      <c r="D1698" s="310"/>
      <c r="E1698" s="312"/>
      <c r="F1698" s="313"/>
      <c r="G1698" s="310"/>
      <c r="H1698" s="87" t="s">
        <v>69</v>
      </c>
      <c r="I1698" s="223">
        <f>I1697*0.0214</f>
        <v>315193.12</v>
      </c>
      <c r="J1698" s="223">
        <f>I1698/D1696</f>
        <v>73.37</v>
      </c>
      <c r="K1698" s="223">
        <v>79</v>
      </c>
    </row>
    <row r="1699" spans="1:11" x14ac:dyDescent="0.25">
      <c r="A1699" s="310">
        <f>A1696+1</f>
        <v>54</v>
      </c>
      <c r="B1699" s="310">
        <v>1362</v>
      </c>
      <c r="C1699" s="333" t="s">
        <v>199</v>
      </c>
      <c r="D1699" s="312">
        <v>16594.099999999999</v>
      </c>
      <c r="E1699" s="312" t="s">
        <v>64</v>
      </c>
      <c r="F1699" s="313">
        <v>9</v>
      </c>
      <c r="G1699" s="310" t="s">
        <v>70</v>
      </c>
      <c r="H1699" s="87" t="s">
        <v>66</v>
      </c>
      <c r="I1699" s="223">
        <f>I1700</f>
        <v>7935298.6200000001</v>
      </c>
      <c r="J1699" s="223">
        <f t="shared" ref="J1699:K1699" si="65">J1700</f>
        <v>478.2</v>
      </c>
      <c r="K1699" s="223">
        <f t="shared" si="65"/>
        <v>1594</v>
      </c>
    </row>
    <row r="1700" spans="1:11" x14ac:dyDescent="0.25">
      <c r="A1700" s="310">
        <v>75</v>
      </c>
      <c r="B1700" s="310"/>
      <c r="C1700" s="333"/>
      <c r="D1700" s="310"/>
      <c r="E1700" s="312"/>
      <c r="F1700" s="313"/>
      <c r="G1700" s="310"/>
      <c r="H1700" s="87" t="s">
        <v>67</v>
      </c>
      <c r="I1700" s="223">
        <f>D1699*K1700*0.3</f>
        <v>7935298.6200000001</v>
      </c>
      <c r="J1700" s="223">
        <f>I1700/D1699</f>
        <v>478.2</v>
      </c>
      <c r="K1700" s="223">
        <v>1594</v>
      </c>
    </row>
    <row r="1701" spans="1:11" ht="15.75" customHeight="1" x14ac:dyDescent="0.25">
      <c r="A1701" s="307">
        <f>A1699+1</f>
        <v>55</v>
      </c>
      <c r="B1701" s="307">
        <v>1818</v>
      </c>
      <c r="C1701" s="315" t="s">
        <v>583</v>
      </c>
      <c r="D1701" s="318">
        <v>1284.2</v>
      </c>
      <c r="E1701" s="318" t="s">
        <v>68</v>
      </c>
      <c r="F1701" s="330">
        <v>4</v>
      </c>
      <c r="G1701" s="121"/>
      <c r="H1701" s="87" t="s">
        <v>66</v>
      </c>
      <c r="I1701" s="223">
        <f>I1702+I1703+I1704+I1705+I1706+I1707+I1708+I1709</f>
        <v>4628548.5199999996</v>
      </c>
      <c r="J1701" s="223">
        <f>J1702+J1703+J1704+J1705+J1706+J1707+J1708+J1709</f>
        <v>3604.23</v>
      </c>
      <c r="K1701" s="223">
        <f>K1702+K1703+K1704+K1705+K1706+K1707+K1708+K1709</f>
        <v>4557</v>
      </c>
    </row>
    <row r="1702" spans="1:11" ht="15.75" customHeight="1" x14ac:dyDescent="0.25">
      <c r="A1702" s="308"/>
      <c r="B1702" s="308"/>
      <c r="C1702" s="317"/>
      <c r="D1702" s="308"/>
      <c r="E1702" s="319"/>
      <c r="F1702" s="331"/>
      <c r="G1702" s="307" t="s">
        <v>70</v>
      </c>
      <c r="H1702" s="87" t="s">
        <v>67</v>
      </c>
      <c r="I1702" s="223">
        <v>3445051.42</v>
      </c>
      <c r="J1702" s="223">
        <f>I1702/D1701</f>
        <v>2682.64</v>
      </c>
      <c r="K1702" s="223">
        <v>2911</v>
      </c>
    </row>
    <row r="1703" spans="1:11" ht="15.75" customHeight="1" x14ac:dyDescent="0.25">
      <c r="A1703" s="308"/>
      <c r="B1703" s="308"/>
      <c r="C1703" s="317"/>
      <c r="D1703" s="308"/>
      <c r="E1703" s="319"/>
      <c r="F1703" s="331"/>
      <c r="G1703" s="309"/>
      <c r="H1703" s="87" t="s">
        <v>69</v>
      </c>
      <c r="I1703" s="223">
        <f>I1702*0.0214</f>
        <v>73724.100000000006</v>
      </c>
      <c r="J1703" s="223">
        <f>I1703/D1701</f>
        <v>57.41</v>
      </c>
      <c r="K1703" s="223">
        <v>62</v>
      </c>
    </row>
    <row r="1704" spans="1:11" ht="15.75" customHeight="1" x14ac:dyDescent="0.25">
      <c r="A1704" s="308"/>
      <c r="B1704" s="308"/>
      <c r="C1704" s="317"/>
      <c r="D1704" s="308"/>
      <c r="E1704" s="319"/>
      <c r="F1704" s="331"/>
      <c r="G1704" s="307" t="s">
        <v>71</v>
      </c>
      <c r="H1704" s="87" t="s">
        <v>67</v>
      </c>
      <c r="I1704" s="223">
        <v>273686.03000000003</v>
      </c>
      <c r="J1704" s="223">
        <f>I1704/D1701</f>
        <v>213.12</v>
      </c>
      <c r="K1704" s="223">
        <v>513</v>
      </c>
    </row>
    <row r="1705" spans="1:11" ht="15.75" customHeight="1" x14ac:dyDescent="0.25">
      <c r="A1705" s="308"/>
      <c r="B1705" s="308"/>
      <c r="C1705" s="317"/>
      <c r="D1705" s="308"/>
      <c r="E1705" s="319"/>
      <c r="F1705" s="331"/>
      <c r="G1705" s="309"/>
      <c r="H1705" s="87" t="s">
        <v>69</v>
      </c>
      <c r="I1705" s="223">
        <f>I1704*0.0214</f>
        <v>5856.88</v>
      </c>
      <c r="J1705" s="223">
        <f>I1705/D1701</f>
        <v>4.5599999999999996</v>
      </c>
      <c r="K1705" s="223">
        <v>11</v>
      </c>
    </row>
    <row r="1706" spans="1:11" ht="15.75" customHeight="1" x14ac:dyDescent="0.25">
      <c r="A1706" s="308"/>
      <c r="B1706" s="308"/>
      <c r="C1706" s="317"/>
      <c r="D1706" s="308"/>
      <c r="E1706" s="319"/>
      <c r="F1706" s="331"/>
      <c r="G1706" s="307" t="s">
        <v>72</v>
      </c>
      <c r="H1706" s="87" t="s">
        <v>67</v>
      </c>
      <c r="I1706" s="223">
        <v>562260.9</v>
      </c>
      <c r="J1706" s="223">
        <f>I1706/D1701</f>
        <v>437.83</v>
      </c>
      <c r="K1706" s="223">
        <v>542</v>
      </c>
    </row>
    <row r="1707" spans="1:11" ht="15.75" customHeight="1" x14ac:dyDescent="0.25">
      <c r="A1707" s="308"/>
      <c r="B1707" s="308"/>
      <c r="C1707" s="317"/>
      <c r="D1707" s="308"/>
      <c r="E1707" s="319"/>
      <c r="F1707" s="331"/>
      <c r="G1707" s="309"/>
      <c r="H1707" s="87" t="s">
        <v>69</v>
      </c>
      <c r="I1707" s="223">
        <f>I1706*0.0214</f>
        <v>12032.38</v>
      </c>
      <c r="J1707" s="223">
        <f>I1707/D1701</f>
        <v>9.3699999999999992</v>
      </c>
      <c r="K1707" s="223">
        <v>12</v>
      </c>
    </row>
    <row r="1708" spans="1:11" ht="15.75" customHeight="1" x14ac:dyDescent="0.25">
      <c r="A1708" s="308"/>
      <c r="B1708" s="308"/>
      <c r="C1708" s="317"/>
      <c r="D1708" s="308"/>
      <c r="E1708" s="319"/>
      <c r="F1708" s="331"/>
      <c r="G1708" s="307" t="s">
        <v>78</v>
      </c>
      <c r="H1708" s="87" t="s">
        <v>67</v>
      </c>
      <c r="I1708" s="223">
        <v>250574.52</v>
      </c>
      <c r="J1708" s="223">
        <f>I1708/D1701</f>
        <v>195.12</v>
      </c>
      <c r="K1708" s="223">
        <v>485</v>
      </c>
    </row>
    <row r="1709" spans="1:11" ht="15.75" customHeight="1" x14ac:dyDescent="0.25">
      <c r="A1709" s="309"/>
      <c r="B1709" s="309"/>
      <c r="C1709" s="316"/>
      <c r="D1709" s="309"/>
      <c r="E1709" s="329"/>
      <c r="F1709" s="332"/>
      <c r="G1709" s="309"/>
      <c r="H1709" s="87" t="s">
        <v>69</v>
      </c>
      <c r="I1709" s="223">
        <f>I1708*0.0214</f>
        <v>5362.29</v>
      </c>
      <c r="J1709" s="223">
        <f>I1709/D1701</f>
        <v>4.18</v>
      </c>
      <c r="K1709" s="223">
        <v>21</v>
      </c>
    </row>
    <row r="1710" spans="1:11" x14ac:dyDescent="0.25">
      <c r="A1710" s="310">
        <f>A1701+1</f>
        <v>56</v>
      </c>
      <c r="B1710" s="310">
        <v>1307</v>
      </c>
      <c r="C1710" s="333" t="s">
        <v>134</v>
      </c>
      <c r="D1710" s="312">
        <v>4426.3</v>
      </c>
      <c r="E1710" s="312" t="s">
        <v>68</v>
      </c>
      <c r="F1710" s="313">
        <v>5</v>
      </c>
      <c r="G1710" s="310" t="s">
        <v>65</v>
      </c>
      <c r="H1710" s="87" t="s">
        <v>66</v>
      </c>
      <c r="I1710" s="223">
        <f>I1711+I1712</f>
        <v>7692101.6299999999</v>
      </c>
      <c r="J1710" s="223">
        <f>J1711+J1712</f>
        <v>1737.82</v>
      </c>
      <c r="K1710" s="223">
        <f>K1711+K1712</f>
        <v>3878</v>
      </c>
    </row>
    <row r="1711" spans="1:11" x14ac:dyDescent="0.25">
      <c r="A1711" s="310">
        <v>77</v>
      </c>
      <c r="B1711" s="310"/>
      <c r="C1711" s="333"/>
      <c r="D1711" s="310"/>
      <c r="E1711" s="312"/>
      <c r="F1711" s="313"/>
      <c r="G1711" s="310"/>
      <c r="H1711" s="87" t="s">
        <v>67</v>
      </c>
      <c r="I1711" s="223">
        <v>7530939.5199999996</v>
      </c>
      <c r="J1711" s="223">
        <f>I1711/D1710</f>
        <v>1701.41</v>
      </c>
      <c r="K1711" s="223">
        <v>3797</v>
      </c>
    </row>
    <row r="1712" spans="1:11" x14ac:dyDescent="0.25">
      <c r="A1712" s="310"/>
      <c r="B1712" s="310"/>
      <c r="C1712" s="333"/>
      <c r="D1712" s="310"/>
      <c r="E1712" s="312"/>
      <c r="F1712" s="313"/>
      <c r="G1712" s="310"/>
      <c r="H1712" s="87" t="s">
        <v>69</v>
      </c>
      <c r="I1712" s="223">
        <f>I1711*0.0214</f>
        <v>161162.10999999999</v>
      </c>
      <c r="J1712" s="223">
        <f>I1712/D1710</f>
        <v>36.409999999999997</v>
      </c>
      <c r="K1712" s="223">
        <v>81</v>
      </c>
    </row>
    <row r="1713" spans="1:11" x14ac:dyDescent="0.25">
      <c r="A1713" s="310">
        <f>A1710+1</f>
        <v>57</v>
      </c>
      <c r="B1713" s="310">
        <v>1582</v>
      </c>
      <c r="C1713" s="333" t="s">
        <v>137</v>
      </c>
      <c r="D1713" s="312">
        <v>4418.2</v>
      </c>
      <c r="E1713" s="312" t="s">
        <v>68</v>
      </c>
      <c r="F1713" s="313">
        <v>5</v>
      </c>
      <c r="G1713" s="310" t="s">
        <v>65</v>
      </c>
      <c r="H1713" s="87" t="s">
        <v>66</v>
      </c>
      <c r="I1713" s="223">
        <f>I1714+I1715</f>
        <v>12201956.779999999</v>
      </c>
      <c r="J1713" s="223">
        <f>J1714+J1715</f>
        <v>2761.75</v>
      </c>
      <c r="K1713" s="223">
        <f>K1714+K1715</f>
        <v>3878</v>
      </c>
    </row>
    <row r="1714" spans="1:11" x14ac:dyDescent="0.25">
      <c r="A1714" s="310">
        <v>76</v>
      </c>
      <c r="B1714" s="310"/>
      <c r="C1714" s="333"/>
      <c r="D1714" s="310"/>
      <c r="E1714" s="312"/>
      <c r="F1714" s="313"/>
      <c r="G1714" s="310"/>
      <c r="H1714" s="87" t="s">
        <v>67</v>
      </c>
      <c r="I1714" s="223">
        <v>11946305.84</v>
      </c>
      <c r="J1714" s="223">
        <f>I1714/D1713</f>
        <v>2703.89</v>
      </c>
      <c r="K1714" s="223">
        <v>3797</v>
      </c>
    </row>
    <row r="1715" spans="1:11" x14ac:dyDescent="0.25">
      <c r="A1715" s="310"/>
      <c r="B1715" s="310"/>
      <c r="C1715" s="333"/>
      <c r="D1715" s="310"/>
      <c r="E1715" s="312"/>
      <c r="F1715" s="313"/>
      <c r="G1715" s="310"/>
      <c r="H1715" s="87" t="s">
        <v>69</v>
      </c>
      <c r="I1715" s="223">
        <f>I1714*0.0214</f>
        <v>255650.94</v>
      </c>
      <c r="J1715" s="223">
        <f>I1715/D1713</f>
        <v>57.86</v>
      </c>
      <c r="K1715" s="223">
        <v>81</v>
      </c>
    </row>
    <row r="1716" spans="1:11" x14ac:dyDescent="0.25">
      <c r="A1716" s="310">
        <f>A1713+1</f>
        <v>58</v>
      </c>
      <c r="B1716" s="310">
        <v>1475</v>
      </c>
      <c r="C1716" s="333" t="s">
        <v>201</v>
      </c>
      <c r="D1716" s="312">
        <v>3125</v>
      </c>
      <c r="E1716" s="312" t="s">
        <v>68</v>
      </c>
      <c r="F1716" s="313">
        <v>5</v>
      </c>
      <c r="G1716" s="310" t="s">
        <v>65</v>
      </c>
      <c r="H1716" s="87" t="s">
        <v>66</v>
      </c>
      <c r="I1716" s="223">
        <f>I1717+I1718</f>
        <v>8409809.2200000007</v>
      </c>
      <c r="J1716" s="223">
        <f>J1717+J1718</f>
        <v>2691.14</v>
      </c>
      <c r="K1716" s="223">
        <f>K1717+K1718</f>
        <v>3878</v>
      </c>
    </row>
    <row r="1717" spans="1:11" x14ac:dyDescent="0.25">
      <c r="A1717" s="310">
        <v>77</v>
      </c>
      <c r="B1717" s="310"/>
      <c r="C1717" s="333"/>
      <c r="D1717" s="310"/>
      <c r="E1717" s="312"/>
      <c r="F1717" s="313"/>
      <c r="G1717" s="310"/>
      <c r="H1717" s="87" t="s">
        <v>67</v>
      </c>
      <c r="I1717" s="223">
        <v>8233609.9699999997</v>
      </c>
      <c r="J1717" s="223">
        <f>I1717/D1716</f>
        <v>2634.76</v>
      </c>
      <c r="K1717" s="223">
        <v>3797</v>
      </c>
    </row>
    <row r="1718" spans="1:11" x14ac:dyDescent="0.25">
      <c r="A1718" s="310"/>
      <c r="B1718" s="310"/>
      <c r="C1718" s="333"/>
      <c r="D1718" s="310"/>
      <c r="E1718" s="312"/>
      <c r="F1718" s="313"/>
      <c r="G1718" s="310"/>
      <c r="H1718" s="87" t="s">
        <v>69</v>
      </c>
      <c r="I1718" s="223">
        <f>I1717*0.0214</f>
        <v>176199.25</v>
      </c>
      <c r="J1718" s="223">
        <f>I1718/D1716</f>
        <v>56.38</v>
      </c>
      <c r="K1718" s="223">
        <v>81</v>
      </c>
    </row>
    <row r="1719" spans="1:11" x14ac:dyDescent="0.25">
      <c r="A1719" s="307">
        <f>A1716+1</f>
        <v>59</v>
      </c>
      <c r="B1719" s="307">
        <v>3340</v>
      </c>
      <c r="C1719" s="315" t="s">
        <v>372</v>
      </c>
      <c r="D1719" s="318">
        <v>6156.86</v>
      </c>
      <c r="E1719" s="318" t="s">
        <v>64</v>
      </c>
      <c r="F1719" s="330">
        <v>9</v>
      </c>
      <c r="G1719" s="121"/>
      <c r="H1719" s="87" t="s">
        <v>66</v>
      </c>
      <c r="I1719" s="223">
        <f>I1720+I1721+I1722+I1723+I1724+I1725</f>
        <v>4597789.51</v>
      </c>
      <c r="J1719" s="223">
        <f>J1720+J1721+J1722+J1723+J1724+J1725</f>
        <v>746.78</v>
      </c>
      <c r="K1719" s="223">
        <f>K1720+K1721+K1722+K1723+K1724+K1725</f>
        <v>1573</v>
      </c>
    </row>
    <row r="1720" spans="1:11" x14ac:dyDescent="0.25">
      <c r="A1720" s="308"/>
      <c r="B1720" s="308"/>
      <c r="C1720" s="317"/>
      <c r="D1720" s="308"/>
      <c r="E1720" s="319"/>
      <c r="F1720" s="331"/>
      <c r="G1720" s="307" t="s">
        <v>71</v>
      </c>
      <c r="H1720" s="87" t="s">
        <v>67</v>
      </c>
      <c r="I1720" s="223">
        <f>(812730+420)*1.02*1.2</f>
        <v>995295.6</v>
      </c>
      <c r="J1720" s="223">
        <f>I1720/D1719</f>
        <v>161.66</v>
      </c>
      <c r="K1720" s="223">
        <v>513</v>
      </c>
    </row>
    <row r="1721" spans="1:11" x14ac:dyDescent="0.25">
      <c r="A1721" s="308"/>
      <c r="B1721" s="308"/>
      <c r="C1721" s="317"/>
      <c r="D1721" s="308"/>
      <c r="E1721" s="319"/>
      <c r="F1721" s="331"/>
      <c r="G1721" s="309"/>
      <c r="H1721" s="87" t="s">
        <v>69</v>
      </c>
      <c r="I1721" s="223">
        <f>I1720*0.0214</f>
        <v>21299.33</v>
      </c>
      <c r="J1721" s="223">
        <f>I1721/D1719</f>
        <v>3.46</v>
      </c>
      <c r="K1721" s="223">
        <v>11</v>
      </c>
    </row>
    <row r="1722" spans="1:11" x14ac:dyDescent="0.25">
      <c r="A1722" s="308"/>
      <c r="B1722" s="308"/>
      <c r="C1722" s="317"/>
      <c r="D1722" s="308"/>
      <c r="E1722" s="319"/>
      <c r="F1722" s="331"/>
      <c r="G1722" s="307" t="s">
        <v>72</v>
      </c>
      <c r="H1722" s="87" t="s">
        <v>67</v>
      </c>
      <c r="I1722" s="223">
        <f>(1981958+420)*1.02*1.2</f>
        <v>2426430.67</v>
      </c>
      <c r="J1722" s="223">
        <f>I1722/D1719+0.01</f>
        <v>394.11</v>
      </c>
      <c r="K1722" s="223">
        <v>542</v>
      </c>
    </row>
    <row r="1723" spans="1:11" x14ac:dyDescent="0.25">
      <c r="A1723" s="308"/>
      <c r="B1723" s="308"/>
      <c r="C1723" s="317"/>
      <c r="D1723" s="308"/>
      <c r="E1723" s="319"/>
      <c r="F1723" s="331"/>
      <c r="G1723" s="309"/>
      <c r="H1723" s="87" t="s">
        <v>69</v>
      </c>
      <c r="I1723" s="223">
        <f>I1722*0.0214</f>
        <v>51925.62</v>
      </c>
      <c r="J1723" s="223">
        <f>I1723/D1719</f>
        <v>8.43</v>
      </c>
      <c r="K1723" s="223">
        <v>12</v>
      </c>
    </row>
    <row r="1724" spans="1:11" x14ac:dyDescent="0.25">
      <c r="A1724" s="308"/>
      <c r="B1724" s="308"/>
      <c r="C1724" s="317"/>
      <c r="D1724" s="308"/>
      <c r="E1724" s="319"/>
      <c r="F1724" s="331"/>
      <c r="G1724" s="307" t="s">
        <v>78</v>
      </c>
      <c r="H1724" s="87" t="s">
        <v>67</v>
      </c>
      <c r="I1724" s="223">
        <f>(881714+420)*1.02*1.2</f>
        <v>1079732.02</v>
      </c>
      <c r="J1724" s="223">
        <f>I1724/D1719</f>
        <v>175.37</v>
      </c>
      <c r="K1724" s="223">
        <v>485</v>
      </c>
    </row>
    <row r="1725" spans="1:11" x14ac:dyDescent="0.25">
      <c r="A1725" s="309"/>
      <c r="B1725" s="309"/>
      <c r="C1725" s="316"/>
      <c r="D1725" s="309"/>
      <c r="E1725" s="329"/>
      <c r="F1725" s="332"/>
      <c r="G1725" s="309"/>
      <c r="H1725" s="87" t="s">
        <v>69</v>
      </c>
      <c r="I1725" s="223">
        <f>I1724*0.0214</f>
        <v>23106.27</v>
      </c>
      <c r="J1725" s="223">
        <f>I1725/D1719</f>
        <v>3.75</v>
      </c>
      <c r="K1725" s="223">
        <v>10</v>
      </c>
    </row>
    <row r="1726" spans="1:11" ht="15.75" customHeight="1" x14ac:dyDescent="0.25">
      <c r="A1726" s="307">
        <f>A1719+1</f>
        <v>60</v>
      </c>
      <c r="B1726" s="307">
        <v>3345</v>
      </c>
      <c r="C1726" s="315" t="s">
        <v>584</v>
      </c>
      <c r="D1726" s="318">
        <v>4732.1899999999996</v>
      </c>
      <c r="E1726" s="307" t="s">
        <v>68</v>
      </c>
      <c r="F1726" s="307">
        <v>9</v>
      </c>
      <c r="G1726" s="145"/>
      <c r="H1726" s="87" t="s">
        <v>66</v>
      </c>
      <c r="I1726" s="223">
        <f>I1727+I1728</f>
        <v>2289618</v>
      </c>
      <c r="J1726" s="223">
        <f>J1727+J1728</f>
        <v>483.84</v>
      </c>
      <c r="K1726" s="223">
        <f>K1727+K1728</f>
        <v>483.84</v>
      </c>
    </row>
    <row r="1727" spans="1:11" ht="15.75" customHeight="1" x14ac:dyDescent="0.25">
      <c r="A1727" s="308"/>
      <c r="B1727" s="308"/>
      <c r="C1727" s="317"/>
      <c r="D1727" s="319"/>
      <c r="E1727" s="308"/>
      <c r="F1727" s="308"/>
      <c r="G1727" s="308" t="s">
        <v>170</v>
      </c>
      <c r="H1727" s="87" t="s">
        <v>171</v>
      </c>
      <c r="I1727" s="223">
        <v>2241647</v>
      </c>
      <c r="J1727" s="223">
        <f>I1727/D1726</f>
        <v>473.7</v>
      </c>
      <c r="K1727" s="223">
        <f>2241647/D1726</f>
        <v>473.7</v>
      </c>
    </row>
    <row r="1728" spans="1:11" ht="15.75" customHeight="1" x14ac:dyDescent="0.25">
      <c r="A1728" s="308"/>
      <c r="B1728" s="308"/>
      <c r="C1728" s="317"/>
      <c r="D1728" s="319"/>
      <c r="E1728" s="308"/>
      <c r="F1728" s="308"/>
      <c r="G1728" s="309"/>
      <c r="H1728" s="87" t="s">
        <v>69</v>
      </c>
      <c r="I1728" s="223">
        <v>47971</v>
      </c>
      <c r="J1728" s="223">
        <f>I1728/D1726</f>
        <v>10.14</v>
      </c>
      <c r="K1728" s="223">
        <f>47971/D1726</f>
        <v>10.14</v>
      </c>
    </row>
    <row r="1729" spans="1:11" ht="15.75" customHeight="1" x14ac:dyDescent="0.25">
      <c r="A1729" s="310">
        <f>A1726+1</f>
        <v>61</v>
      </c>
      <c r="B1729" s="310">
        <v>3130</v>
      </c>
      <c r="C1729" s="311" t="s">
        <v>742</v>
      </c>
      <c r="D1729" s="312">
        <v>3111.2</v>
      </c>
      <c r="E1729" s="312" t="s">
        <v>68</v>
      </c>
      <c r="F1729" s="313">
        <v>5</v>
      </c>
      <c r="G1729" s="310" t="s">
        <v>65</v>
      </c>
      <c r="H1729" s="87" t="s">
        <v>66</v>
      </c>
      <c r="I1729" s="223">
        <f>I1730</f>
        <v>525792.80000000005</v>
      </c>
      <c r="J1729" s="223">
        <f>J1730</f>
        <v>169</v>
      </c>
      <c r="K1729" s="223">
        <f>K1730</f>
        <v>169</v>
      </c>
    </row>
    <row r="1730" spans="1:11" ht="48" customHeight="1" x14ac:dyDescent="0.25">
      <c r="A1730" s="310">
        <v>77</v>
      </c>
      <c r="B1730" s="310"/>
      <c r="C1730" s="311"/>
      <c r="D1730" s="310"/>
      <c r="E1730" s="312"/>
      <c r="F1730" s="313"/>
      <c r="G1730" s="310"/>
      <c r="H1730" s="87" t="s">
        <v>178</v>
      </c>
      <c r="I1730" s="223">
        <f>D1729*K1730</f>
        <v>525792.80000000005</v>
      </c>
      <c r="J1730" s="223">
        <f>I1730/D1729</f>
        <v>169</v>
      </c>
      <c r="K1730" s="223">
        <f>151+18</f>
        <v>169</v>
      </c>
    </row>
    <row r="1731" spans="1:11" ht="15.75" customHeight="1" x14ac:dyDescent="0.25">
      <c r="A1731" s="310">
        <f>A1729+1</f>
        <v>62</v>
      </c>
      <c r="B1731" s="310">
        <v>3379</v>
      </c>
      <c r="C1731" s="333" t="s">
        <v>633</v>
      </c>
      <c r="D1731" s="312">
        <v>1879.46</v>
      </c>
      <c r="E1731" s="312" t="s">
        <v>73</v>
      </c>
      <c r="F1731" s="313">
        <v>3</v>
      </c>
      <c r="G1731" s="310" t="s">
        <v>65</v>
      </c>
      <c r="H1731" s="87" t="s">
        <v>66</v>
      </c>
      <c r="I1731" s="223">
        <f>I1732</f>
        <v>365133.05</v>
      </c>
      <c r="J1731" s="223">
        <f>J1732</f>
        <v>194.28</v>
      </c>
      <c r="K1731" s="223">
        <f>K1732</f>
        <v>252</v>
      </c>
    </row>
    <row r="1732" spans="1:11" ht="47.25" customHeight="1" x14ac:dyDescent="0.25">
      <c r="A1732" s="310"/>
      <c r="B1732" s="310"/>
      <c r="C1732" s="333"/>
      <c r="D1732" s="312"/>
      <c r="E1732" s="312"/>
      <c r="F1732" s="313"/>
      <c r="G1732" s="310"/>
      <c r="H1732" s="87" t="s">
        <v>178</v>
      </c>
      <c r="I1732" s="223">
        <v>365133.05</v>
      </c>
      <c r="J1732" s="223">
        <f>I1732/D1731</f>
        <v>194.28</v>
      </c>
      <c r="K1732" s="223">
        <f>164+88</f>
        <v>252</v>
      </c>
    </row>
    <row r="1733" spans="1:11" x14ac:dyDescent="0.25">
      <c r="A1733" s="310">
        <f>A1731+1</f>
        <v>63</v>
      </c>
      <c r="B1733" s="310">
        <v>4290</v>
      </c>
      <c r="C1733" s="333" t="s">
        <v>202</v>
      </c>
      <c r="D1733" s="312">
        <v>3374.1</v>
      </c>
      <c r="E1733" s="312" t="s">
        <v>68</v>
      </c>
      <c r="F1733" s="313">
        <v>9</v>
      </c>
      <c r="G1733" s="310" t="s">
        <v>65</v>
      </c>
      <c r="H1733" s="87" t="s">
        <v>66</v>
      </c>
      <c r="I1733" s="223">
        <f>I1734+I1735</f>
        <v>7180978.9699999997</v>
      </c>
      <c r="J1733" s="223">
        <f>J1734+J1735</f>
        <v>2128.27</v>
      </c>
      <c r="K1733" s="223">
        <f>K1734+K1735</f>
        <v>2492</v>
      </c>
    </row>
    <row r="1734" spans="1:11" x14ac:dyDescent="0.25">
      <c r="A1734" s="310">
        <v>77</v>
      </c>
      <c r="B1734" s="310"/>
      <c r="C1734" s="333"/>
      <c r="D1734" s="310"/>
      <c r="E1734" s="312"/>
      <c r="F1734" s="313"/>
      <c r="G1734" s="310"/>
      <c r="H1734" s="87" t="s">
        <v>67</v>
      </c>
      <c r="I1734" s="223">
        <v>7030525.7199999997</v>
      </c>
      <c r="J1734" s="223">
        <f>I1734/D1733+0.01</f>
        <v>2083.6799999999998</v>
      </c>
      <c r="K1734" s="223">
        <v>2440</v>
      </c>
    </row>
    <row r="1735" spans="1:11" x14ac:dyDescent="0.25">
      <c r="A1735" s="310"/>
      <c r="B1735" s="310"/>
      <c r="C1735" s="333"/>
      <c r="D1735" s="310"/>
      <c r="E1735" s="312"/>
      <c r="F1735" s="313"/>
      <c r="G1735" s="310"/>
      <c r="H1735" s="87" t="s">
        <v>69</v>
      </c>
      <c r="I1735" s="223">
        <f>I1734*0.0214</f>
        <v>150453.25</v>
      </c>
      <c r="J1735" s="223">
        <f>I1735/D1733</f>
        <v>44.59</v>
      </c>
      <c r="K1735" s="223">
        <v>52</v>
      </c>
    </row>
    <row r="1736" spans="1:11" x14ac:dyDescent="0.25">
      <c r="A1736" s="307">
        <f>A1733+1</f>
        <v>64</v>
      </c>
      <c r="B1736" s="307">
        <v>3304</v>
      </c>
      <c r="C1736" s="315" t="s">
        <v>249</v>
      </c>
      <c r="D1736" s="318">
        <v>4426.3999999999996</v>
      </c>
      <c r="E1736" s="307" t="s">
        <v>68</v>
      </c>
      <c r="F1736" s="307">
        <v>10</v>
      </c>
      <c r="G1736" s="307" t="s">
        <v>75</v>
      </c>
      <c r="H1736" s="87" t="s">
        <v>66</v>
      </c>
      <c r="I1736" s="223">
        <f>I1737+I1738+I1739+I1740+I1741+I1742+I1743+I1744</f>
        <v>31465445.16</v>
      </c>
      <c r="J1736" s="223">
        <f t="shared" ref="J1736:K1736" si="66">J1737+J1738+J1739+J1740+J1741+J1742+J1743+J1744</f>
        <v>7108.59</v>
      </c>
      <c r="K1736" s="223">
        <f t="shared" si="66"/>
        <v>8765.74</v>
      </c>
    </row>
    <row r="1737" spans="1:11" x14ac:dyDescent="0.25">
      <c r="A1737" s="308"/>
      <c r="B1737" s="308"/>
      <c r="C1737" s="317"/>
      <c r="D1737" s="319"/>
      <c r="E1737" s="308"/>
      <c r="F1737" s="308"/>
      <c r="G1737" s="308"/>
      <c r="H1737" s="87" t="s">
        <v>67</v>
      </c>
      <c r="I1737" s="223">
        <f>(5341243+36714.69)*1.02*1.2</f>
        <v>6582620.21</v>
      </c>
      <c r="J1737" s="223">
        <f>I1737/D1736</f>
        <v>1487.13</v>
      </c>
      <c r="K1737" s="223">
        <v>1733</v>
      </c>
    </row>
    <row r="1738" spans="1:11" x14ac:dyDescent="0.25">
      <c r="A1738" s="308"/>
      <c r="B1738" s="308"/>
      <c r="C1738" s="317"/>
      <c r="D1738" s="319"/>
      <c r="E1738" s="308"/>
      <c r="F1738" s="308"/>
      <c r="G1738" s="308"/>
      <c r="H1738" s="87" t="s">
        <v>69</v>
      </c>
      <c r="I1738" s="223">
        <f>I1737*0.0214</f>
        <v>140868.07</v>
      </c>
      <c r="J1738" s="223">
        <f>I1738/D1736</f>
        <v>31.82</v>
      </c>
      <c r="K1738" s="223">
        <v>37</v>
      </c>
    </row>
    <row r="1739" spans="1:11" x14ac:dyDescent="0.25">
      <c r="A1739" s="308"/>
      <c r="B1739" s="308"/>
      <c r="C1739" s="317"/>
      <c r="D1739" s="319"/>
      <c r="E1739" s="308"/>
      <c r="F1739" s="308"/>
      <c r="G1739" s="308"/>
      <c r="H1739" s="87" t="s">
        <v>179</v>
      </c>
      <c r="I1739" s="223">
        <v>20755262.739999998</v>
      </c>
      <c r="J1739" s="223">
        <f>I1739/D1736+0.01</f>
        <v>4688.9799999999996</v>
      </c>
      <c r="K1739" s="223">
        <v>5738</v>
      </c>
    </row>
    <row r="1740" spans="1:11" x14ac:dyDescent="0.25">
      <c r="A1740" s="308"/>
      <c r="B1740" s="308"/>
      <c r="C1740" s="317"/>
      <c r="D1740" s="319"/>
      <c r="E1740" s="308"/>
      <c r="F1740" s="308"/>
      <c r="G1740" s="309"/>
      <c r="H1740" s="87" t="s">
        <v>69</v>
      </c>
      <c r="I1740" s="223">
        <v>371817.6</v>
      </c>
      <c r="J1740" s="223">
        <f>I1740/D1736</f>
        <v>84</v>
      </c>
      <c r="K1740" s="223">
        <v>123</v>
      </c>
    </row>
    <row r="1741" spans="1:11" ht="15.75" customHeight="1" x14ac:dyDescent="0.25">
      <c r="A1741" s="308"/>
      <c r="B1741" s="308"/>
      <c r="C1741" s="317"/>
      <c r="D1741" s="319"/>
      <c r="E1741" s="308"/>
      <c r="F1741" s="308"/>
      <c r="G1741" s="307" t="s">
        <v>170</v>
      </c>
      <c r="H1741" s="87" t="s">
        <v>171</v>
      </c>
      <c r="I1741" s="223">
        <v>1791072.7</v>
      </c>
      <c r="J1741" s="223">
        <f>I1741/D1736</f>
        <v>404.63</v>
      </c>
      <c r="K1741" s="223">
        <f>2458756/D1736</f>
        <v>555.48</v>
      </c>
    </row>
    <row r="1742" spans="1:11" ht="15.75" customHeight="1" x14ac:dyDescent="0.25">
      <c r="A1742" s="308"/>
      <c r="B1742" s="308"/>
      <c r="C1742" s="317"/>
      <c r="D1742" s="319"/>
      <c r="E1742" s="308"/>
      <c r="F1742" s="308"/>
      <c r="G1742" s="309"/>
      <c r="H1742" s="87" t="s">
        <v>69</v>
      </c>
      <c r="I1742" s="223">
        <v>16365.57</v>
      </c>
      <c r="J1742" s="223">
        <f>I1742/D1736</f>
        <v>3.7</v>
      </c>
      <c r="K1742" s="223">
        <f>52617/D1736</f>
        <v>11.89</v>
      </c>
    </row>
    <row r="1743" spans="1:11" ht="15.75" customHeight="1" x14ac:dyDescent="0.25">
      <c r="A1743" s="308"/>
      <c r="B1743" s="308"/>
      <c r="C1743" s="317"/>
      <c r="D1743" s="319"/>
      <c r="E1743" s="308"/>
      <c r="F1743" s="308"/>
      <c r="G1743" s="307" t="s">
        <v>173</v>
      </c>
      <c r="H1743" s="87" t="s">
        <v>171</v>
      </c>
      <c r="I1743" s="223">
        <v>1791072.7</v>
      </c>
      <c r="J1743" s="223">
        <f>I1743/D1736</f>
        <v>404.63</v>
      </c>
      <c r="K1743" s="223">
        <f>2458756/D1736</f>
        <v>555.48</v>
      </c>
    </row>
    <row r="1744" spans="1:11" ht="15.75" customHeight="1" x14ac:dyDescent="0.25">
      <c r="A1744" s="309"/>
      <c r="B1744" s="309"/>
      <c r="C1744" s="316"/>
      <c r="D1744" s="329"/>
      <c r="E1744" s="309"/>
      <c r="F1744" s="309"/>
      <c r="G1744" s="309"/>
      <c r="H1744" s="87" t="s">
        <v>69</v>
      </c>
      <c r="I1744" s="223">
        <v>16365.57</v>
      </c>
      <c r="J1744" s="223">
        <f>I1744/D1736</f>
        <v>3.7</v>
      </c>
      <c r="K1744" s="223">
        <f>52617/D1736</f>
        <v>11.89</v>
      </c>
    </row>
    <row r="1745" spans="1:11" x14ac:dyDescent="0.25">
      <c r="A1745" s="310">
        <f>A1736+1</f>
        <v>65</v>
      </c>
      <c r="B1745" s="310">
        <v>3305</v>
      </c>
      <c r="C1745" s="333" t="s">
        <v>251</v>
      </c>
      <c r="D1745" s="312">
        <v>2891.1</v>
      </c>
      <c r="E1745" s="312" t="s">
        <v>64</v>
      </c>
      <c r="F1745" s="313">
        <v>5</v>
      </c>
      <c r="G1745" s="310" t="s">
        <v>65</v>
      </c>
      <c r="H1745" s="87" t="s">
        <v>66</v>
      </c>
      <c r="I1745" s="223">
        <f>I1746+I1747</f>
        <v>5698131.5700000003</v>
      </c>
      <c r="J1745" s="223">
        <f>J1746+J1747</f>
        <v>1970.92</v>
      </c>
      <c r="K1745" s="223">
        <f>K1746+K1747</f>
        <v>3878</v>
      </c>
    </row>
    <row r="1746" spans="1:11" x14ac:dyDescent="0.25">
      <c r="A1746" s="310">
        <v>77</v>
      </c>
      <c r="B1746" s="310"/>
      <c r="C1746" s="333"/>
      <c r="D1746" s="310"/>
      <c r="E1746" s="312"/>
      <c r="F1746" s="313"/>
      <c r="G1746" s="310"/>
      <c r="H1746" s="87" t="s">
        <v>67</v>
      </c>
      <c r="I1746" s="223">
        <f>7898713.01*0.7</f>
        <v>5529099.1100000003</v>
      </c>
      <c r="J1746" s="223">
        <f>I1746/D1745-0.01</f>
        <v>1912.45</v>
      </c>
      <c r="K1746" s="223">
        <v>3797</v>
      </c>
    </row>
    <row r="1747" spans="1:11" x14ac:dyDescent="0.25">
      <c r="A1747" s="310"/>
      <c r="B1747" s="310"/>
      <c r="C1747" s="333"/>
      <c r="D1747" s="310"/>
      <c r="E1747" s="312"/>
      <c r="F1747" s="313"/>
      <c r="G1747" s="310"/>
      <c r="H1747" s="87" t="s">
        <v>69</v>
      </c>
      <c r="I1747" s="223">
        <f>7898713.01*0.0214</f>
        <v>169032.46</v>
      </c>
      <c r="J1747" s="223">
        <f>I1747/D1745</f>
        <v>58.47</v>
      </c>
      <c r="K1747" s="223">
        <v>81</v>
      </c>
    </row>
    <row r="1748" spans="1:11" x14ac:dyDescent="0.25">
      <c r="A1748" s="310">
        <f>A1745+1</f>
        <v>66</v>
      </c>
      <c r="B1748" s="310">
        <v>3309</v>
      </c>
      <c r="C1748" s="333" t="s">
        <v>252</v>
      </c>
      <c r="D1748" s="312">
        <v>7883.8</v>
      </c>
      <c r="E1748" s="312" t="s">
        <v>68</v>
      </c>
      <c r="F1748" s="313">
        <v>9</v>
      </c>
      <c r="G1748" s="310" t="s">
        <v>70</v>
      </c>
      <c r="H1748" s="87" t="s">
        <v>66</v>
      </c>
      <c r="I1748" s="223">
        <f>I1749+I1750</f>
        <v>13472173.75</v>
      </c>
      <c r="J1748" s="223">
        <f>J1749+J1750</f>
        <v>1708.84</v>
      </c>
      <c r="K1748" s="223">
        <f>K1749+K1750</f>
        <v>2341</v>
      </c>
    </row>
    <row r="1749" spans="1:11" x14ac:dyDescent="0.25">
      <c r="A1749" s="310">
        <v>78</v>
      </c>
      <c r="B1749" s="310"/>
      <c r="C1749" s="333"/>
      <c r="D1749" s="310"/>
      <c r="E1749" s="312"/>
      <c r="F1749" s="313"/>
      <c r="G1749" s="310"/>
      <c r="H1749" s="87" t="s">
        <v>67</v>
      </c>
      <c r="I1749" s="223">
        <f>(10701.54+74.53)*1000*1.02*1.2</f>
        <v>13189909.68</v>
      </c>
      <c r="J1749" s="223">
        <f>I1749/D1748</f>
        <v>1673.04</v>
      </c>
      <c r="K1749" s="223">
        <v>2292</v>
      </c>
    </row>
    <row r="1750" spans="1:11" x14ac:dyDescent="0.25">
      <c r="A1750" s="310"/>
      <c r="B1750" s="310"/>
      <c r="C1750" s="333"/>
      <c r="D1750" s="310"/>
      <c r="E1750" s="312"/>
      <c r="F1750" s="313"/>
      <c r="G1750" s="310"/>
      <c r="H1750" s="87" t="s">
        <v>69</v>
      </c>
      <c r="I1750" s="223">
        <f>I1749*0.0214</f>
        <v>282264.07</v>
      </c>
      <c r="J1750" s="223">
        <f>I1750/D1748</f>
        <v>35.799999999999997</v>
      </c>
      <c r="K1750" s="223">
        <v>49</v>
      </c>
    </row>
    <row r="1751" spans="1:11" ht="15.75" customHeight="1" x14ac:dyDescent="0.25">
      <c r="A1751" s="310">
        <f>A1748+1</f>
        <v>67</v>
      </c>
      <c r="B1751" s="310">
        <v>3053</v>
      </c>
      <c r="C1751" s="311" t="s">
        <v>743</v>
      </c>
      <c r="D1751" s="312">
        <v>3625.88</v>
      </c>
      <c r="E1751" s="312" t="s">
        <v>64</v>
      </c>
      <c r="F1751" s="313">
        <v>5</v>
      </c>
      <c r="G1751" s="310" t="s">
        <v>65</v>
      </c>
      <c r="H1751" s="87" t="s">
        <v>66</v>
      </c>
      <c r="I1751" s="223">
        <f>I1752</f>
        <v>612773.72</v>
      </c>
      <c r="J1751" s="223">
        <f>J1752</f>
        <v>169</v>
      </c>
      <c r="K1751" s="223">
        <f>K1752</f>
        <v>169</v>
      </c>
    </row>
    <row r="1752" spans="1:11" ht="48" customHeight="1" x14ac:dyDescent="0.25">
      <c r="A1752" s="310">
        <v>77</v>
      </c>
      <c r="B1752" s="310"/>
      <c r="C1752" s="311"/>
      <c r="D1752" s="310"/>
      <c r="E1752" s="312"/>
      <c r="F1752" s="313"/>
      <c r="G1752" s="310"/>
      <c r="H1752" s="87" t="s">
        <v>178</v>
      </c>
      <c r="I1752" s="223">
        <f>D1751*K1752</f>
        <v>612773.72</v>
      </c>
      <c r="J1752" s="223">
        <f>I1752/D1751</f>
        <v>169</v>
      </c>
      <c r="K1752" s="223">
        <f>151+18</f>
        <v>169</v>
      </c>
    </row>
    <row r="1753" spans="1:11" ht="15.75" customHeight="1" x14ac:dyDescent="0.25">
      <c r="A1753" s="307">
        <f>A1751+1</f>
        <v>68</v>
      </c>
      <c r="B1753" s="307">
        <v>3877</v>
      </c>
      <c r="C1753" s="315" t="s">
        <v>585</v>
      </c>
      <c r="D1753" s="318">
        <v>14684.6</v>
      </c>
      <c r="E1753" s="307" t="s">
        <v>68</v>
      </c>
      <c r="F1753" s="307">
        <v>10</v>
      </c>
      <c r="G1753" s="145"/>
      <c r="H1753" s="87" t="s">
        <v>66</v>
      </c>
      <c r="I1753" s="223">
        <f>I1754+I1755+I1756+I1757</f>
        <v>3545551.14</v>
      </c>
      <c r="J1753" s="223">
        <f>J1754+J1755+J1756+J1757</f>
        <v>241.45</v>
      </c>
      <c r="K1753" s="223">
        <f>K1754+K1755+K1756+K1757</f>
        <v>342.04</v>
      </c>
    </row>
    <row r="1754" spans="1:11" ht="15.75" customHeight="1" x14ac:dyDescent="0.25">
      <c r="A1754" s="308"/>
      <c r="B1754" s="308"/>
      <c r="C1754" s="317"/>
      <c r="D1754" s="319"/>
      <c r="E1754" s="308"/>
      <c r="F1754" s="308"/>
      <c r="G1754" s="307" t="s">
        <v>172</v>
      </c>
      <c r="H1754" s="87" t="s">
        <v>171</v>
      </c>
      <c r="I1754" s="223">
        <v>1756410</v>
      </c>
      <c r="J1754" s="223">
        <f>I1754/D1753+0.01</f>
        <v>119.62</v>
      </c>
      <c r="K1754" s="223">
        <f>2458756/D1753</f>
        <v>167.44</v>
      </c>
    </row>
    <row r="1755" spans="1:11" ht="15.75" customHeight="1" x14ac:dyDescent="0.25">
      <c r="A1755" s="308"/>
      <c r="B1755" s="308"/>
      <c r="C1755" s="317"/>
      <c r="D1755" s="319"/>
      <c r="E1755" s="308"/>
      <c r="F1755" s="308"/>
      <c r="G1755" s="309"/>
      <c r="H1755" s="87" t="s">
        <v>69</v>
      </c>
      <c r="I1755" s="223">
        <v>16365.57</v>
      </c>
      <c r="J1755" s="223">
        <f>I1755/D1753</f>
        <v>1.1100000000000001</v>
      </c>
      <c r="K1755" s="223">
        <f>52617/D1753</f>
        <v>3.58</v>
      </c>
    </row>
    <row r="1756" spans="1:11" ht="15.75" customHeight="1" x14ac:dyDescent="0.25">
      <c r="A1756" s="308"/>
      <c r="B1756" s="308"/>
      <c r="C1756" s="317"/>
      <c r="D1756" s="319"/>
      <c r="E1756" s="308"/>
      <c r="F1756" s="308"/>
      <c r="G1756" s="307" t="s">
        <v>440</v>
      </c>
      <c r="H1756" s="87" t="s">
        <v>171</v>
      </c>
      <c r="I1756" s="223">
        <v>1756410</v>
      </c>
      <c r="J1756" s="223">
        <f>I1756/D1753</f>
        <v>119.61</v>
      </c>
      <c r="K1756" s="223">
        <f>2458756/D1753</f>
        <v>167.44</v>
      </c>
    </row>
    <row r="1757" spans="1:11" ht="15.75" customHeight="1" x14ac:dyDescent="0.25">
      <c r="A1757" s="308"/>
      <c r="B1757" s="308"/>
      <c r="C1757" s="317"/>
      <c r="D1757" s="319"/>
      <c r="E1757" s="308"/>
      <c r="F1757" s="308"/>
      <c r="G1757" s="309"/>
      <c r="H1757" s="87" t="s">
        <v>69</v>
      </c>
      <c r="I1757" s="223">
        <v>16365.57</v>
      </c>
      <c r="J1757" s="223">
        <f>I1757/D1753</f>
        <v>1.1100000000000001</v>
      </c>
      <c r="K1757" s="223">
        <f>52617/D1753</f>
        <v>3.58</v>
      </c>
    </row>
    <row r="1758" spans="1:11" ht="16.5" customHeight="1" x14ac:dyDescent="0.25">
      <c r="A1758" s="307">
        <f>A1753+1</f>
        <v>69</v>
      </c>
      <c r="B1758" s="307">
        <v>3081</v>
      </c>
      <c r="C1758" s="315" t="s">
        <v>634</v>
      </c>
      <c r="D1758" s="318">
        <v>12256.9</v>
      </c>
      <c r="E1758" s="307" t="s">
        <v>68</v>
      </c>
      <c r="F1758" s="307">
        <v>9</v>
      </c>
      <c r="G1758" s="145"/>
      <c r="H1758" s="87" t="s">
        <v>66</v>
      </c>
      <c r="I1758" s="223">
        <f>I1759+I1760+I1761</f>
        <v>96843</v>
      </c>
      <c r="J1758" s="223">
        <f>J1759+J1760+J1761</f>
        <v>7.9</v>
      </c>
      <c r="K1758" s="223">
        <f>K1759+K1760+K1761</f>
        <v>7.9</v>
      </c>
    </row>
    <row r="1759" spans="1:11" ht="47.25" customHeight="1" x14ac:dyDescent="0.25">
      <c r="A1759" s="308"/>
      <c r="B1759" s="308"/>
      <c r="C1759" s="317"/>
      <c r="D1759" s="319"/>
      <c r="E1759" s="308"/>
      <c r="F1759" s="308"/>
      <c r="G1759" s="148" t="s">
        <v>175</v>
      </c>
      <c r="H1759" s="87" t="s">
        <v>168</v>
      </c>
      <c r="I1759" s="223">
        <f>22681+9600</f>
        <v>32281</v>
      </c>
      <c r="J1759" s="223">
        <f>I1759/D1758</f>
        <v>2.63</v>
      </c>
      <c r="K1759" s="223">
        <f>32281/D1758</f>
        <v>2.63</v>
      </c>
    </row>
    <row r="1760" spans="1:11" ht="47.25" customHeight="1" x14ac:dyDescent="0.25">
      <c r="A1760" s="308"/>
      <c r="B1760" s="308"/>
      <c r="C1760" s="317"/>
      <c r="D1760" s="319"/>
      <c r="E1760" s="308"/>
      <c r="F1760" s="308"/>
      <c r="G1760" s="148" t="s">
        <v>172</v>
      </c>
      <c r="H1760" s="87" t="s">
        <v>168</v>
      </c>
      <c r="I1760" s="223">
        <f>22681+9600</f>
        <v>32281</v>
      </c>
      <c r="J1760" s="223">
        <f>I1760/D1758+0.01</f>
        <v>2.64</v>
      </c>
      <c r="K1760" s="223">
        <f>32281/D1758+0.01</f>
        <v>2.64</v>
      </c>
    </row>
    <row r="1761" spans="1:11" ht="47.25" customHeight="1" x14ac:dyDescent="0.25">
      <c r="A1761" s="308"/>
      <c r="B1761" s="308"/>
      <c r="C1761" s="317"/>
      <c r="D1761" s="319"/>
      <c r="E1761" s="308"/>
      <c r="F1761" s="308"/>
      <c r="G1761" s="148" t="s">
        <v>440</v>
      </c>
      <c r="H1761" s="87" t="s">
        <v>168</v>
      </c>
      <c r="I1761" s="223">
        <f>22681+9600</f>
        <v>32281</v>
      </c>
      <c r="J1761" s="223">
        <f>I1761/D1758</f>
        <v>2.63</v>
      </c>
      <c r="K1761" s="223">
        <f>32281/D1758</f>
        <v>2.63</v>
      </c>
    </row>
    <row r="1762" spans="1:11" ht="15.75" customHeight="1" x14ac:dyDescent="0.25">
      <c r="A1762" s="310">
        <f>A1758+1</f>
        <v>70</v>
      </c>
      <c r="B1762" s="310">
        <v>3162</v>
      </c>
      <c r="C1762" s="311" t="s">
        <v>744</v>
      </c>
      <c r="D1762" s="312">
        <v>2639.6</v>
      </c>
      <c r="E1762" s="312" t="s">
        <v>64</v>
      </c>
      <c r="F1762" s="313">
        <v>5</v>
      </c>
      <c r="G1762" s="310" t="s">
        <v>65</v>
      </c>
      <c r="H1762" s="87" t="s">
        <v>66</v>
      </c>
      <c r="I1762" s="223">
        <f>I1763</f>
        <v>446092.4</v>
      </c>
      <c r="J1762" s="223">
        <f>J1763</f>
        <v>169</v>
      </c>
      <c r="K1762" s="223">
        <f>K1763</f>
        <v>169</v>
      </c>
    </row>
    <row r="1763" spans="1:11" ht="48" customHeight="1" x14ac:dyDescent="0.25">
      <c r="A1763" s="310">
        <v>77</v>
      </c>
      <c r="B1763" s="310"/>
      <c r="C1763" s="311"/>
      <c r="D1763" s="310"/>
      <c r="E1763" s="312"/>
      <c r="F1763" s="313"/>
      <c r="G1763" s="310"/>
      <c r="H1763" s="87" t="s">
        <v>178</v>
      </c>
      <c r="I1763" s="223">
        <f>D1762*K1763</f>
        <v>446092.4</v>
      </c>
      <c r="J1763" s="223">
        <f>I1763/D1762</f>
        <v>169</v>
      </c>
      <c r="K1763" s="223">
        <f>151+18</f>
        <v>169</v>
      </c>
    </row>
    <row r="1764" spans="1:11" x14ac:dyDescent="0.25">
      <c r="A1764" s="310">
        <f>A1762+1</f>
        <v>71</v>
      </c>
      <c r="B1764" s="310">
        <v>3166</v>
      </c>
      <c r="C1764" s="333" t="s">
        <v>204</v>
      </c>
      <c r="D1764" s="312">
        <v>5017.7</v>
      </c>
      <c r="E1764" s="312" t="s">
        <v>68</v>
      </c>
      <c r="F1764" s="313">
        <v>9</v>
      </c>
      <c r="G1764" s="310" t="s">
        <v>65</v>
      </c>
      <c r="H1764" s="87" t="s">
        <v>66</v>
      </c>
      <c r="I1764" s="223">
        <f>I1765+I1766</f>
        <v>7677191.2400000002</v>
      </c>
      <c r="J1764" s="223">
        <f>J1765+J1766</f>
        <v>1530.02</v>
      </c>
      <c r="K1764" s="223">
        <f>K1765+K1766</f>
        <v>2492</v>
      </c>
    </row>
    <row r="1765" spans="1:11" x14ac:dyDescent="0.25">
      <c r="A1765" s="310">
        <v>77</v>
      </c>
      <c r="B1765" s="310"/>
      <c r="C1765" s="333"/>
      <c r="D1765" s="310"/>
      <c r="E1765" s="312"/>
      <c r="F1765" s="313"/>
      <c r="G1765" s="310"/>
      <c r="H1765" s="87" t="s">
        <v>67</v>
      </c>
      <c r="I1765" s="223">
        <v>7516341.5300000003</v>
      </c>
      <c r="J1765" s="223">
        <f>I1765/D1764-0.01</f>
        <v>1497.96</v>
      </c>
      <c r="K1765" s="223">
        <v>2440</v>
      </c>
    </row>
    <row r="1766" spans="1:11" x14ac:dyDescent="0.25">
      <c r="A1766" s="310"/>
      <c r="B1766" s="310"/>
      <c r="C1766" s="333"/>
      <c r="D1766" s="310"/>
      <c r="E1766" s="312"/>
      <c r="F1766" s="313"/>
      <c r="G1766" s="310"/>
      <c r="H1766" s="87" t="s">
        <v>69</v>
      </c>
      <c r="I1766" s="223">
        <f>I1765*0.0214</f>
        <v>160849.71</v>
      </c>
      <c r="J1766" s="223">
        <f>I1766/D1764</f>
        <v>32.06</v>
      </c>
      <c r="K1766" s="223">
        <v>52</v>
      </c>
    </row>
    <row r="1767" spans="1:11" ht="15.75" customHeight="1" x14ac:dyDescent="0.25">
      <c r="A1767" s="307">
        <f>A1764+1</f>
        <v>72</v>
      </c>
      <c r="B1767" s="307">
        <v>4374</v>
      </c>
      <c r="C1767" s="315" t="s">
        <v>635</v>
      </c>
      <c r="D1767" s="318">
        <v>6931.5</v>
      </c>
      <c r="E1767" s="307" t="s">
        <v>64</v>
      </c>
      <c r="F1767" s="307">
        <v>10</v>
      </c>
      <c r="G1767" s="145"/>
      <c r="H1767" s="87" t="s">
        <v>66</v>
      </c>
      <c r="I1767" s="223">
        <f>I1768+I1769+I1770</f>
        <v>96843</v>
      </c>
      <c r="J1767" s="223">
        <f>J1768+J1769+J1770</f>
        <v>13.97</v>
      </c>
      <c r="K1767" s="223">
        <f>K1768+K1769+K1770</f>
        <v>13.97</v>
      </c>
    </row>
    <row r="1768" spans="1:11" ht="47.25" customHeight="1" x14ac:dyDescent="0.25">
      <c r="A1768" s="308"/>
      <c r="B1768" s="308"/>
      <c r="C1768" s="317"/>
      <c r="D1768" s="319"/>
      <c r="E1768" s="308"/>
      <c r="F1768" s="308"/>
      <c r="G1768" s="148" t="s">
        <v>170</v>
      </c>
      <c r="H1768" s="87" t="s">
        <v>168</v>
      </c>
      <c r="I1768" s="223">
        <f>22681+9600</f>
        <v>32281</v>
      </c>
      <c r="J1768" s="223">
        <f>I1768/D1767</f>
        <v>4.66</v>
      </c>
      <c r="K1768" s="223">
        <f>32281/D1767</f>
        <v>4.66</v>
      </c>
    </row>
    <row r="1769" spans="1:11" ht="47.25" customHeight="1" x14ac:dyDescent="0.25">
      <c r="A1769" s="308"/>
      <c r="B1769" s="308"/>
      <c r="C1769" s="317"/>
      <c r="D1769" s="319"/>
      <c r="E1769" s="308"/>
      <c r="F1769" s="308"/>
      <c r="G1769" s="148" t="s">
        <v>173</v>
      </c>
      <c r="H1769" s="87" t="s">
        <v>168</v>
      </c>
      <c r="I1769" s="223">
        <f>22681+9600</f>
        <v>32281</v>
      </c>
      <c r="J1769" s="223">
        <f>I1769/D1767-0.01</f>
        <v>4.6500000000000004</v>
      </c>
      <c r="K1769" s="223">
        <f>32281/D1767-0.01</f>
        <v>4.6500000000000004</v>
      </c>
    </row>
    <row r="1770" spans="1:11" ht="47.25" customHeight="1" x14ac:dyDescent="0.25">
      <c r="A1770" s="308"/>
      <c r="B1770" s="308"/>
      <c r="C1770" s="317"/>
      <c r="D1770" s="319"/>
      <c r="E1770" s="308"/>
      <c r="F1770" s="308"/>
      <c r="G1770" s="148" t="s">
        <v>174</v>
      </c>
      <c r="H1770" s="87" t="s">
        <v>168</v>
      </c>
      <c r="I1770" s="223">
        <f>22681+9600</f>
        <v>32281</v>
      </c>
      <c r="J1770" s="223">
        <f>I1770/D1767</f>
        <v>4.66</v>
      </c>
      <c r="K1770" s="223">
        <f>32281/D1767</f>
        <v>4.66</v>
      </c>
    </row>
    <row r="1771" spans="1:11" ht="15.75" customHeight="1" x14ac:dyDescent="0.25">
      <c r="A1771" s="307">
        <f>A1767+1</f>
        <v>73</v>
      </c>
      <c r="B1771" s="307">
        <v>4061</v>
      </c>
      <c r="C1771" s="315" t="s">
        <v>587</v>
      </c>
      <c r="D1771" s="318">
        <v>7554</v>
      </c>
      <c r="E1771" s="307" t="s">
        <v>64</v>
      </c>
      <c r="F1771" s="307">
        <v>10</v>
      </c>
      <c r="G1771" s="145"/>
      <c r="H1771" s="87" t="s">
        <v>66</v>
      </c>
      <c r="I1771" s="223">
        <f>I1772+I1773+I1774+I1775+I1776+I1777+I1778+I1779</f>
        <v>9158472</v>
      </c>
      <c r="J1771" s="223">
        <f>J1772+J1773+J1774+J1775+J1776+J1777+J1778+J1779</f>
        <v>1212.4000000000001</v>
      </c>
      <c r="K1771" s="223">
        <f>K1772+K1773+K1774+K1775+K1776+K1777+K1778+K1779</f>
        <v>1212.4000000000001</v>
      </c>
    </row>
    <row r="1772" spans="1:11" ht="15.75" customHeight="1" x14ac:dyDescent="0.25">
      <c r="A1772" s="308"/>
      <c r="B1772" s="308"/>
      <c r="C1772" s="317"/>
      <c r="D1772" s="319"/>
      <c r="E1772" s="308"/>
      <c r="F1772" s="308"/>
      <c r="G1772" s="308" t="s">
        <v>170</v>
      </c>
      <c r="H1772" s="87" t="s">
        <v>171</v>
      </c>
      <c r="I1772" s="223">
        <v>2241647</v>
      </c>
      <c r="J1772" s="223">
        <f>I1772/D1771</f>
        <v>296.75</v>
      </c>
      <c r="K1772" s="223">
        <f>2241647/D1771</f>
        <v>296.75</v>
      </c>
    </row>
    <row r="1773" spans="1:11" ht="15.75" customHeight="1" x14ac:dyDescent="0.25">
      <c r="A1773" s="308"/>
      <c r="B1773" s="308"/>
      <c r="C1773" s="317"/>
      <c r="D1773" s="319"/>
      <c r="E1773" s="308"/>
      <c r="F1773" s="308"/>
      <c r="G1773" s="309"/>
      <c r="H1773" s="87" t="s">
        <v>69</v>
      </c>
      <c r="I1773" s="223">
        <v>47971</v>
      </c>
      <c r="J1773" s="223">
        <f>I1773/D1771</f>
        <v>6.35</v>
      </c>
      <c r="K1773" s="223">
        <f>47971/D1771</f>
        <v>6.35</v>
      </c>
    </row>
    <row r="1774" spans="1:11" ht="15.75" customHeight="1" x14ac:dyDescent="0.25">
      <c r="A1774" s="308"/>
      <c r="B1774" s="308"/>
      <c r="C1774" s="317"/>
      <c r="D1774" s="319"/>
      <c r="E1774" s="308"/>
      <c r="F1774" s="308"/>
      <c r="G1774" s="308" t="s">
        <v>173</v>
      </c>
      <c r="H1774" s="87" t="s">
        <v>171</v>
      </c>
      <c r="I1774" s="223">
        <v>2241647</v>
      </c>
      <c r="J1774" s="223">
        <f>I1774/D1771</f>
        <v>296.75</v>
      </c>
      <c r="K1774" s="223">
        <f>2241647/D1771</f>
        <v>296.75</v>
      </c>
    </row>
    <row r="1775" spans="1:11" ht="15.75" customHeight="1" x14ac:dyDescent="0.25">
      <c r="A1775" s="308"/>
      <c r="B1775" s="308"/>
      <c r="C1775" s="317"/>
      <c r="D1775" s="319"/>
      <c r="E1775" s="308"/>
      <c r="F1775" s="308"/>
      <c r="G1775" s="309"/>
      <c r="H1775" s="87" t="s">
        <v>69</v>
      </c>
      <c r="I1775" s="223">
        <v>47971</v>
      </c>
      <c r="J1775" s="223">
        <f>I1775/D1771</f>
        <v>6.35</v>
      </c>
      <c r="K1775" s="223">
        <f>47971/D1771</f>
        <v>6.35</v>
      </c>
    </row>
    <row r="1776" spans="1:11" ht="15.75" customHeight="1" x14ac:dyDescent="0.25">
      <c r="A1776" s="308"/>
      <c r="B1776" s="308"/>
      <c r="C1776" s="317"/>
      <c r="D1776" s="319"/>
      <c r="E1776" s="308"/>
      <c r="F1776" s="308"/>
      <c r="G1776" s="308" t="s">
        <v>174</v>
      </c>
      <c r="H1776" s="87" t="s">
        <v>171</v>
      </c>
      <c r="I1776" s="223">
        <v>2241647</v>
      </c>
      <c r="J1776" s="223">
        <f>I1776/D1771</f>
        <v>296.75</v>
      </c>
      <c r="K1776" s="223">
        <f>2241647/D1771</f>
        <v>296.75</v>
      </c>
    </row>
    <row r="1777" spans="1:11" ht="15.75" customHeight="1" x14ac:dyDescent="0.25">
      <c r="A1777" s="308"/>
      <c r="B1777" s="308"/>
      <c r="C1777" s="317"/>
      <c r="D1777" s="319"/>
      <c r="E1777" s="308"/>
      <c r="F1777" s="308"/>
      <c r="G1777" s="309"/>
      <c r="H1777" s="87" t="s">
        <v>69</v>
      </c>
      <c r="I1777" s="223">
        <v>47971</v>
      </c>
      <c r="J1777" s="223">
        <f>I1777/D1771</f>
        <v>6.35</v>
      </c>
      <c r="K1777" s="223">
        <f>47971/D1771</f>
        <v>6.35</v>
      </c>
    </row>
    <row r="1778" spans="1:11" ht="15.75" customHeight="1" x14ac:dyDescent="0.25">
      <c r="A1778" s="308"/>
      <c r="B1778" s="308"/>
      <c r="C1778" s="317"/>
      <c r="D1778" s="319"/>
      <c r="E1778" s="308"/>
      <c r="F1778" s="308"/>
      <c r="G1778" s="308" t="s">
        <v>175</v>
      </c>
      <c r="H1778" s="87" t="s">
        <v>171</v>
      </c>
      <c r="I1778" s="223">
        <v>2241647</v>
      </c>
      <c r="J1778" s="223">
        <f>I1778/D1771</f>
        <v>296.75</v>
      </c>
      <c r="K1778" s="223">
        <f>2241647/D1771</f>
        <v>296.75</v>
      </c>
    </row>
    <row r="1779" spans="1:11" ht="15.75" customHeight="1" x14ac:dyDescent="0.25">
      <c r="A1779" s="308"/>
      <c r="B1779" s="308"/>
      <c r="C1779" s="317"/>
      <c r="D1779" s="319"/>
      <c r="E1779" s="308"/>
      <c r="F1779" s="308"/>
      <c r="G1779" s="309"/>
      <c r="H1779" s="87" t="s">
        <v>69</v>
      </c>
      <c r="I1779" s="223">
        <v>47971</v>
      </c>
      <c r="J1779" s="223">
        <f>I1779/D1771</f>
        <v>6.35</v>
      </c>
      <c r="K1779" s="223">
        <f>47971/D1771</f>
        <v>6.35</v>
      </c>
    </row>
    <row r="1780" spans="1:11" x14ac:dyDescent="0.25">
      <c r="A1780" s="307">
        <f>A1771+1</f>
        <v>74</v>
      </c>
      <c r="B1780" s="307">
        <v>4240</v>
      </c>
      <c r="C1780" s="315" t="s">
        <v>205</v>
      </c>
      <c r="D1780" s="318">
        <v>16244.29</v>
      </c>
      <c r="E1780" s="318" t="s">
        <v>64</v>
      </c>
      <c r="F1780" s="330">
        <v>10</v>
      </c>
      <c r="G1780" s="121"/>
      <c r="H1780" s="87" t="s">
        <v>66</v>
      </c>
      <c r="I1780" s="223">
        <f>I1781+I1782+I1783+I1784+I1785+I1786+I1787+I1788+I1789+I1790+I1791+I1792</f>
        <v>32808511.550000001</v>
      </c>
      <c r="J1780" s="223">
        <f t="shared" ref="J1780:K1780" si="67">J1781+J1782+J1783+J1784+J1785+J1786+J1787+J1788+J1789+J1790+J1791+J1792</f>
        <v>2019.7</v>
      </c>
      <c r="K1780" s="223">
        <f t="shared" si="67"/>
        <v>3196.74</v>
      </c>
    </row>
    <row r="1781" spans="1:11" x14ac:dyDescent="0.25">
      <c r="A1781" s="308"/>
      <c r="B1781" s="308"/>
      <c r="C1781" s="317"/>
      <c r="D1781" s="319"/>
      <c r="E1781" s="319"/>
      <c r="F1781" s="331"/>
      <c r="G1781" s="307" t="s">
        <v>65</v>
      </c>
      <c r="H1781" s="87" t="s">
        <v>67</v>
      </c>
      <c r="I1781" s="223">
        <v>23791670.140000001</v>
      </c>
      <c r="J1781" s="223">
        <f>I1781/D1780</f>
        <v>1464.62</v>
      </c>
      <c r="K1781" s="223">
        <v>2440</v>
      </c>
    </row>
    <row r="1782" spans="1:11" x14ac:dyDescent="0.25">
      <c r="A1782" s="308"/>
      <c r="B1782" s="308"/>
      <c r="C1782" s="317"/>
      <c r="D1782" s="319"/>
      <c r="E1782" s="319"/>
      <c r="F1782" s="331"/>
      <c r="G1782" s="309"/>
      <c r="H1782" s="87" t="s">
        <v>69</v>
      </c>
      <c r="I1782" s="223">
        <v>509142.29</v>
      </c>
      <c r="J1782" s="223">
        <f>I1782/D1780</f>
        <v>31.34</v>
      </c>
      <c r="K1782" s="223">
        <v>52</v>
      </c>
    </row>
    <row r="1783" spans="1:11" x14ac:dyDescent="0.25">
      <c r="A1783" s="308"/>
      <c r="B1783" s="308"/>
      <c r="C1783" s="317"/>
      <c r="D1783" s="319"/>
      <c r="E1783" s="319"/>
      <c r="F1783" s="331"/>
      <c r="G1783" s="307" t="s">
        <v>174</v>
      </c>
      <c r="H1783" s="87" t="s">
        <v>171</v>
      </c>
      <c r="I1783" s="223">
        <v>1686619.31</v>
      </c>
      <c r="J1783" s="223">
        <f>I1783/D1780</f>
        <v>103.83</v>
      </c>
      <c r="K1783" s="223">
        <f>2241647/D1780</f>
        <v>138</v>
      </c>
    </row>
    <row r="1784" spans="1:11" x14ac:dyDescent="0.25">
      <c r="A1784" s="308"/>
      <c r="B1784" s="308"/>
      <c r="C1784" s="317"/>
      <c r="D1784" s="319"/>
      <c r="E1784" s="319"/>
      <c r="F1784" s="331"/>
      <c r="G1784" s="309"/>
      <c r="H1784" s="87" t="s">
        <v>69</v>
      </c>
      <c r="I1784" s="223">
        <v>14920.51</v>
      </c>
      <c r="J1784" s="223">
        <f>I1784/D1780</f>
        <v>0.92</v>
      </c>
      <c r="K1784" s="223">
        <f>47971/D1780</f>
        <v>2.95</v>
      </c>
    </row>
    <row r="1785" spans="1:11" x14ac:dyDescent="0.25">
      <c r="A1785" s="308"/>
      <c r="B1785" s="308"/>
      <c r="C1785" s="317"/>
      <c r="D1785" s="319"/>
      <c r="E1785" s="319"/>
      <c r="F1785" s="331"/>
      <c r="G1785" s="307" t="s">
        <v>175</v>
      </c>
      <c r="H1785" s="87" t="s">
        <v>171</v>
      </c>
      <c r="I1785" s="223">
        <v>1686619.31</v>
      </c>
      <c r="J1785" s="223">
        <f>I1785/D1780-0.01</f>
        <v>103.82</v>
      </c>
      <c r="K1785" s="223">
        <f>2241647/D1780-0.01</f>
        <v>137.99</v>
      </c>
    </row>
    <row r="1786" spans="1:11" x14ac:dyDescent="0.25">
      <c r="A1786" s="308"/>
      <c r="B1786" s="308"/>
      <c r="C1786" s="317"/>
      <c r="D1786" s="319"/>
      <c r="E1786" s="319"/>
      <c r="F1786" s="331"/>
      <c r="G1786" s="309"/>
      <c r="H1786" s="87" t="s">
        <v>69</v>
      </c>
      <c r="I1786" s="223">
        <v>14920.51</v>
      </c>
      <c r="J1786" s="223">
        <f>I1786/D1780</f>
        <v>0.92</v>
      </c>
      <c r="K1786" s="223">
        <f>47971/D1780</f>
        <v>2.95</v>
      </c>
    </row>
    <row r="1787" spans="1:11" x14ac:dyDescent="0.25">
      <c r="A1787" s="308"/>
      <c r="B1787" s="308"/>
      <c r="C1787" s="317"/>
      <c r="D1787" s="319"/>
      <c r="E1787" s="319"/>
      <c r="F1787" s="331"/>
      <c r="G1787" s="307" t="s">
        <v>172</v>
      </c>
      <c r="H1787" s="87" t="s">
        <v>171</v>
      </c>
      <c r="I1787" s="223">
        <v>1686619.31</v>
      </c>
      <c r="J1787" s="223">
        <f>I1787/D1780</f>
        <v>103.83</v>
      </c>
      <c r="K1787" s="223">
        <f>2241647/D1780</f>
        <v>138</v>
      </c>
    </row>
    <row r="1788" spans="1:11" x14ac:dyDescent="0.25">
      <c r="A1788" s="308"/>
      <c r="B1788" s="308"/>
      <c r="C1788" s="317"/>
      <c r="D1788" s="319"/>
      <c r="E1788" s="319"/>
      <c r="F1788" s="331"/>
      <c r="G1788" s="309"/>
      <c r="H1788" s="87" t="s">
        <v>69</v>
      </c>
      <c r="I1788" s="223">
        <v>14920.52</v>
      </c>
      <c r="J1788" s="223">
        <f>I1788/D1780</f>
        <v>0.92</v>
      </c>
      <c r="K1788" s="223">
        <f>47971/D1780</f>
        <v>2.95</v>
      </c>
    </row>
    <row r="1789" spans="1:11" x14ac:dyDescent="0.25">
      <c r="A1789" s="308"/>
      <c r="B1789" s="308"/>
      <c r="C1789" s="317"/>
      <c r="D1789" s="319"/>
      <c r="E1789" s="319"/>
      <c r="F1789" s="331"/>
      <c r="G1789" s="307" t="s">
        <v>440</v>
      </c>
      <c r="H1789" s="87" t="s">
        <v>171</v>
      </c>
      <c r="I1789" s="223">
        <v>1686619.31</v>
      </c>
      <c r="J1789" s="223">
        <f>I1789/D1780</f>
        <v>103.83</v>
      </c>
      <c r="K1789" s="223">
        <f>2241647/D1780</f>
        <v>138</v>
      </c>
    </row>
    <row r="1790" spans="1:11" x14ac:dyDescent="0.25">
      <c r="A1790" s="308"/>
      <c r="B1790" s="308"/>
      <c r="C1790" s="317"/>
      <c r="D1790" s="319"/>
      <c r="E1790" s="319"/>
      <c r="F1790" s="331"/>
      <c r="G1790" s="309"/>
      <c r="H1790" s="87" t="s">
        <v>69</v>
      </c>
      <c r="I1790" s="223">
        <v>14920.51</v>
      </c>
      <c r="J1790" s="223">
        <f>I1790/D1780</f>
        <v>0.92</v>
      </c>
      <c r="K1790" s="223">
        <f>47971/D1780</f>
        <v>2.95</v>
      </c>
    </row>
    <row r="1791" spans="1:11" x14ac:dyDescent="0.25">
      <c r="A1791" s="308"/>
      <c r="B1791" s="308"/>
      <c r="C1791" s="317"/>
      <c r="D1791" s="319"/>
      <c r="E1791" s="319"/>
      <c r="F1791" s="331"/>
      <c r="G1791" s="307" t="s">
        <v>449</v>
      </c>
      <c r="H1791" s="87" t="s">
        <v>171</v>
      </c>
      <c r="I1791" s="223">
        <v>1686619.31</v>
      </c>
      <c r="J1791" s="223">
        <f>I1791/D1780</f>
        <v>103.83</v>
      </c>
      <c r="K1791" s="223">
        <f>2241647/D1780</f>
        <v>138</v>
      </c>
    </row>
    <row r="1792" spans="1:11" x14ac:dyDescent="0.25">
      <c r="A1792" s="309"/>
      <c r="B1792" s="309"/>
      <c r="C1792" s="316"/>
      <c r="D1792" s="329"/>
      <c r="E1792" s="329"/>
      <c r="F1792" s="332"/>
      <c r="G1792" s="309"/>
      <c r="H1792" s="87" t="s">
        <v>69</v>
      </c>
      <c r="I1792" s="223">
        <v>14920.52</v>
      </c>
      <c r="J1792" s="223">
        <f>I1792/D1780</f>
        <v>0.92</v>
      </c>
      <c r="K1792" s="223">
        <f>47971/D1780</f>
        <v>2.95</v>
      </c>
    </row>
    <row r="1793" spans="1:11" x14ac:dyDescent="0.25">
      <c r="A1793" s="310">
        <f>A1780+1</f>
        <v>75</v>
      </c>
      <c r="B1793" s="310">
        <v>4334</v>
      </c>
      <c r="C1793" s="333" t="s">
        <v>206</v>
      </c>
      <c r="D1793" s="312">
        <v>8925.1</v>
      </c>
      <c r="E1793" s="312" t="s">
        <v>64</v>
      </c>
      <c r="F1793" s="313">
        <v>10</v>
      </c>
      <c r="G1793" s="310" t="s">
        <v>65</v>
      </c>
      <c r="H1793" s="87" t="s">
        <v>66</v>
      </c>
      <c r="I1793" s="223">
        <f>I1794+I1795</f>
        <v>14425451.369999999</v>
      </c>
      <c r="J1793" s="223">
        <f>J1794+J1795</f>
        <v>1616.28</v>
      </c>
      <c r="K1793" s="223">
        <f>K1794+K1795</f>
        <v>2492</v>
      </c>
    </row>
    <row r="1794" spans="1:11" x14ac:dyDescent="0.25">
      <c r="A1794" s="310">
        <v>77</v>
      </c>
      <c r="B1794" s="310"/>
      <c r="C1794" s="333"/>
      <c r="D1794" s="310"/>
      <c r="E1794" s="312"/>
      <c r="F1794" s="313"/>
      <c r="G1794" s="310"/>
      <c r="H1794" s="87" t="s">
        <v>67</v>
      </c>
      <c r="I1794" s="223">
        <f>(11248645+289929)*1.02*1.2</f>
        <v>14123214.58</v>
      </c>
      <c r="J1794" s="223">
        <f>I1794/D1793</f>
        <v>1582.42</v>
      </c>
      <c r="K1794" s="223">
        <v>2440</v>
      </c>
    </row>
    <row r="1795" spans="1:11" x14ac:dyDescent="0.25">
      <c r="A1795" s="310"/>
      <c r="B1795" s="310"/>
      <c r="C1795" s="333"/>
      <c r="D1795" s="310"/>
      <c r="E1795" s="312"/>
      <c r="F1795" s="313"/>
      <c r="G1795" s="310"/>
      <c r="H1795" s="87" t="s">
        <v>69</v>
      </c>
      <c r="I1795" s="223">
        <f>I1794*0.0214</f>
        <v>302236.78999999998</v>
      </c>
      <c r="J1795" s="223">
        <f>I1795/D1793</f>
        <v>33.86</v>
      </c>
      <c r="K1795" s="223">
        <v>52</v>
      </c>
    </row>
    <row r="1796" spans="1:11" ht="15.75" customHeight="1" x14ac:dyDescent="0.25">
      <c r="A1796" s="310">
        <f>A1793+1</f>
        <v>76</v>
      </c>
      <c r="B1796" s="310">
        <v>4093</v>
      </c>
      <c r="C1796" s="333" t="s">
        <v>483</v>
      </c>
      <c r="D1796" s="312">
        <v>18536.900000000001</v>
      </c>
      <c r="E1796" s="312" t="s">
        <v>64</v>
      </c>
      <c r="F1796" s="313">
        <v>10</v>
      </c>
      <c r="G1796" s="145"/>
      <c r="H1796" s="87" t="s">
        <v>66</v>
      </c>
      <c r="I1796" s="223">
        <f>I1797+I1798+I1799+I1800</f>
        <v>4461790.63</v>
      </c>
      <c r="J1796" s="223">
        <f>J1797+J1798+J1799+J1800</f>
        <v>240.7</v>
      </c>
      <c r="K1796" s="223">
        <f>K1797+K1798+K1799+K1800</f>
        <v>247.03</v>
      </c>
    </row>
    <row r="1797" spans="1:11" ht="15.75" customHeight="1" x14ac:dyDescent="0.25">
      <c r="A1797" s="310"/>
      <c r="B1797" s="310"/>
      <c r="C1797" s="333"/>
      <c r="D1797" s="312"/>
      <c r="E1797" s="312"/>
      <c r="F1797" s="313"/>
      <c r="G1797" s="307" t="s">
        <v>175</v>
      </c>
      <c r="H1797" s="87" t="s">
        <v>171</v>
      </c>
      <c r="I1797" s="223">
        <v>2215974.7999999998</v>
      </c>
      <c r="J1797" s="223">
        <f>I1797/D1796+0.01</f>
        <v>119.55</v>
      </c>
      <c r="K1797" s="223">
        <f>2241647/D1796-0.01</f>
        <v>120.92</v>
      </c>
    </row>
    <row r="1798" spans="1:11" ht="15.75" customHeight="1" x14ac:dyDescent="0.25">
      <c r="A1798" s="310"/>
      <c r="B1798" s="310"/>
      <c r="C1798" s="333"/>
      <c r="D1798" s="312"/>
      <c r="E1798" s="312"/>
      <c r="F1798" s="313"/>
      <c r="G1798" s="309"/>
      <c r="H1798" s="87" t="s">
        <v>69</v>
      </c>
      <c r="I1798" s="223">
        <v>14920.51</v>
      </c>
      <c r="J1798" s="223">
        <f>I1798/D1796</f>
        <v>0.8</v>
      </c>
      <c r="K1798" s="223">
        <f>47971/D1796</f>
        <v>2.59</v>
      </c>
    </row>
    <row r="1799" spans="1:11" ht="15.75" customHeight="1" x14ac:dyDescent="0.25">
      <c r="A1799" s="310"/>
      <c r="B1799" s="310"/>
      <c r="C1799" s="333"/>
      <c r="D1799" s="312"/>
      <c r="E1799" s="312"/>
      <c r="F1799" s="313"/>
      <c r="G1799" s="307" t="s">
        <v>172</v>
      </c>
      <c r="H1799" s="87" t="s">
        <v>171</v>
      </c>
      <c r="I1799" s="223">
        <v>2215974.7999999998</v>
      </c>
      <c r="J1799" s="223">
        <f>I1799/D1796+0.01</f>
        <v>119.55</v>
      </c>
      <c r="K1799" s="223">
        <f>2241647/D1796</f>
        <v>120.93</v>
      </c>
    </row>
    <row r="1800" spans="1:11" ht="15.75" customHeight="1" x14ac:dyDescent="0.25">
      <c r="A1800" s="310"/>
      <c r="B1800" s="310"/>
      <c r="C1800" s="333"/>
      <c r="D1800" s="312"/>
      <c r="E1800" s="312"/>
      <c r="F1800" s="313"/>
      <c r="G1800" s="309"/>
      <c r="H1800" s="87" t="s">
        <v>69</v>
      </c>
      <c r="I1800" s="223">
        <v>14920.52</v>
      </c>
      <c r="J1800" s="223">
        <f>I1800/D1796</f>
        <v>0.8</v>
      </c>
      <c r="K1800" s="223">
        <f>47971/D1796</f>
        <v>2.59</v>
      </c>
    </row>
    <row r="1801" spans="1:11" x14ac:dyDescent="0.25">
      <c r="A1801" s="310">
        <f>A1796+1</f>
        <v>77</v>
      </c>
      <c r="B1801" s="310">
        <v>3112</v>
      </c>
      <c r="C1801" s="333" t="s">
        <v>373</v>
      </c>
      <c r="D1801" s="312">
        <v>16849.099999999999</v>
      </c>
      <c r="E1801" s="312" t="s">
        <v>64</v>
      </c>
      <c r="F1801" s="313">
        <v>9</v>
      </c>
      <c r="G1801" s="310" t="s">
        <v>65</v>
      </c>
      <c r="H1801" s="87" t="s">
        <v>66</v>
      </c>
      <c r="I1801" s="223">
        <f>I1802</f>
        <v>1277782.8999999999</v>
      </c>
      <c r="J1801" s="223">
        <f>J1802</f>
        <v>75.84</v>
      </c>
      <c r="K1801" s="223">
        <f>K1802</f>
        <v>164</v>
      </c>
    </row>
    <row r="1802" spans="1:11" ht="63" x14ac:dyDescent="0.25">
      <c r="A1802" s="310"/>
      <c r="B1802" s="310"/>
      <c r="C1802" s="333"/>
      <c r="D1802" s="312"/>
      <c r="E1802" s="312"/>
      <c r="F1802" s="313"/>
      <c r="G1802" s="310"/>
      <c r="H1802" s="87" t="s">
        <v>168</v>
      </c>
      <c r="I1802" s="223">
        <f>1058744.6+219038.3</f>
        <v>1277782.8999999999</v>
      </c>
      <c r="J1802" s="223">
        <f>I1802/D1801</f>
        <v>75.84</v>
      </c>
      <c r="K1802" s="223">
        <f>151+13</f>
        <v>164</v>
      </c>
    </row>
    <row r="1803" spans="1:11" ht="15.75" customHeight="1" x14ac:dyDescent="0.25">
      <c r="A1803" s="310">
        <f>A1801+1</f>
        <v>78</v>
      </c>
      <c r="B1803" s="310">
        <v>3103</v>
      </c>
      <c r="C1803" s="333" t="s">
        <v>636</v>
      </c>
      <c r="D1803" s="312">
        <v>2533.89</v>
      </c>
      <c r="E1803" s="312" t="s">
        <v>68</v>
      </c>
      <c r="F1803" s="313">
        <v>4</v>
      </c>
      <c r="G1803" s="310" t="s">
        <v>74</v>
      </c>
      <c r="H1803" s="87" t="s">
        <v>66</v>
      </c>
      <c r="I1803" s="223">
        <f>I1804</f>
        <v>119092.83</v>
      </c>
      <c r="J1803" s="223">
        <f>J1804</f>
        <v>47</v>
      </c>
      <c r="K1803" s="223">
        <f>K1804</f>
        <v>47</v>
      </c>
    </row>
    <row r="1804" spans="1:11" ht="47.25" customHeight="1" x14ac:dyDescent="0.25">
      <c r="A1804" s="310"/>
      <c r="B1804" s="310"/>
      <c r="C1804" s="333"/>
      <c r="D1804" s="312"/>
      <c r="E1804" s="312"/>
      <c r="F1804" s="313"/>
      <c r="G1804" s="310"/>
      <c r="H1804" s="87" t="s">
        <v>168</v>
      </c>
      <c r="I1804" s="223">
        <f>D1803*K1804</f>
        <v>119092.83</v>
      </c>
      <c r="J1804" s="223">
        <f>I1804/D1803</f>
        <v>47</v>
      </c>
      <c r="K1804" s="223">
        <f>34+13</f>
        <v>47</v>
      </c>
    </row>
    <row r="1805" spans="1:11" x14ac:dyDescent="0.25">
      <c r="A1805" s="307">
        <f>A1803+1</f>
        <v>79</v>
      </c>
      <c r="B1805" s="307">
        <v>3105</v>
      </c>
      <c r="C1805" s="315" t="s">
        <v>208</v>
      </c>
      <c r="D1805" s="318">
        <v>11658.1</v>
      </c>
      <c r="E1805" s="318" t="s">
        <v>64</v>
      </c>
      <c r="F1805" s="330">
        <v>10</v>
      </c>
      <c r="G1805" s="310" t="s">
        <v>65</v>
      </c>
      <c r="H1805" s="87" t="s">
        <v>66</v>
      </c>
      <c r="I1805" s="223">
        <f>I1806+I1807+I1808+I1809+I1810+I1811+I1812</f>
        <v>14355919.6</v>
      </c>
      <c r="J1805" s="223">
        <f t="shared" ref="J1805:K1805" si="68">J1806+J1807+J1808+J1809+J1810+J1811+J1812</f>
        <v>1231.4100000000001</v>
      </c>
      <c r="K1805" s="223">
        <f t="shared" si="68"/>
        <v>2505.85</v>
      </c>
    </row>
    <row r="1806" spans="1:11" x14ac:dyDescent="0.25">
      <c r="A1806" s="308">
        <v>77</v>
      </c>
      <c r="B1806" s="308"/>
      <c r="C1806" s="317"/>
      <c r="D1806" s="319"/>
      <c r="E1806" s="319"/>
      <c r="F1806" s="331"/>
      <c r="G1806" s="310"/>
      <c r="H1806" s="87" t="s">
        <v>67</v>
      </c>
      <c r="I1806" s="223">
        <v>13897116.310000001</v>
      </c>
      <c r="J1806" s="223">
        <f>I1806/D1805-0.01</f>
        <v>1192.05</v>
      </c>
      <c r="K1806" s="223">
        <v>2440</v>
      </c>
    </row>
    <row r="1807" spans="1:11" x14ac:dyDescent="0.25">
      <c r="A1807" s="308"/>
      <c r="B1807" s="308"/>
      <c r="C1807" s="317"/>
      <c r="D1807" s="319"/>
      <c r="E1807" s="319"/>
      <c r="F1807" s="331"/>
      <c r="G1807" s="310"/>
      <c r="H1807" s="87" t="s">
        <v>69</v>
      </c>
      <c r="I1807" s="223">
        <f>I1806*0.0214</f>
        <v>297398.28999999998</v>
      </c>
      <c r="J1807" s="223">
        <f>I1807/D1805</f>
        <v>25.51</v>
      </c>
      <c r="K1807" s="223">
        <v>52</v>
      </c>
    </row>
    <row r="1808" spans="1:11" ht="47.25" customHeight="1" x14ac:dyDescent="0.25">
      <c r="A1808" s="308"/>
      <c r="B1808" s="308"/>
      <c r="C1808" s="317"/>
      <c r="D1808" s="319"/>
      <c r="E1808" s="319"/>
      <c r="F1808" s="331"/>
      <c r="G1808" s="148" t="s">
        <v>170</v>
      </c>
      <c r="H1808" s="87" t="s">
        <v>168</v>
      </c>
      <c r="I1808" s="223">
        <f>22681+9600</f>
        <v>32281</v>
      </c>
      <c r="J1808" s="223">
        <f>I1808/D1805</f>
        <v>2.77</v>
      </c>
      <c r="K1808" s="223">
        <f>32281/D1805</f>
        <v>2.77</v>
      </c>
    </row>
    <row r="1809" spans="1:11" ht="47.25" customHeight="1" x14ac:dyDescent="0.25">
      <c r="A1809" s="308"/>
      <c r="B1809" s="308"/>
      <c r="C1809" s="317"/>
      <c r="D1809" s="319"/>
      <c r="E1809" s="319"/>
      <c r="F1809" s="331"/>
      <c r="G1809" s="148" t="s">
        <v>173</v>
      </c>
      <c r="H1809" s="87" t="s">
        <v>168</v>
      </c>
      <c r="I1809" s="223">
        <f>22681+9600</f>
        <v>32281</v>
      </c>
      <c r="J1809" s="223">
        <f>I1809/D1805</f>
        <v>2.77</v>
      </c>
      <c r="K1809" s="223">
        <f>32281/D1805</f>
        <v>2.77</v>
      </c>
    </row>
    <row r="1810" spans="1:11" ht="47.25" customHeight="1" x14ac:dyDescent="0.25">
      <c r="A1810" s="308"/>
      <c r="B1810" s="308"/>
      <c r="C1810" s="317"/>
      <c r="D1810" s="319"/>
      <c r="E1810" s="319"/>
      <c r="F1810" s="331"/>
      <c r="G1810" s="148" t="s">
        <v>174</v>
      </c>
      <c r="H1810" s="87" t="s">
        <v>168</v>
      </c>
      <c r="I1810" s="223">
        <f>22681+9600</f>
        <v>32281</v>
      </c>
      <c r="J1810" s="223">
        <f>I1810/D1805</f>
        <v>2.77</v>
      </c>
      <c r="K1810" s="223">
        <f>32281/D1805</f>
        <v>2.77</v>
      </c>
    </row>
    <row r="1811" spans="1:11" ht="47.25" customHeight="1" x14ac:dyDescent="0.25">
      <c r="A1811" s="308"/>
      <c r="B1811" s="308"/>
      <c r="C1811" s="317"/>
      <c r="D1811" s="319"/>
      <c r="E1811" s="319"/>
      <c r="F1811" s="331"/>
      <c r="G1811" s="148" t="s">
        <v>175</v>
      </c>
      <c r="H1811" s="87" t="s">
        <v>168</v>
      </c>
      <c r="I1811" s="223">
        <f>22681+9600</f>
        <v>32281</v>
      </c>
      <c r="J1811" s="223">
        <f>I1811/D1805</f>
        <v>2.77</v>
      </c>
      <c r="K1811" s="223">
        <f>32281/D1805</f>
        <v>2.77</v>
      </c>
    </row>
    <row r="1812" spans="1:11" ht="47.25" customHeight="1" x14ac:dyDescent="0.25">
      <c r="A1812" s="308"/>
      <c r="B1812" s="308"/>
      <c r="C1812" s="317"/>
      <c r="D1812" s="319"/>
      <c r="E1812" s="319"/>
      <c r="F1812" s="331"/>
      <c r="G1812" s="148" t="s">
        <v>172</v>
      </c>
      <c r="H1812" s="87" t="s">
        <v>168</v>
      </c>
      <c r="I1812" s="223">
        <f>22681+9600</f>
        <v>32281</v>
      </c>
      <c r="J1812" s="223">
        <f>I1812/D1805</f>
        <v>2.77</v>
      </c>
      <c r="K1812" s="223">
        <f>32281/D1805</f>
        <v>2.77</v>
      </c>
    </row>
    <row r="1813" spans="1:11" ht="15.75" customHeight="1" x14ac:dyDescent="0.25">
      <c r="A1813" s="307">
        <f>A1805+1</f>
        <v>80</v>
      </c>
      <c r="B1813" s="307">
        <v>4261</v>
      </c>
      <c r="C1813" s="315" t="s">
        <v>588</v>
      </c>
      <c r="D1813" s="318">
        <v>3106.9</v>
      </c>
      <c r="E1813" s="307" t="s">
        <v>68</v>
      </c>
      <c r="F1813" s="307">
        <v>10</v>
      </c>
      <c r="G1813" s="145"/>
      <c r="H1813" s="87" t="s">
        <v>66</v>
      </c>
      <c r="I1813" s="223">
        <f>SUM(I1814:I1817)</f>
        <v>5022746</v>
      </c>
      <c r="J1813" s="223">
        <f t="shared" ref="J1813:K1813" si="69">SUM(J1814:J1817)</f>
        <v>1616.64</v>
      </c>
      <c r="K1813" s="223">
        <f t="shared" si="69"/>
        <v>1616.64</v>
      </c>
    </row>
    <row r="1814" spans="1:11" ht="15.75" customHeight="1" x14ac:dyDescent="0.25">
      <c r="A1814" s="308"/>
      <c r="B1814" s="308"/>
      <c r="C1814" s="317"/>
      <c r="D1814" s="319"/>
      <c r="E1814" s="308"/>
      <c r="F1814" s="308"/>
      <c r="G1814" s="308" t="s">
        <v>170</v>
      </c>
      <c r="H1814" s="87" t="s">
        <v>171</v>
      </c>
      <c r="I1814" s="223">
        <v>2458756</v>
      </c>
      <c r="J1814" s="223">
        <f>I1814/D1813-0.01</f>
        <v>791.38</v>
      </c>
      <c r="K1814" s="223">
        <f>2458756/D1813-0.01</f>
        <v>791.38</v>
      </c>
    </row>
    <row r="1815" spans="1:11" ht="15.75" customHeight="1" x14ac:dyDescent="0.25">
      <c r="A1815" s="308"/>
      <c r="B1815" s="308"/>
      <c r="C1815" s="317"/>
      <c r="D1815" s="319"/>
      <c r="E1815" s="308"/>
      <c r="F1815" s="308"/>
      <c r="G1815" s="309"/>
      <c r="H1815" s="87" t="s">
        <v>69</v>
      </c>
      <c r="I1815" s="223">
        <v>52617</v>
      </c>
      <c r="J1815" s="223">
        <f>I1815/D1813</f>
        <v>16.940000000000001</v>
      </c>
      <c r="K1815" s="223">
        <f>52617/D1813</f>
        <v>16.940000000000001</v>
      </c>
    </row>
    <row r="1816" spans="1:11" ht="15.75" customHeight="1" x14ac:dyDescent="0.25">
      <c r="A1816" s="308"/>
      <c r="B1816" s="308"/>
      <c r="C1816" s="317"/>
      <c r="D1816" s="319"/>
      <c r="E1816" s="308"/>
      <c r="F1816" s="308"/>
      <c r="G1816" s="308" t="s">
        <v>170</v>
      </c>
      <c r="H1816" s="87" t="s">
        <v>171</v>
      </c>
      <c r="I1816" s="223">
        <v>2458756</v>
      </c>
      <c r="J1816" s="223">
        <f>I1816/D1813-0.01</f>
        <v>791.38</v>
      </c>
      <c r="K1816" s="223">
        <f>2458756/D1813-0.01</f>
        <v>791.38</v>
      </c>
    </row>
    <row r="1817" spans="1:11" ht="15.75" customHeight="1" x14ac:dyDescent="0.25">
      <c r="A1817" s="308"/>
      <c r="B1817" s="308"/>
      <c r="C1817" s="317"/>
      <c r="D1817" s="319"/>
      <c r="E1817" s="308"/>
      <c r="F1817" s="308"/>
      <c r="G1817" s="309"/>
      <c r="H1817" s="87" t="s">
        <v>69</v>
      </c>
      <c r="I1817" s="223">
        <v>52617</v>
      </c>
      <c r="J1817" s="223">
        <f>I1817/D1813</f>
        <v>16.940000000000001</v>
      </c>
      <c r="K1817" s="223">
        <f>52617/D1813</f>
        <v>16.940000000000001</v>
      </c>
    </row>
    <row r="1818" spans="1:11" ht="15.75" customHeight="1" x14ac:dyDescent="0.25">
      <c r="A1818" s="307">
        <f>A1813+1</f>
        <v>81</v>
      </c>
      <c r="B1818" s="307">
        <v>4378</v>
      </c>
      <c r="C1818" s="315" t="s">
        <v>589</v>
      </c>
      <c r="D1818" s="318">
        <v>3900.4</v>
      </c>
      <c r="E1818" s="307" t="s">
        <v>68</v>
      </c>
      <c r="F1818" s="307">
        <v>10</v>
      </c>
      <c r="G1818" s="145"/>
      <c r="H1818" s="87" t="s">
        <v>66</v>
      </c>
      <c r="I1818" s="223">
        <f>I1819+I1820</f>
        <v>2398348.61</v>
      </c>
      <c r="J1818" s="223">
        <f>J1819+J1820</f>
        <v>614.9</v>
      </c>
      <c r="K1818" s="223">
        <f>K1819+K1820</f>
        <v>643.88</v>
      </c>
    </row>
    <row r="1819" spans="1:11" ht="15.75" customHeight="1" x14ac:dyDescent="0.25">
      <c r="A1819" s="308"/>
      <c r="B1819" s="308"/>
      <c r="C1819" s="317"/>
      <c r="D1819" s="319"/>
      <c r="E1819" s="308"/>
      <c r="F1819" s="308"/>
      <c r="G1819" s="308" t="s">
        <v>170</v>
      </c>
      <c r="H1819" s="87" t="s">
        <v>171</v>
      </c>
      <c r="I1819" s="223">
        <v>2348099.29</v>
      </c>
      <c r="J1819" s="223">
        <f>I1819/D1818+0.01</f>
        <v>602.02</v>
      </c>
      <c r="K1819" s="223">
        <f>2458756/D1818</f>
        <v>630.39</v>
      </c>
    </row>
    <row r="1820" spans="1:11" ht="15.75" customHeight="1" x14ac:dyDescent="0.25">
      <c r="A1820" s="308"/>
      <c r="B1820" s="308"/>
      <c r="C1820" s="317"/>
      <c r="D1820" s="319"/>
      <c r="E1820" s="308"/>
      <c r="F1820" s="308"/>
      <c r="G1820" s="309"/>
      <c r="H1820" s="87" t="s">
        <v>69</v>
      </c>
      <c r="I1820" s="223">
        <f>I1819*0.0214</f>
        <v>50249.32</v>
      </c>
      <c r="J1820" s="223">
        <f>I1820/D1818</f>
        <v>12.88</v>
      </c>
      <c r="K1820" s="223">
        <f>52617/D1818</f>
        <v>13.49</v>
      </c>
    </row>
    <row r="1821" spans="1:11" ht="15.75" customHeight="1" x14ac:dyDescent="0.25">
      <c r="A1821" s="307">
        <f>A1818+1</f>
        <v>82</v>
      </c>
      <c r="B1821" s="307">
        <v>4243</v>
      </c>
      <c r="C1821" s="315" t="s">
        <v>590</v>
      </c>
      <c r="D1821" s="318">
        <v>3950.38</v>
      </c>
      <c r="E1821" s="307" t="s">
        <v>68</v>
      </c>
      <c r="F1821" s="307">
        <v>9</v>
      </c>
      <c r="G1821" s="145"/>
      <c r="H1821" s="87" t="s">
        <v>66</v>
      </c>
      <c r="I1821" s="223">
        <f>I1822+I1823+I1824+I1825</f>
        <v>3458820.68</v>
      </c>
      <c r="J1821" s="223">
        <f>J1822+J1823+J1824+J1825</f>
        <v>875.57</v>
      </c>
      <c r="K1821" s="223">
        <f>K1822+K1823+K1824+K1825</f>
        <v>1159.19</v>
      </c>
    </row>
    <row r="1822" spans="1:11" ht="15.75" customHeight="1" x14ac:dyDescent="0.25">
      <c r="A1822" s="308"/>
      <c r="B1822" s="308"/>
      <c r="C1822" s="317"/>
      <c r="D1822" s="319"/>
      <c r="E1822" s="308"/>
      <c r="F1822" s="308"/>
      <c r="G1822" s="308" t="s">
        <v>170</v>
      </c>
      <c r="H1822" s="87" t="s">
        <v>171</v>
      </c>
      <c r="I1822" s="223">
        <v>1714859.06</v>
      </c>
      <c r="J1822" s="223">
        <f>I1822/D1821+0.01</f>
        <v>434.11</v>
      </c>
      <c r="K1822" s="223">
        <f>2241647/D1821+0.01</f>
        <v>567.46</v>
      </c>
    </row>
    <row r="1823" spans="1:11" ht="15.75" customHeight="1" x14ac:dyDescent="0.25">
      <c r="A1823" s="308"/>
      <c r="B1823" s="308"/>
      <c r="C1823" s="317"/>
      <c r="D1823" s="319"/>
      <c r="E1823" s="308"/>
      <c r="F1823" s="308"/>
      <c r="G1823" s="309"/>
      <c r="H1823" s="87" t="s">
        <v>69</v>
      </c>
      <c r="I1823" s="223">
        <v>14551.28</v>
      </c>
      <c r="J1823" s="223">
        <f>I1823/D1821</f>
        <v>3.68</v>
      </c>
      <c r="K1823" s="223">
        <f>47971/D1821</f>
        <v>12.14</v>
      </c>
    </row>
    <row r="1824" spans="1:11" ht="15.75" customHeight="1" x14ac:dyDescent="0.25">
      <c r="A1824" s="308"/>
      <c r="B1824" s="308"/>
      <c r="C1824" s="317"/>
      <c r="D1824" s="319"/>
      <c r="E1824" s="308"/>
      <c r="F1824" s="308"/>
      <c r="G1824" s="308" t="s">
        <v>173</v>
      </c>
      <c r="H1824" s="87" t="s">
        <v>171</v>
      </c>
      <c r="I1824" s="223">
        <v>1714859.06</v>
      </c>
      <c r="J1824" s="223">
        <f>I1824/D1821</f>
        <v>434.1</v>
      </c>
      <c r="K1824" s="223">
        <f>2241647/D1821</f>
        <v>567.45000000000005</v>
      </c>
    </row>
    <row r="1825" spans="1:11" ht="15.75" customHeight="1" x14ac:dyDescent="0.25">
      <c r="A1825" s="308"/>
      <c r="B1825" s="308"/>
      <c r="C1825" s="317"/>
      <c r="D1825" s="319"/>
      <c r="E1825" s="308"/>
      <c r="F1825" s="308"/>
      <c r="G1825" s="309"/>
      <c r="H1825" s="87" t="s">
        <v>69</v>
      </c>
      <c r="I1825" s="223">
        <v>14551.28</v>
      </c>
      <c r="J1825" s="223">
        <f>I1825/D1821</f>
        <v>3.68</v>
      </c>
      <c r="K1825" s="223">
        <f>47971/D1821</f>
        <v>12.14</v>
      </c>
    </row>
    <row r="1826" spans="1:11" ht="15.75" customHeight="1" x14ac:dyDescent="0.25">
      <c r="A1826" s="307">
        <f>A1821+1</f>
        <v>83</v>
      </c>
      <c r="B1826" s="307">
        <v>4379</v>
      </c>
      <c r="C1826" s="315" t="s">
        <v>591</v>
      </c>
      <c r="D1826" s="318">
        <v>3914.2</v>
      </c>
      <c r="E1826" s="307" t="s">
        <v>68</v>
      </c>
      <c r="F1826" s="307">
        <v>10</v>
      </c>
      <c r="G1826" s="145"/>
      <c r="H1826" s="87" t="s">
        <v>66</v>
      </c>
      <c r="I1826" s="223">
        <f>I1827+I1828</f>
        <v>2398781.58</v>
      </c>
      <c r="J1826" s="223">
        <f>J1827+J1828</f>
        <v>612.84</v>
      </c>
      <c r="K1826" s="223">
        <f>K1827+K1828</f>
        <v>641.6</v>
      </c>
    </row>
    <row r="1827" spans="1:11" ht="15.75" customHeight="1" x14ac:dyDescent="0.25">
      <c r="A1827" s="308"/>
      <c r="B1827" s="308"/>
      <c r="C1827" s="317"/>
      <c r="D1827" s="319"/>
      <c r="E1827" s="308"/>
      <c r="F1827" s="308"/>
      <c r="G1827" s="308" t="s">
        <v>170</v>
      </c>
      <c r="H1827" s="87" t="s">
        <v>171</v>
      </c>
      <c r="I1827" s="223">
        <v>2348523.1800000002</v>
      </c>
      <c r="J1827" s="223">
        <f>I1827/D1826</f>
        <v>600</v>
      </c>
      <c r="K1827" s="223">
        <f>2458756/D1826</f>
        <v>628.16</v>
      </c>
    </row>
    <row r="1828" spans="1:11" ht="15.75" customHeight="1" x14ac:dyDescent="0.25">
      <c r="A1828" s="308"/>
      <c r="B1828" s="308"/>
      <c r="C1828" s="317"/>
      <c r="D1828" s="319"/>
      <c r="E1828" s="308"/>
      <c r="F1828" s="308"/>
      <c r="G1828" s="309"/>
      <c r="H1828" s="87" t="s">
        <v>69</v>
      </c>
      <c r="I1828" s="223">
        <f>I1827*0.0214</f>
        <v>50258.400000000001</v>
      </c>
      <c r="J1828" s="223">
        <f>I1828/D1826</f>
        <v>12.84</v>
      </c>
      <c r="K1828" s="223">
        <f>52617/D1826</f>
        <v>13.44</v>
      </c>
    </row>
    <row r="1829" spans="1:11" x14ac:dyDescent="0.25">
      <c r="A1829" s="310">
        <f>A1826+1</f>
        <v>84</v>
      </c>
      <c r="B1829" s="310">
        <v>3131</v>
      </c>
      <c r="C1829" s="333" t="s">
        <v>209</v>
      </c>
      <c r="D1829" s="312">
        <v>12715.9</v>
      </c>
      <c r="E1829" s="312" t="s">
        <v>64</v>
      </c>
      <c r="F1829" s="313">
        <v>10</v>
      </c>
      <c r="G1829" s="310" t="s">
        <v>70</v>
      </c>
      <c r="H1829" s="87" t="s">
        <v>66</v>
      </c>
      <c r="I1829" s="223">
        <f>I1830+I1831</f>
        <v>20701485.199999999</v>
      </c>
      <c r="J1829" s="223">
        <f>J1830+J1831</f>
        <v>1628</v>
      </c>
      <c r="K1829" s="223">
        <f>K1830+K1831</f>
        <v>1628</v>
      </c>
    </row>
    <row r="1830" spans="1:11" x14ac:dyDescent="0.25">
      <c r="A1830" s="310">
        <v>75</v>
      </c>
      <c r="B1830" s="310"/>
      <c r="C1830" s="333"/>
      <c r="D1830" s="312"/>
      <c r="E1830" s="312"/>
      <c r="F1830" s="313"/>
      <c r="G1830" s="310"/>
      <c r="H1830" s="87" t="s">
        <v>67</v>
      </c>
      <c r="I1830" s="223">
        <f>D1829*K1830</f>
        <v>20269144.600000001</v>
      </c>
      <c r="J1830" s="223">
        <f>I1830/D1829</f>
        <v>1594</v>
      </c>
      <c r="K1830" s="223">
        <v>1594</v>
      </c>
    </row>
    <row r="1831" spans="1:11" x14ac:dyDescent="0.25">
      <c r="A1831" s="310"/>
      <c r="B1831" s="310"/>
      <c r="C1831" s="333"/>
      <c r="D1831" s="312"/>
      <c r="E1831" s="312"/>
      <c r="F1831" s="313"/>
      <c r="G1831" s="310"/>
      <c r="H1831" s="87" t="s">
        <v>69</v>
      </c>
      <c r="I1831" s="223">
        <f>D1829*K1831</f>
        <v>432340.6</v>
      </c>
      <c r="J1831" s="223">
        <f>I1831/D1829</f>
        <v>34</v>
      </c>
      <c r="K1831" s="223">
        <v>34</v>
      </c>
    </row>
    <row r="1832" spans="1:11" x14ac:dyDescent="0.25">
      <c r="A1832" s="310">
        <f>A1829+1</f>
        <v>85</v>
      </c>
      <c r="B1832" s="310">
        <v>4343</v>
      </c>
      <c r="C1832" s="333" t="s">
        <v>210</v>
      </c>
      <c r="D1832" s="312">
        <v>2708.3</v>
      </c>
      <c r="E1832" s="312" t="s">
        <v>64</v>
      </c>
      <c r="F1832" s="313">
        <v>5</v>
      </c>
      <c r="G1832" s="310" t="s">
        <v>65</v>
      </c>
      <c r="H1832" s="87" t="s">
        <v>66</v>
      </c>
      <c r="I1832" s="223">
        <f>I1833+I1834</f>
        <v>5682203.7000000002</v>
      </c>
      <c r="J1832" s="223">
        <f>J1833+J1834</f>
        <v>2098.0700000000002</v>
      </c>
      <c r="K1832" s="223">
        <f>K1833+K1834</f>
        <v>3749</v>
      </c>
    </row>
    <row r="1833" spans="1:11" ht="31.5" x14ac:dyDescent="0.25">
      <c r="A1833" s="310">
        <v>78</v>
      </c>
      <c r="B1833" s="310"/>
      <c r="C1833" s="333"/>
      <c r="D1833" s="310"/>
      <c r="E1833" s="312"/>
      <c r="F1833" s="313"/>
      <c r="G1833" s="310"/>
      <c r="H1833" s="87" t="s">
        <v>76</v>
      </c>
      <c r="I1833" s="223">
        <f>7876633.9*0.7</f>
        <v>5513643.7300000004</v>
      </c>
      <c r="J1833" s="223">
        <f>I1833/D1832</f>
        <v>2035.83</v>
      </c>
      <c r="K1833" s="223">
        <v>3670</v>
      </c>
    </row>
    <row r="1834" spans="1:11" x14ac:dyDescent="0.25">
      <c r="A1834" s="310"/>
      <c r="B1834" s="310"/>
      <c r="C1834" s="333"/>
      <c r="D1834" s="310"/>
      <c r="E1834" s="312"/>
      <c r="F1834" s="313"/>
      <c r="G1834" s="310"/>
      <c r="H1834" s="87" t="s">
        <v>69</v>
      </c>
      <c r="I1834" s="223">
        <f>7876633.9*0.0214</f>
        <v>168559.97</v>
      </c>
      <c r="J1834" s="223">
        <f>I1834/D1832</f>
        <v>62.24</v>
      </c>
      <c r="K1834" s="223">
        <v>79</v>
      </c>
    </row>
    <row r="1835" spans="1:11" ht="15.75" customHeight="1" x14ac:dyDescent="0.25">
      <c r="A1835" s="310">
        <f>A1832+1</f>
        <v>86</v>
      </c>
      <c r="B1835" s="310">
        <v>3317</v>
      </c>
      <c r="C1835" s="311" t="s">
        <v>745</v>
      </c>
      <c r="D1835" s="312">
        <v>3508.25</v>
      </c>
      <c r="E1835" s="312" t="s">
        <v>64</v>
      </c>
      <c r="F1835" s="313">
        <v>5</v>
      </c>
      <c r="G1835" s="310" t="s">
        <v>65</v>
      </c>
      <c r="H1835" s="87" t="s">
        <v>66</v>
      </c>
      <c r="I1835" s="223">
        <f>I1836</f>
        <v>631485</v>
      </c>
      <c r="J1835" s="223">
        <f>J1836</f>
        <v>180</v>
      </c>
      <c r="K1835" s="223">
        <f>K1836</f>
        <v>180</v>
      </c>
    </row>
    <row r="1836" spans="1:11" ht="75.75" customHeight="1" x14ac:dyDescent="0.25">
      <c r="A1836" s="310">
        <v>77</v>
      </c>
      <c r="B1836" s="310"/>
      <c r="C1836" s="311"/>
      <c r="D1836" s="310"/>
      <c r="E1836" s="312"/>
      <c r="F1836" s="313"/>
      <c r="G1836" s="310"/>
      <c r="H1836" s="87" t="s">
        <v>685</v>
      </c>
      <c r="I1836" s="223">
        <f>D1835*K1836</f>
        <v>631485</v>
      </c>
      <c r="J1836" s="223">
        <f>I1836/D1835</f>
        <v>180</v>
      </c>
      <c r="K1836" s="223">
        <f>147+33</f>
        <v>180</v>
      </c>
    </row>
    <row r="1837" spans="1:11" ht="15.75" customHeight="1" x14ac:dyDescent="0.25">
      <c r="A1837" s="307">
        <f>A1835+1</f>
        <v>87</v>
      </c>
      <c r="B1837" s="307">
        <v>3172</v>
      </c>
      <c r="C1837" s="315" t="s">
        <v>592</v>
      </c>
      <c r="D1837" s="318">
        <v>9843.1</v>
      </c>
      <c r="E1837" s="307" t="s">
        <v>68</v>
      </c>
      <c r="F1837" s="307">
        <v>10</v>
      </c>
      <c r="G1837" s="145"/>
      <c r="H1837" s="87" t="s">
        <v>66</v>
      </c>
      <c r="I1837" s="223">
        <f>I1838+I1839+I1840+I1841</f>
        <v>3641266.1</v>
      </c>
      <c r="J1837" s="223">
        <f>J1838+J1839+J1840+J1841</f>
        <v>369.93</v>
      </c>
      <c r="K1837" s="223">
        <f>K1838+K1839+K1840+K1841</f>
        <v>510.28</v>
      </c>
    </row>
    <row r="1838" spans="1:11" ht="15.75" customHeight="1" x14ac:dyDescent="0.25">
      <c r="A1838" s="308"/>
      <c r="B1838" s="308"/>
      <c r="C1838" s="317"/>
      <c r="D1838" s="319"/>
      <c r="E1838" s="308"/>
      <c r="F1838" s="308"/>
      <c r="G1838" s="307" t="s">
        <v>170</v>
      </c>
      <c r="H1838" s="87" t="s">
        <v>171</v>
      </c>
      <c r="I1838" s="223">
        <v>1804267.47</v>
      </c>
      <c r="J1838" s="223">
        <f>I1838/D1837+0.01</f>
        <v>183.31</v>
      </c>
      <c r="K1838" s="223">
        <f>2458756/D1837</f>
        <v>249.79</v>
      </c>
    </row>
    <row r="1839" spans="1:11" ht="15.75" customHeight="1" x14ac:dyDescent="0.25">
      <c r="A1839" s="308"/>
      <c r="B1839" s="308"/>
      <c r="C1839" s="317"/>
      <c r="D1839" s="319"/>
      <c r="E1839" s="308"/>
      <c r="F1839" s="308"/>
      <c r="G1839" s="309"/>
      <c r="H1839" s="87" t="s">
        <v>69</v>
      </c>
      <c r="I1839" s="223">
        <v>16365.57</v>
      </c>
      <c r="J1839" s="223">
        <f>I1839/D1837</f>
        <v>1.66</v>
      </c>
      <c r="K1839" s="223">
        <f>52617/D1837</f>
        <v>5.35</v>
      </c>
    </row>
    <row r="1840" spans="1:11" ht="15.75" customHeight="1" x14ac:dyDescent="0.25">
      <c r="A1840" s="308"/>
      <c r="B1840" s="308"/>
      <c r="C1840" s="317"/>
      <c r="D1840" s="319"/>
      <c r="E1840" s="308"/>
      <c r="F1840" s="308"/>
      <c r="G1840" s="307" t="s">
        <v>173</v>
      </c>
      <c r="H1840" s="87" t="s">
        <v>171</v>
      </c>
      <c r="I1840" s="223">
        <v>1804267.49</v>
      </c>
      <c r="J1840" s="223">
        <f>I1840/D1837</f>
        <v>183.3</v>
      </c>
      <c r="K1840" s="223">
        <f>2458756/D1837</f>
        <v>249.79</v>
      </c>
    </row>
    <row r="1841" spans="1:11" ht="15.75" customHeight="1" x14ac:dyDescent="0.25">
      <c r="A1841" s="308"/>
      <c r="B1841" s="308"/>
      <c r="C1841" s="317"/>
      <c r="D1841" s="319"/>
      <c r="E1841" s="308"/>
      <c r="F1841" s="308"/>
      <c r="G1841" s="309"/>
      <c r="H1841" s="87" t="s">
        <v>69</v>
      </c>
      <c r="I1841" s="223">
        <v>16365.57</v>
      </c>
      <c r="J1841" s="223">
        <f>I1841/D1837</f>
        <v>1.66</v>
      </c>
      <c r="K1841" s="223">
        <f>52617/D1837</f>
        <v>5.35</v>
      </c>
    </row>
    <row r="1842" spans="1:11" x14ac:dyDescent="0.25">
      <c r="A1842" s="310">
        <f>A1837+1</f>
        <v>88</v>
      </c>
      <c r="B1842" s="310">
        <v>4360</v>
      </c>
      <c r="C1842" s="333" t="s">
        <v>211</v>
      </c>
      <c r="D1842" s="312">
        <v>11758.85</v>
      </c>
      <c r="E1842" s="312" t="s">
        <v>64</v>
      </c>
      <c r="F1842" s="313">
        <v>10</v>
      </c>
      <c r="G1842" s="310" t="s">
        <v>65</v>
      </c>
      <c r="H1842" s="87" t="s">
        <v>66</v>
      </c>
      <c r="I1842" s="223">
        <f>I1843+I1844</f>
        <v>24353354.449999999</v>
      </c>
      <c r="J1842" s="223">
        <f>J1843+J1844</f>
        <v>2071.0700000000002</v>
      </c>
      <c r="K1842" s="223">
        <f>K1843+K1844</f>
        <v>2492</v>
      </c>
    </row>
    <row r="1843" spans="1:11" x14ac:dyDescent="0.25">
      <c r="A1843" s="310">
        <v>77</v>
      </c>
      <c r="B1843" s="310"/>
      <c r="C1843" s="333"/>
      <c r="D1843" s="310"/>
      <c r="E1843" s="312"/>
      <c r="F1843" s="313"/>
      <c r="G1843" s="310"/>
      <c r="H1843" s="87" t="s">
        <v>67</v>
      </c>
      <c r="I1843" s="223">
        <f>(18977919+501747.55)*1.02*1.2</f>
        <v>23843111.859999999</v>
      </c>
      <c r="J1843" s="223">
        <f>I1843/D1842+0.01</f>
        <v>2027.68</v>
      </c>
      <c r="K1843" s="223">
        <v>2440</v>
      </c>
    </row>
    <row r="1844" spans="1:11" x14ac:dyDescent="0.25">
      <c r="A1844" s="310"/>
      <c r="B1844" s="310"/>
      <c r="C1844" s="333"/>
      <c r="D1844" s="310"/>
      <c r="E1844" s="312"/>
      <c r="F1844" s="313"/>
      <c r="G1844" s="310"/>
      <c r="H1844" s="87" t="s">
        <v>69</v>
      </c>
      <c r="I1844" s="223">
        <f>I1843*0.0214</f>
        <v>510242.59</v>
      </c>
      <c r="J1844" s="223">
        <f>I1844/D1842</f>
        <v>43.39</v>
      </c>
      <c r="K1844" s="223">
        <v>52</v>
      </c>
    </row>
    <row r="1845" spans="1:11" x14ac:dyDescent="0.25">
      <c r="A1845" s="307">
        <f>A1842+1</f>
        <v>89</v>
      </c>
      <c r="B1845" s="307">
        <v>3433</v>
      </c>
      <c r="C1845" s="315" t="s">
        <v>361</v>
      </c>
      <c r="D1845" s="318">
        <v>3939</v>
      </c>
      <c r="E1845" s="318" t="s">
        <v>64</v>
      </c>
      <c r="F1845" s="330">
        <v>5</v>
      </c>
      <c r="G1845" s="121"/>
      <c r="H1845" s="87" t="s">
        <v>66</v>
      </c>
      <c r="I1845" s="223">
        <f>I1846+I1847+I1848+I1849+I1850+I1851+I1852+I1853</f>
        <v>13490350.77</v>
      </c>
      <c r="J1845" s="223">
        <f>J1846+J1847+J1848+J1849+J1850+J1851+J1852+J1853</f>
        <v>3424.82</v>
      </c>
      <c r="K1845" s="223">
        <f>K1846+K1847+K1848+K1849+K1850+K1851+K1852+K1853</f>
        <v>4074</v>
      </c>
    </row>
    <row r="1846" spans="1:11" x14ac:dyDescent="0.25">
      <c r="A1846" s="308"/>
      <c r="B1846" s="308"/>
      <c r="C1846" s="317"/>
      <c r="D1846" s="308"/>
      <c r="E1846" s="319"/>
      <c r="F1846" s="331"/>
      <c r="G1846" s="307" t="s">
        <v>77</v>
      </c>
      <c r="H1846" s="87" t="s">
        <v>67</v>
      </c>
      <c r="I1846" s="223">
        <v>1474861.25</v>
      </c>
      <c r="J1846" s="223">
        <f>I1846/D1845</f>
        <v>374.43</v>
      </c>
      <c r="K1846" s="223">
        <v>641</v>
      </c>
    </row>
    <row r="1847" spans="1:11" x14ac:dyDescent="0.25">
      <c r="A1847" s="308"/>
      <c r="B1847" s="308"/>
      <c r="C1847" s="317"/>
      <c r="D1847" s="308"/>
      <c r="E1847" s="319"/>
      <c r="F1847" s="331"/>
      <c r="G1847" s="309"/>
      <c r="H1847" s="87" t="s">
        <v>69</v>
      </c>
      <c r="I1847" s="223">
        <f>I1846*0.0214</f>
        <v>31562.03</v>
      </c>
      <c r="J1847" s="223">
        <f>I1847/D1845</f>
        <v>8.01</v>
      </c>
      <c r="K1847" s="223">
        <v>14</v>
      </c>
    </row>
    <row r="1848" spans="1:11" x14ac:dyDescent="0.25">
      <c r="A1848" s="308"/>
      <c r="B1848" s="308"/>
      <c r="C1848" s="317"/>
      <c r="D1848" s="308"/>
      <c r="E1848" s="319"/>
      <c r="F1848" s="331"/>
      <c r="G1848" s="307" t="s">
        <v>70</v>
      </c>
      <c r="H1848" s="87" t="s">
        <v>67</v>
      </c>
      <c r="I1848" s="223">
        <v>8877029.8499999996</v>
      </c>
      <c r="J1848" s="223">
        <f>I1848/D1845</f>
        <v>2253.63</v>
      </c>
      <c r="K1848" s="223">
        <v>2292</v>
      </c>
    </row>
    <row r="1849" spans="1:11" x14ac:dyDescent="0.25">
      <c r="A1849" s="308"/>
      <c r="B1849" s="308"/>
      <c r="C1849" s="317"/>
      <c r="D1849" s="308"/>
      <c r="E1849" s="319"/>
      <c r="F1849" s="331"/>
      <c r="G1849" s="309"/>
      <c r="H1849" s="87" t="s">
        <v>69</v>
      </c>
      <c r="I1849" s="223">
        <f>I1848*0.0214</f>
        <v>189968.44</v>
      </c>
      <c r="J1849" s="223">
        <f>I1849/D1845</f>
        <v>48.23</v>
      </c>
      <c r="K1849" s="223">
        <v>49</v>
      </c>
    </row>
    <row r="1850" spans="1:11" x14ac:dyDescent="0.25">
      <c r="A1850" s="308"/>
      <c r="B1850" s="308"/>
      <c r="C1850" s="317"/>
      <c r="D1850" s="308"/>
      <c r="E1850" s="319"/>
      <c r="F1850" s="331"/>
      <c r="G1850" s="307" t="s">
        <v>71</v>
      </c>
      <c r="H1850" s="87" t="s">
        <v>67</v>
      </c>
      <c r="I1850" s="223">
        <v>793650.17</v>
      </c>
      <c r="J1850" s="223">
        <f>I1850/D1845</f>
        <v>201.49</v>
      </c>
      <c r="K1850" s="223">
        <v>513</v>
      </c>
    </row>
    <row r="1851" spans="1:11" x14ac:dyDescent="0.25">
      <c r="A1851" s="308"/>
      <c r="B1851" s="308"/>
      <c r="C1851" s="317"/>
      <c r="D1851" s="308"/>
      <c r="E1851" s="319"/>
      <c r="F1851" s="331"/>
      <c r="G1851" s="309"/>
      <c r="H1851" s="87" t="s">
        <v>69</v>
      </c>
      <c r="I1851" s="223">
        <f>I1850*0.0214</f>
        <v>16984.11</v>
      </c>
      <c r="J1851" s="223">
        <f>I1851/D1845</f>
        <v>4.3099999999999996</v>
      </c>
      <c r="K1851" s="223">
        <v>11</v>
      </c>
    </row>
    <row r="1852" spans="1:11" x14ac:dyDescent="0.25">
      <c r="A1852" s="308"/>
      <c r="B1852" s="308"/>
      <c r="C1852" s="317"/>
      <c r="D1852" s="308"/>
      <c r="E1852" s="319"/>
      <c r="F1852" s="331"/>
      <c r="G1852" s="307" t="s">
        <v>72</v>
      </c>
      <c r="H1852" s="87" t="s">
        <v>67</v>
      </c>
      <c r="I1852" s="223">
        <v>2062164.6</v>
      </c>
      <c r="J1852" s="223">
        <f>I1852/D1845</f>
        <v>523.52</v>
      </c>
      <c r="K1852" s="223">
        <v>542</v>
      </c>
    </row>
    <row r="1853" spans="1:11" x14ac:dyDescent="0.25">
      <c r="A1853" s="309"/>
      <c r="B1853" s="309"/>
      <c r="C1853" s="316"/>
      <c r="D1853" s="309"/>
      <c r="E1853" s="329"/>
      <c r="F1853" s="332"/>
      <c r="G1853" s="309"/>
      <c r="H1853" s="87" t="s">
        <v>69</v>
      </c>
      <c r="I1853" s="223">
        <f>I1852*0.0214</f>
        <v>44130.32</v>
      </c>
      <c r="J1853" s="223">
        <f>I1853/D1845</f>
        <v>11.2</v>
      </c>
      <c r="K1853" s="223">
        <v>12</v>
      </c>
    </row>
    <row r="1854" spans="1:11" ht="15.75" customHeight="1" x14ac:dyDescent="0.25">
      <c r="A1854" s="310">
        <f>A1845+1</f>
        <v>90</v>
      </c>
      <c r="B1854" s="310">
        <v>3184</v>
      </c>
      <c r="C1854" s="311" t="s">
        <v>746</v>
      </c>
      <c r="D1854" s="312">
        <v>2888.5</v>
      </c>
      <c r="E1854" s="312" t="s">
        <v>64</v>
      </c>
      <c r="F1854" s="313">
        <v>5</v>
      </c>
      <c r="G1854" s="310" t="s">
        <v>65</v>
      </c>
      <c r="H1854" s="87" t="s">
        <v>66</v>
      </c>
      <c r="I1854" s="223">
        <f>I1855</f>
        <v>519930</v>
      </c>
      <c r="J1854" s="223">
        <f>J1855</f>
        <v>180</v>
      </c>
      <c r="K1854" s="223">
        <f>K1855</f>
        <v>180</v>
      </c>
    </row>
    <row r="1855" spans="1:11" ht="75.75" customHeight="1" x14ac:dyDescent="0.25">
      <c r="A1855" s="310">
        <v>77</v>
      </c>
      <c r="B1855" s="310"/>
      <c r="C1855" s="311"/>
      <c r="D1855" s="310"/>
      <c r="E1855" s="312"/>
      <c r="F1855" s="313"/>
      <c r="G1855" s="310"/>
      <c r="H1855" s="87" t="s">
        <v>685</v>
      </c>
      <c r="I1855" s="223">
        <f>D1854*K1855</f>
        <v>519930</v>
      </c>
      <c r="J1855" s="223">
        <f>I1855/D1854</f>
        <v>180</v>
      </c>
      <c r="K1855" s="223">
        <f>147+33</f>
        <v>180</v>
      </c>
    </row>
    <row r="1856" spans="1:11" x14ac:dyDescent="0.25">
      <c r="A1856" s="310">
        <f>A1854+1</f>
        <v>91</v>
      </c>
      <c r="B1856" s="310">
        <v>4250</v>
      </c>
      <c r="C1856" s="333" t="s">
        <v>536</v>
      </c>
      <c r="D1856" s="312">
        <v>5742.5</v>
      </c>
      <c r="E1856" s="312" t="s">
        <v>64</v>
      </c>
      <c r="F1856" s="313">
        <v>5</v>
      </c>
      <c r="G1856" s="310" t="s">
        <v>74</v>
      </c>
      <c r="H1856" s="87" t="s">
        <v>66</v>
      </c>
      <c r="I1856" s="223">
        <f>I1857+I1858</f>
        <v>1378587.4</v>
      </c>
      <c r="J1856" s="223">
        <f>J1857+J1858</f>
        <v>240.07</v>
      </c>
      <c r="K1856" s="223">
        <f>K1857+K1858</f>
        <v>407</v>
      </c>
    </row>
    <row r="1857" spans="1:11" x14ac:dyDescent="0.25">
      <c r="A1857" s="310"/>
      <c r="B1857" s="310"/>
      <c r="C1857" s="333"/>
      <c r="D1857" s="312"/>
      <c r="E1857" s="312"/>
      <c r="F1857" s="313"/>
      <c r="G1857" s="310"/>
      <c r="H1857" s="87" t="s">
        <v>67</v>
      </c>
      <c r="I1857" s="223">
        <v>1327680.1399999999</v>
      </c>
      <c r="J1857" s="223">
        <f>I1857/D1856+0.01</f>
        <v>231.21</v>
      </c>
      <c r="K1857" s="223">
        <v>398</v>
      </c>
    </row>
    <row r="1858" spans="1:11" x14ac:dyDescent="0.25">
      <c r="A1858" s="310"/>
      <c r="B1858" s="310"/>
      <c r="C1858" s="333"/>
      <c r="D1858" s="312"/>
      <c r="E1858" s="312"/>
      <c r="F1858" s="313"/>
      <c r="G1858" s="310"/>
      <c r="H1858" s="87" t="s">
        <v>69</v>
      </c>
      <c r="I1858" s="223">
        <v>50907.26</v>
      </c>
      <c r="J1858" s="223">
        <f>I1858/D1856</f>
        <v>8.86</v>
      </c>
      <c r="K1858" s="223">
        <v>9</v>
      </c>
    </row>
    <row r="1859" spans="1:11" ht="15.75" customHeight="1" x14ac:dyDescent="0.25">
      <c r="A1859" s="307">
        <f>A1856+1</f>
        <v>92</v>
      </c>
      <c r="B1859" s="307">
        <v>3141</v>
      </c>
      <c r="C1859" s="315" t="s">
        <v>212</v>
      </c>
      <c r="D1859" s="318">
        <v>8978.6</v>
      </c>
      <c r="E1859" s="307" t="s">
        <v>64</v>
      </c>
      <c r="F1859" s="307">
        <v>10</v>
      </c>
      <c r="G1859" s="145"/>
      <c r="H1859" s="87" t="s">
        <v>66</v>
      </c>
      <c r="I1859" s="223">
        <f>I1860+I1861+I1862+I1863</f>
        <v>4579236</v>
      </c>
      <c r="J1859" s="223">
        <f>J1860+J1861+J1862+J1863</f>
        <v>510.02</v>
      </c>
      <c r="K1859" s="223">
        <f>K1860+K1861+K1862+K1863</f>
        <v>510.02</v>
      </c>
    </row>
    <row r="1860" spans="1:11" ht="15.75" customHeight="1" x14ac:dyDescent="0.25">
      <c r="A1860" s="308"/>
      <c r="B1860" s="308"/>
      <c r="C1860" s="317"/>
      <c r="D1860" s="319"/>
      <c r="E1860" s="308"/>
      <c r="F1860" s="308"/>
      <c r="G1860" s="308" t="s">
        <v>170</v>
      </c>
      <c r="H1860" s="87" t="s">
        <v>171</v>
      </c>
      <c r="I1860" s="223">
        <v>2241647</v>
      </c>
      <c r="J1860" s="223">
        <f>I1860/D1859</f>
        <v>249.67</v>
      </c>
      <c r="K1860" s="223">
        <f>2241647/D1859</f>
        <v>249.67</v>
      </c>
    </row>
    <row r="1861" spans="1:11" ht="15.75" customHeight="1" x14ac:dyDescent="0.25">
      <c r="A1861" s="308"/>
      <c r="B1861" s="308"/>
      <c r="C1861" s="317"/>
      <c r="D1861" s="319"/>
      <c r="E1861" s="308"/>
      <c r="F1861" s="308"/>
      <c r="G1861" s="309"/>
      <c r="H1861" s="87" t="s">
        <v>69</v>
      </c>
      <c r="I1861" s="223">
        <v>47971</v>
      </c>
      <c r="J1861" s="223">
        <f>I1861/D1859</f>
        <v>5.34</v>
      </c>
      <c r="K1861" s="223">
        <f>47971/D1859</f>
        <v>5.34</v>
      </c>
    </row>
    <row r="1862" spans="1:11" ht="15.75" customHeight="1" x14ac:dyDescent="0.25">
      <c r="A1862" s="308"/>
      <c r="B1862" s="308"/>
      <c r="C1862" s="317"/>
      <c r="D1862" s="319"/>
      <c r="E1862" s="308"/>
      <c r="F1862" s="308"/>
      <c r="G1862" s="308" t="s">
        <v>173</v>
      </c>
      <c r="H1862" s="87" t="s">
        <v>171</v>
      </c>
      <c r="I1862" s="223">
        <v>2241647</v>
      </c>
      <c r="J1862" s="223">
        <f>I1862/D1859</f>
        <v>249.67</v>
      </c>
      <c r="K1862" s="223">
        <f>2241647/D1859</f>
        <v>249.67</v>
      </c>
    </row>
    <row r="1863" spans="1:11" ht="15.75" customHeight="1" x14ac:dyDescent="0.25">
      <c r="A1863" s="308"/>
      <c r="B1863" s="308"/>
      <c r="C1863" s="317"/>
      <c r="D1863" s="319"/>
      <c r="E1863" s="308"/>
      <c r="F1863" s="308"/>
      <c r="G1863" s="309"/>
      <c r="H1863" s="87" t="s">
        <v>69</v>
      </c>
      <c r="I1863" s="223">
        <v>47971</v>
      </c>
      <c r="J1863" s="223">
        <f>I1863/D1859</f>
        <v>5.34</v>
      </c>
      <c r="K1863" s="223">
        <f>47971/D1859</f>
        <v>5.34</v>
      </c>
    </row>
    <row r="1864" spans="1:11" ht="15.75" customHeight="1" x14ac:dyDescent="0.25">
      <c r="A1864" s="307">
        <f>A1859+1</f>
        <v>93</v>
      </c>
      <c r="B1864" s="307">
        <v>4375</v>
      </c>
      <c r="C1864" s="315" t="s">
        <v>639</v>
      </c>
      <c r="D1864" s="318">
        <v>11594.1</v>
      </c>
      <c r="E1864" s="307" t="s">
        <v>64</v>
      </c>
      <c r="F1864" s="307">
        <v>10</v>
      </c>
      <c r="G1864" s="145"/>
      <c r="H1864" s="87" t="s">
        <v>66</v>
      </c>
      <c r="I1864" s="223">
        <f>I1865+I1866+I1867</f>
        <v>96843</v>
      </c>
      <c r="J1864" s="223">
        <f>J1865+J1866+J1867</f>
        <v>8.35</v>
      </c>
      <c r="K1864" s="223">
        <f>K1865+K1866+K1867</f>
        <v>8.35</v>
      </c>
    </row>
    <row r="1865" spans="1:11" ht="47.25" customHeight="1" x14ac:dyDescent="0.25">
      <c r="A1865" s="308"/>
      <c r="B1865" s="308"/>
      <c r="C1865" s="317"/>
      <c r="D1865" s="319"/>
      <c r="E1865" s="308"/>
      <c r="F1865" s="308"/>
      <c r="G1865" s="148" t="s">
        <v>174</v>
      </c>
      <c r="H1865" s="87" t="s">
        <v>168</v>
      </c>
      <c r="I1865" s="223">
        <f>22681+9600</f>
        <v>32281</v>
      </c>
      <c r="J1865" s="223">
        <f>I1865/D1864</f>
        <v>2.78</v>
      </c>
      <c r="K1865" s="223">
        <f>32281/D1864</f>
        <v>2.78</v>
      </c>
    </row>
    <row r="1866" spans="1:11" ht="47.25" customHeight="1" x14ac:dyDescent="0.25">
      <c r="A1866" s="308"/>
      <c r="B1866" s="308"/>
      <c r="C1866" s="317"/>
      <c r="D1866" s="319"/>
      <c r="E1866" s="308"/>
      <c r="F1866" s="308"/>
      <c r="G1866" s="148" t="s">
        <v>175</v>
      </c>
      <c r="H1866" s="87" t="s">
        <v>168</v>
      </c>
      <c r="I1866" s="223">
        <f>22681+9600</f>
        <v>32281</v>
      </c>
      <c r="J1866" s="223">
        <f>I1866/D1864+0.01</f>
        <v>2.79</v>
      </c>
      <c r="K1866" s="223">
        <f>32281/D1864+0.01</f>
        <v>2.79</v>
      </c>
    </row>
    <row r="1867" spans="1:11" ht="47.25" customHeight="1" x14ac:dyDescent="0.25">
      <c r="A1867" s="308"/>
      <c r="B1867" s="308"/>
      <c r="C1867" s="317"/>
      <c r="D1867" s="319"/>
      <c r="E1867" s="308"/>
      <c r="F1867" s="308"/>
      <c r="G1867" s="148" t="s">
        <v>172</v>
      </c>
      <c r="H1867" s="87" t="s">
        <v>168</v>
      </c>
      <c r="I1867" s="223">
        <f>22681+9600</f>
        <v>32281</v>
      </c>
      <c r="J1867" s="223">
        <f>I1867/D1864</f>
        <v>2.78</v>
      </c>
      <c r="K1867" s="223">
        <f>32281/D1864</f>
        <v>2.78</v>
      </c>
    </row>
    <row r="1868" spans="1:11" ht="15.75" customHeight="1" x14ac:dyDescent="0.25">
      <c r="A1868" s="307">
        <f>A1864+1</f>
        <v>94</v>
      </c>
      <c r="B1868" s="307">
        <v>4376</v>
      </c>
      <c r="C1868" s="315" t="s">
        <v>640</v>
      </c>
      <c r="D1868" s="318">
        <v>3878.2</v>
      </c>
      <c r="E1868" s="307" t="s">
        <v>64</v>
      </c>
      <c r="F1868" s="307">
        <v>9</v>
      </c>
      <c r="G1868" s="145"/>
      <c r="H1868" s="87" t="s">
        <v>66</v>
      </c>
      <c r="I1868" s="223">
        <f>I1869+I1870</f>
        <v>64562</v>
      </c>
      <c r="J1868" s="223">
        <f>J1869+J1870</f>
        <v>16.649999999999999</v>
      </c>
      <c r="K1868" s="223">
        <f>K1869+K1870</f>
        <v>16.649999999999999</v>
      </c>
    </row>
    <row r="1869" spans="1:11" ht="47.25" customHeight="1" x14ac:dyDescent="0.25">
      <c r="A1869" s="308"/>
      <c r="B1869" s="308"/>
      <c r="C1869" s="317"/>
      <c r="D1869" s="319"/>
      <c r="E1869" s="308"/>
      <c r="F1869" s="308"/>
      <c r="G1869" s="148" t="s">
        <v>170</v>
      </c>
      <c r="H1869" s="87" t="s">
        <v>168</v>
      </c>
      <c r="I1869" s="223">
        <f>22681+9600</f>
        <v>32281</v>
      </c>
      <c r="J1869" s="223">
        <f>I1869/D1868+0.01</f>
        <v>8.33</v>
      </c>
      <c r="K1869" s="223">
        <f>32281/D1868+0.01</f>
        <v>8.33</v>
      </c>
    </row>
    <row r="1870" spans="1:11" ht="47.25" customHeight="1" x14ac:dyDescent="0.25">
      <c r="A1870" s="308"/>
      <c r="B1870" s="308"/>
      <c r="C1870" s="317"/>
      <c r="D1870" s="319"/>
      <c r="E1870" s="308"/>
      <c r="F1870" s="308"/>
      <c r="G1870" s="148" t="s">
        <v>173</v>
      </c>
      <c r="H1870" s="87" t="s">
        <v>168</v>
      </c>
      <c r="I1870" s="223">
        <f>22681+9600</f>
        <v>32281</v>
      </c>
      <c r="J1870" s="223">
        <f>I1870/D1868</f>
        <v>8.32</v>
      </c>
      <c r="K1870" s="223">
        <f>32281/D1868</f>
        <v>8.32</v>
      </c>
    </row>
    <row r="1871" spans="1:11" ht="15.75" customHeight="1" x14ac:dyDescent="0.25">
      <c r="A1871" s="307">
        <f>A1868+1</f>
        <v>95</v>
      </c>
      <c r="B1871" s="307">
        <v>4122</v>
      </c>
      <c r="C1871" s="315" t="s">
        <v>593</v>
      </c>
      <c r="D1871" s="318">
        <v>3489.9</v>
      </c>
      <c r="E1871" s="307" t="s">
        <v>64</v>
      </c>
      <c r="F1871" s="307">
        <v>10</v>
      </c>
      <c r="G1871" s="145"/>
      <c r="H1871" s="87" t="s">
        <v>66</v>
      </c>
      <c r="I1871" s="223">
        <f>I1872+I1873+I1874+I1875</f>
        <v>4350205.16</v>
      </c>
      <c r="J1871" s="223">
        <f>J1872+J1873+J1874+J1875</f>
        <v>1246.51</v>
      </c>
      <c r="K1871" s="223">
        <f>K1872+K1873+K1874+K1875</f>
        <v>1312.14</v>
      </c>
    </row>
    <row r="1872" spans="1:11" ht="15.75" customHeight="1" x14ac:dyDescent="0.25">
      <c r="A1872" s="308"/>
      <c r="B1872" s="308"/>
      <c r="C1872" s="317"/>
      <c r="D1872" s="319"/>
      <c r="E1872" s="308"/>
      <c r="F1872" s="308"/>
      <c r="G1872" s="307" t="s">
        <v>170</v>
      </c>
      <c r="H1872" s="87" t="s">
        <v>171</v>
      </c>
      <c r="I1872" s="223">
        <v>2160551.2999999998</v>
      </c>
      <c r="J1872" s="223">
        <f>I1872/D1871-0.01</f>
        <v>619.08000000000004</v>
      </c>
      <c r="K1872" s="223">
        <f>2241647/D1871</f>
        <v>642.32000000000005</v>
      </c>
    </row>
    <row r="1873" spans="1:11" ht="15.75" customHeight="1" x14ac:dyDescent="0.25">
      <c r="A1873" s="308"/>
      <c r="B1873" s="308"/>
      <c r="C1873" s="317"/>
      <c r="D1873" s="319"/>
      <c r="E1873" s="308"/>
      <c r="F1873" s="308"/>
      <c r="G1873" s="309"/>
      <c r="H1873" s="87" t="s">
        <v>69</v>
      </c>
      <c r="I1873" s="223">
        <v>14551.28</v>
      </c>
      <c r="J1873" s="223">
        <f>I1873/D1871</f>
        <v>4.17</v>
      </c>
      <c r="K1873" s="223">
        <f>47971/D1871</f>
        <v>13.75</v>
      </c>
    </row>
    <row r="1874" spans="1:11" ht="15.75" customHeight="1" x14ac:dyDescent="0.25">
      <c r="A1874" s="308"/>
      <c r="B1874" s="308"/>
      <c r="C1874" s="317"/>
      <c r="D1874" s="319"/>
      <c r="E1874" s="308"/>
      <c r="F1874" s="308"/>
      <c r="G1874" s="307" t="s">
        <v>173</v>
      </c>
      <c r="H1874" s="87" t="s">
        <v>171</v>
      </c>
      <c r="I1874" s="223">
        <v>2160551.2999999998</v>
      </c>
      <c r="J1874" s="223">
        <f>I1874/D1871</f>
        <v>619.09</v>
      </c>
      <c r="K1874" s="223">
        <f>2241647/D1871</f>
        <v>642.32000000000005</v>
      </c>
    </row>
    <row r="1875" spans="1:11" ht="15.75" customHeight="1" x14ac:dyDescent="0.25">
      <c r="A1875" s="308"/>
      <c r="B1875" s="308"/>
      <c r="C1875" s="317"/>
      <c r="D1875" s="319"/>
      <c r="E1875" s="308"/>
      <c r="F1875" s="308"/>
      <c r="G1875" s="309"/>
      <c r="H1875" s="87" t="s">
        <v>69</v>
      </c>
      <c r="I1875" s="223">
        <v>14551.28</v>
      </c>
      <c r="J1875" s="223">
        <f>I1875/D1871</f>
        <v>4.17</v>
      </c>
      <c r="K1875" s="223">
        <f>47971/D1871</f>
        <v>13.75</v>
      </c>
    </row>
    <row r="1876" spans="1:11" ht="15.75" customHeight="1" x14ac:dyDescent="0.25">
      <c r="A1876" s="310">
        <f>A1871+1</f>
        <v>96</v>
      </c>
      <c r="B1876" s="310">
        <v>3403</v>
      </c>
      <c r="C1876" s="333" t="s">
        <v>594</v>
      </c>
      <c r="D1876" s="312">
        <v>812.03</v>
      </c>
      <c r="E1876" s="312" t="s">
        <v>68</v>
      </c>
      <c r="F1876" s="313">
        <v>3</v>
      </c>
      <c r="G1876" s="310" t="s">
        <v>74</v>
      </c>
      <c r="H1876" s="87" t="s">
        <v>66</v>
      </c>
      <c r="I1876" s="223">
        <f>I1877+I1878</f>
        <v>293954.86</v>
      </c>
      <c r="J1876" s="223">
        <f>J1877+J1878</f>
        <v>362</v>
      </c>
      <c r="K1876" s="223">
        <f>K1877+K1878</f>
        <v>362</v>
      </c>
    </row>
    <row r="1877" spans="1:11" ht="15.75" customHeight="1" x14ac:dyDescent="0.25">
      <c r="A1877" s="310"/>
      <c r="B1877" s="310"/>
      <c r="C1877" s="333"/>
      <c r="D1877" s="312"/>
      <c r="E1877" s="312"/>
      <c r="F1877" s="313"/>
      <c r="G1877" s="310"/>
      <c r="H1877" s="87" t="s">
        <v>67</v>
      </c>
      <c r="I1877" s="223">
        <f>K1877*D1876</f>
        <v>287458.62</v>
      </c>
      <c r="J1877" s="223">
        <f>I1877/D1876</f>
        <v>354</v>
      </c>
      <c r="K1877" s="223">
        <v>354</v>
      </c>
    </row>
    <row r="1878" spans="1:11" ht="15.75" customHeight="1" x14ac:dyDescent="0.25">
      <c r="A1878" s="310"/>
      <c r="B1878" s="310"/>
      <c r="C1878" s="333"/>
      <c r="D1878" s="312"/>
      <c r="E1878" s="312"/>
      <c r="F1878" s="313"/>
      <c r="G1878" s="310"/>
      <c r="H1878" s="87" t="s">
        <v>69</v>
      </c>
      <c r="I1878" s="223">
        <f>D1876*K1878</f>
        <v>6496.24</v>
      </c>
      <c r="J1878" s="223">
        <f>I1878/D1876</f>
        <v>8</v>
      </c>
      <c r="K1878" s="223">
        <v>8</v>
      </c>
    </row>
    <row r="1879" spans="1:11" ht="15.75" customHeight="1" x14ac:dyDescent="0.25">
      <c r="A1879" s="310">
        <f>A1876+1</f>
        <v>97</v>
      </c>
      <c r="B1879" s="310">
        <v>3404</v>
      </c>
      <c r="C1879" s="333" t="s">
        <v>595</v>
      </c>
      <c r="D1879" s="312">
        <v>1165.78</v>
      </c>
      <c r="E1879" s="312" t="s">
        <v>73</v>
      </c>
      <c r="F1879" s="313">
        <v>3</v>
      </c>
      <c r="G1879" s="310" t="s">
        <v>74</v>
      </c>
      <c r="H1879" s="87" t="s">
        <v>66</v>
      </c>
      <c r="I1879" s="223">
        <f>I1880+I1881</f>
        <v>422012.36</v>
      </c>
      <c r="J1879" s="223">
        <f>J1880+J1881</f>
        <v>362</v>
      </c>
      <c r="K1879" s="223">
        <f>K1880+K1881</f>
        <v>362</v>
      </c>
    </row>
    <row r="1880" spans="1:11" ht="15.75" customHeight="1" x14ac:dyDescent="0.25">
      <c r="A1880" s="310"/>
      <c r="B1880" s="310"/>
      <c r="C1880" s="333"/>
      <c r="D1880" s="312"/>
      <c r="E1880" s="312"/>
      <c r="F1880" s="313"/>
      <c r="G1880" s="310"/>
      <c r="H1880" s="87" t="s">
        <v>67</v>
      </c>
      <c r="I1880" s="223">
        <f>K1880*D1879</f>
        <v>412686.12</v>
      </c>
      <c r="J1880" s="223">
        <f>I1880/D1879</f>
        <v>354</v>
      </c>
      <c r="K1880" s="223">
        <v>354</v>
      </c>
    </row>
    <row r="1881" spans="1:11" ht="15.75" customHeight="1" x14ac:dyDescent="0.25">
      <c r="A1881" s="310"/>
      <c r="B1881" s="310"/>
      <c r="C1881" s="333"/>
      <c r="D1881" s="312"/>
      <c r="E1881" s="312"/>
      <c r="F1881" s="313"/>
      <c r="G1881" s="310"/>
      <c r="H1881" s="87" t="s">
        <v>69</v>
      </c>
      <c r="I1881" s="223">
        <f>D1879*K1881</f>
        <v>9326.24</v>
      </c>
      <c r="J1881" s="223">
        <f>I1881/D1879</f>
        <v>8</v>
      </c>
      <c r="K1881" s="223">
        <v>8</v>
      </c>
    </row>
    <row r="1882" spans="1:11" ht="15.75" customHeight="1" x14ac:dyDescent="0.25">
      <c r="A1882" s="310">
        <f>A1879+1</f>
        <v>98</v>
      </c>
      <c r="B1882" s="310">
        <v>3406</v>
      </c>
      <c r="C1882" s="333" t="s">
        <v>528</v>
      </c>
      <c r="D1882" s="312">
        <v>1229.96</v>
      </c>
      <c r="E1882" s="312" t="s">
        <v>73</v>
      </c>
      <c r="F1882" s="313">
        <v>3</v>
      </c>
      <c r="G1882" s="310" t="s">
        <v>74</v>
      </c>
      <c r="H1882" s="87" t="s">
        <v>66</v>
      </c>
      <c r="I1882" s="223">
        <f>I1883</f>
        <v>57808.12</v>
      </c>
      <c r="J1882" s="223">
        <f>J1883</f>
        <v>47</v>
      </c>
      <c r="K1882" s="223">
        <f>K1883</f>
        <v>47</v>
      </c>
    </row>
    <row r="1883" spans="1:11" ht="47.25" customHeight="1" x14ac:dyDescent="0.25">
      <c r="A1883" s="310"/>
      <c r="B1883" s="310"/>
      <c r="C1883" s="333"/>
      <c r="D1883" s="312"/>
      <c r="E1883" s="312"/>
      <c r="F1883" s="313"/>
      <c r="G1883" s="310"/>
      <c r="H1883" s="87" t="s">
        <v>168</v>
      </c>
      <c r="I1883" s="223">
        <f>D1882*K1883</f>
        <v>57808.12</v>
      </c>
      <c r="J1883" s="223">
        <f>I1883/D1882</f>
        <v>47</v>
      </c>
      <c r="K1883" s="223">
        <f>34+13</f>
        <v>47</v>
      </c>
    </row>
    <row r="1884" spans="1:11" ht="15.75" customHeight="1" x14ac:dyDescent="0.25">
      <c r="A1884" s="310">
        <f>A1882+1</f>
        <v>99</v>
      </c>
      <c r="B1884" s="310">
        <v>3407</v>
      </c>
      <c r="C1884" s="333" t="s">
        <v>641</v>
      </c>
      <c r="D1884" s="312">
        <v>2004.12</v>
      </c>
      <c r="E1884" s="312" t="s">
        <v>73</v>
      </c>
      <c r="F1884" s="313">
        <v>3</v>
      </c>
      <c r="G1884" s="310" t="s">
        <v>74</v>
      </c>
      <c r="H1884" s="87" t="s">
        <v>66</v>
      </c>
      <c r="I1884" s="223">
        <f>I1885</f>
        <v>94193.64</v>
      </c>
      <c r="J1884" s="223">
        <f>J1885</f>
        <v>47</v>
      </c>
      <c r="K1884" s="223">
        <f>K1885</f>
        <v>47</v>
      </c>
    </row>
    <row r="1885" spans="1:11" ht="47.25" customHeight="1" x14ac:dyDescent="0.25">
      <c r="A1885" s="310"/>
      <c r="B1885" s="310"/>
      <c r="C1885" s="333"/>
      <c r="D1885" s="312"/>
      <c r="E1885" s="312"/>
      <c r="F1885" s="313"/>
      <c r="G1885" s="310"/>
      <c r="H1885" s="87" t="s">
        <v>168</v>
      </c>
      <c r="I1885" s="223">
        <f>D1884*K1885</f>
        <v>94193.64</v>
      </c>
      <c r="J1885" s="223">
        <f>I1885/D1884</f>
        <v>47</v>
      </c>
      <c r="K1885" s="223">
        <f>34+13</f>
        <v>47</v>
      </c>
    </row>
    <row r="1886" spans="1:11" ht="15.75" customHeight="1" x14ac:dyDescent="0.25">
      <c r="A1886" s="310">
        <f>A1884+1</f>
        <v>100</v>
      </c>
      <c r="B1886" s="310">
        <v>3408</v>
      </c>
      <c r="C1886" s="333" t="s">
        <v>642</v>
      </c>
      <c r="D1886" s="312">
        <v>3143.51</v>
      </c>
      <c r="E1886" s="312" t="s">
        <v>68</v>
      </c>
      <c r="F1886" s="313">
        <v>5</v>
      </c>
      <c r="G1886" s="310" t="s">
        <v>74</v>
      </c>
      <c r="H1886" s="87" t="s">
        <v>66</v>
      </c>
      <c r="I1886" s="223">
        <f>I1887</f>
        <v>75444.240000000005</v>
      </c>
      <c r="J1886" s="223">
        <f>J1887</f>
        <v>24</v>
      </c>
      <c r="K1886" s="223">
        <f>K1887</f>
        <v>24</v>
      </c>
    </row>
    <row r="1887" spans="1:11" ht="47.25" customHeight="1" x14ac:dyDescent="0.25">
      <c r="A1887" s="310"/>
      <c r="B1887" s="310"/>
      <c r="C1887" s="333"/>
      <c r="D1887" s="312"/>
      <c r="E1887" s="312"/>
      <c r="F1887" s="313"/>
      <c r="G1887" s="310"/>
      <c r="H1887" s="87" t="s">
        <v>168</v>
      </c>
      <c r="I1887" s="223">
        <f>D1886*K1887</f>
        <v>75444.240000000005</v>
      </c>
      <c r="J1887" s="223">
        <f>I1887/D1886</f>
        <v>24</v>
      </c>
      <c r="K1887" s="223">
        <f>22+2</f>
        <v>24</v>
      </c>
    </row>
    <row r="1888" spans="1:11" ht="15.75" customHeight="1" x14ac:dyDescent="0.25">
      <c r="A1888" s="310">
        <f>A1886+1</f>
        <v>101</v>
      </c>
      <c r="B1888" s="310">
        <v>3409</v>
      </c>
      <c r="C1888" s="333" t="s">
        <v>596</v>
      </c>
      <c r="D1888" s="312">
        <v>1702.64</v>
      </c>
      <c r="E1888" s="312" t="s">
        <v>68</v>
      </c>
      <c r="F1888" s="313">
        <v>4</v>
      </c>
      <c r="G1888" s="310" t="s">
        <v>74</v>
      </c>
      <c r="H1888" s="87" t="s">
        <v>66</v>
      </c>
      <c r="I1888" s="223">
        <f>I1889+I1890</f>
        <v>616355.68000000005</v>
      </c>
      <c r="J1888" s="223">
        <f>J1889+J1890</f>
        <v>362</v>
      </c>
      <c r="K1888" s="223">
        <f>K1889+K1890</f>
        <v>362</v>
      </c>
    </row>
    <row r="1889" spans="1:11" ht="15.75" customHeight="1" x14ac:dyDescent="0.25">
      <c r="A1889" s="310"/>
      <c r="B1889" s="310"/>
      <c r="C1889" s="333"/>
      <c r="D1889" s="312"/>
      <c r="E1889" s="312"/>
      <c r="F1889" s="313"/>
      <c r="G1889" s="310"/>
      <c r="H1889" s="87" t="s">
        <v>67</v>
      </c>
      <c r="I1889" s="223">
        <f>K1889*D1888</f>
        <v>602734.56000000006</v>
      </c>
      <c r="J1889" s="223">
        <f>I1889/D1888</f>
        <v>354</v>
      </c>
      <c r="K1889" s="223">
        <v>354</v>
      </c>
    </row>
    <row r="1890" spans="1:11" ht="15.75" customHeight="1" x14ac:dyDescent="0.25">
      <c r="A1890" s="310"/>
      <c r="B1890" s="310"/>
      <c r="C1890" s="333"/>
      <c r="D1890" s="312"/>
      <c r="E1890" s="312"/>
      <c r="F1890" s="313"/>
      <c r="G1890" s="310"/>
      <c r="H1890" s="87" t="s">
        <v>69</v>
      </c>
      <c r="I1890" s="223">
        <f>D1888*K1890</f>
        <v>13621.12</v>
      </c>
      <c r="J1890" s="223">
        <f>I1890/D1888</f>
        <v>8</v>
      </c>
      <c r="K1890" s="223">
        <v>8</v>
      </c>
    </row>
    <row r="1891" spans="1:11" ht="15.75" customHeight="1" x14ac:dyDescent="0.25">
      <c r="A1891" s="310">
        <f>A1888+1</f>
        <v>102</v>
      </c>
      <c r="B1891" s="310">
        <v>3410</v>
      </c>
      <c r="C1891" s="333" t="s">
        <v>643</v>
      </c>
      <c r="D1891" s="312">
        <v>3172.61</v>
      </c>
      <c r="E1891" s="312" t="s">
        <v>68</v>
      </c>
      <c r="F1891" s="313">
        <v>5</v>
      </c>
      <c r="G1891" s="310" t="s">
        <v>74</v>
      </c>
      <c r="H1891" s="87" t="s">
        <v>66</v>
      </c>
      <c r="I1891" s="223">
        <f>I1892</f>
        <v>76142.64</v>
      </c>
      <c r="J1891" s="223">
        <f>J1892</f>
        <v>24</v>
      </c>
      <c r="K1891" s="223">
        <f>K1892</f>
        <v>24</v>
      </c>
    </row>
    <row r="1892" spans="1:11" ht="47.25" customHeight="1" x14ac:dyDescent="0.25">
      <c r="A1892" s="310"/>
      <c r="B1892" s="310"/>
      <c r="C1892" s="333"/>
      <c r="D1892" s="312"/>
      <c r="E1892" s="312"/>
      <c r="F1892" s="313"/>
      <c r="G1892" s="310"/>
      <c r="H1892" s="87" t="s">
        <v>168</v>
      </c>
      <c r="I1892" s="223">
        <f>D1891*K1892</f>
        <v>76142.64</v>
      </c>
      <c r="J1892" s="223">
        <f>I1892/D1891</f>
        <v>24</v>
      </c>
      <c r="K1892" s="223">
        <f>22+2</f>
        <v>24</v>
      </c>
    </row>
    <row r="1893" spans="1:11" ht="15.75" customHeight="1" x14ac:dyDescent="0.25">
      <c r="A1893" s="310">
        <f>A1891+1</f>
        <v>103</v>
      </c>
      <c r="B1893" s="310">
        <v>3411</v>
      </c>
      <c r="C1893" s="333" t="s">
        <v>597</v>
      </c>
      <c r="D1893" s="312">
        <v>1713.6</v>
      </c>
      <c r="E1893" s="312" t="s">
        <v>68</v>
      </c>
      <c r="F1893" s="313">
        <v>4</v>
      </c>
      <c r="G1893" s="310" t="s">
        <v>74</v>
      </c>
      <c r="H1893" s="87" t="s">
        <v>66</v>
      </c>
      <c r="I1893" s="223">
        <f>I1894+I1895</f>
        <v>620323.19999999995</v>
      </c>
      <c r="J1893" s="223">
        <f>J1894+J1895</f>
        <v>362</v>
      </c>
      <c r="K1893" s="223">
        <f>K1894+K1895</f>
        <v>362</v>
      </c>
    </row>
    <row r="1894" spans="1:11" ht="15.75" customHeight="1" x14ac:dyDescent="0.25">
      <c r="A1894" s="310"/>
      <c r="B1894" s="310"/>
      <c r="C1894" s="333"/>
      <c r="D1894" s="312"/>
      <c r="E1894" s="312"/>
      <c r="F1894" s="313"/>
      <c r="G1894" s="310"/>
      <c r="H1894" s="87" t="s">
        <v>67</v>
      </c>
      <c r="I1894" s="223">
        <f>K1894*D1893</f>
        <v>606614.4</v>
      </c>
      <c r="J1894" s="223">
        <f>I1894/D1893</f>
        <v>354</v>
      </c>
      <c r="K1894" s="223">
        <v>354</v>
      </c>
    </row>
    <row r="1895" spans="1:11" ht="15.75" customHeight="1" x14ac:dyDescent="0.25">
      <c r="A1895" s="310"/>
      <c r="B1895" s="310"/>
      <c r="C1895" s="333"/>
      <c r="D1895" s="312"/>
      <c r="E1895" s="312"/>
      <c r="F1895" s="313"/>
      <c r="G1895" s="310"/>
      <c r="H1895" s="87" t="s">
        <v>69</v>
      </c>
      <c r="I1895" s="223">
        <f>D1893*K1895</f>
        <v>13708.8</v>
      </c>
      <c r="J1895" s="223">
        <f>I1895/D1893</f>
        <v>8</v>
      </c>
      <c r="K1895" s="223">
        <v>8</v>
      </c>
    </row>
    <row r="1896" spans="1:11" ht="15.75" customHeight="1" x14ac:dyDescent="0.25">
      <c r="A1896" s="310">
        <f>A1893+1</f>
        <v>104</v>
      </c>
      <c r="B1896" s="310">
        <v>3413</v>
      </c>
      <c r="C1896" s="333" t="s">
        <v>644</v>
      </c>
      <c r="D1896" s="312">
        <v>1249.18</v>
      </c>
      <c r="E1896" s="312" t="s">
        <v>68</v>
      </c>
      <c r="F1896" s="313">
        <v>3</v>
      </c>
      <c r="G1896" s="310" t="s">
        <v>74</v>
      </c>
      <c r="H1896" s="87" t="s">
        <v>66</v>
      </c>
      <c r="I1896" s="223">
        <f>I1897</f>
        <v>58711.46</v>
      </c>
      <c r="J1896" s="223">
        <f>J1897</f>
        <v>47</v>
      </c>
      <c r="K1896" s="223">
        <f>K1897</f>
        <v>47</v>
      </c>
    </row>
    <row r="1897" spans="1:11" ht="47.25" customHeight="1" x14ac:dyDescent="0.25">
      <c r="A1897" s="310"/>
      <c r="B1897" s="310"/>
      <c r="C1897" s="333"/>
      <c r="D1897" s="312"/>
      <c r="E1897" s="312"/>
      <c r="F1897" s="313"/>
      <c r="G1897" s="310"/>
      <c r="H1897" s="87" t="s">
        <v>168</v>
      </c>
      <c r="I1897" s="223">
        <f>D1896*K1897</f>
        <v>58711.46</v>
      </c>
      <c r="J1897" s="223">
        <f>I1897/D1896</f>
        <v>47</v>
      </c>
      <c r="K1897" s="223">
        <f>34+13</f>
        <v>47</v>
      </c>
    </row>
    <row r="1898" spans="1:11" ht="15.75" customHeight="1" x14ac:dyDescent="0.25">
      <c r="A1898" s="310">
        <f>A1896+1</f>
        <v>105</v>
      </c>
      <c r="B1898" s="310">
        <v>4365</v>
      </c>
      <c r="C1898" s="333" t="s">
        <v>645</v>
      </c>
      <c r="D1898" s="312">
        <v>1319.4</v>
      </c>
      <c r="E1898" s="312" t="s">
        <v>68</v>
      </c>
      <c r="F1898" s="313">
        <v>3</v>
      </c>
      <c r="G1898" s="310" t="s">
        <v>74</v>
      </c>
      <c r="H1898" s="87" t="s">
        <v>66</v>
      </c>
      <c r="I1898" s="223">
        <f>I1899</f>
        <v>62011.8</v>
      </c>
      <c r="J1898" s="223">
        <f>J1899</f>
        <v>47</v>
      </c>
      <c r="K1898" s="223">
        <f>K1899</f>
        <v>47</v>
      </c>
    </row>
    <row r="1899" spans="1:11" ht="47.25" customHeight="1" x14ac:dyDescent="0.25">
      <c r="A1899" s="310"/>
      <c r="B1899" s="310"/>
      <c r="C1899" s="333"/>
      <c r="D1899" s="312"/>
      <c r="E1899" s="312"/>
      <c r="F1899" s="313"/>
      <c r="G1899" s="310"/>
      <c r="H1899" s="87" t="s">
        <v>168</v>
      </c>
      <c r="I1899" s="223">
        <f>D1898*K1899</f>
        <v>62011.8</v>
      </c>
      <c r="J1899" s="223">
        <f>I1899/D1898</f>
        <v>47</v>
      </c>
      <c r="K1899" s="223">
        <f>34+13</f>
        <v>47</v>
      </c>
    </row>
    <row r="1900" spans="1:11" ht="15.75" customHeight="1" x14ac:dyDescent="0.25">
      <c r="A1900" s="310">
        <f>A1898+1</f>
        <v>106</v>
      </c>
      <c r="B1900" s="310">
        <v>3414</v>
      </c>
      <c r="C1900" s="333" t="s">
        <v>646</v>
      </c>
      <c r="D1900" s="312">
        <v>905.11</v>
      </c>
      <c r="E1900" s="312" t="s">
        <v>68</v>
      </c>
      <c r="F1900" s="313">
        <v>3</v>
      </c>
      <c r="G1900" s="310" t="s">
        <v>74</v>
      </c>
      <c r="H1900" s="87" t="s">
        <v>66</v>
      </c>
      <c r="I1900" s="223">
        <f>I1901</f>
        <v>66073.03</v>
      </c>
      <c r="J1900" s="223">
        <f>J1901</f>
        <v>73</v>
      </c>
      <c r="K1900" s="223">
        <f>K1901</f>
        <v>73</v>
      </c>
    </row>
    <row r="1901" spans="1:11" ht="47.25" customHeight="1" x14ac:dyDescent="0.25">
      <c r="A1901" s="310"/>
      <c r="B1901" s="310"/>
      <c r="C1901" s="333"/>
      <c r="D1901" s="312"/>
      <c r="E1901" s="312"/>
      <c r="F1901" s="313"/>
      <c r="G1901" s="310"/>
      <c r="H1901" s="87" t="s">
        <v>168</v>
      </c>
      <c r="I1901" s="223">
        <f>D1900*K1901</f>
        <v>66073.03</v>
      </c>
      <c r="J1901" s="223">
        <f>I1901/D1900</f>
        <v>73</v>
      </c>
      <c r="K1901" s="223">
        <f>60+13</f>
        <v>73</v>
      </c>
    </row>
    <row r="1902" spans="1:11" ht="15.75" customHeight="1" x14ac:dyDescent="0.25">
      <c r="A1902" s="310">
        <f>A1900+1</f>
        <v>107</v>
      </c>
      <c r="B1902" s="310">
        <v>3415</v>
      </c>
      <c r="C1902" s="333" t="s">
        <v>647</v>
      </c>
      <c r="D1902" s="312">
        <v>667.9</v>
      </c>
      <c r="E1902" s="312" t="s">
        <v>68</v>
      </c>
      <c r="F1902" s="313">
        <v>3</v>
      </c>
      <c r="G1902" s="310" t="s">
        <v>74</v>
      </c>
      <c r="H1902" s="87" t="s">
        <v>66</v>
      </c>
      <c r="I1902" s="223">
        <f>I1903</f>
        <v>48756.7</v>
      </c>
      <c r="J1902" s="223">
        <f>J1903</f>
        <v>73</v>
      </c>
      <c r="K1902" s="223">
        <f>K1903</f>
        <v>73</v>
      </c>
    </row>
    <row r="1903" spans="1:11" ht="47.25" customHeight="1" x14ac:dyDescent="0.25">
      <c r="A1903" s="310"/>
      <c r="B1903" s="310"/>
      <c r="C1903" s="333"/>
      <c r="D1903" s="312"/>
      <c r="E1903" s="312"/>
      <c r="F1903" s="313"/>
      <c r="G1903" s="310"/>
      <c r="H1903" s="87" t="s">
        <v>168</v>
      </c>
      <c r="I1903" s="223">
        <f>D1902*K1903</f>
        <v>48756.7</v>
      </c>
      <c r="J1903" s="223">
        <f>I1903/D1902</f>
        <v>73</v>
      </c>
      <c r="K1903" s="223">
        <f>60+13</f>
        <v>73</v>
      </c>
    </row>
    <row r="1904" spans="1:11" ht="15.75" customHeight="1" x14ac:dyDescent="0.25">
      <c r="A1904" s="310">
        <f>A1902+1</f>
        <v>108</v>
      </c>
      <c r="B1904" s="310">
        <v>3416</v>
      </c>
      <c r="C1904" s="333" t="s">
        <v>484</v>
      </c>
      <c r="D1904" s="312">
        <v>887</v>
      </c>
      <c r="E1904" s="312" t="s">
        <v>68</v>
      </c>
      <c r="F1904" s="313">
        <v>3</v>
      </c>
      <c r="G1904" s="310" t="s">
        <v>74</v>
      </c>
      <c r="H1904" s="87" t="s">
        <v>66</v>
      </c>
      <c r="I1904" s="223">
        <f>I1905</f>
        <v>64751</v>
      </c>
      <c r="J1904" s="223">
        <f>J1905</f>
        <v>73</v>
      </c>
      <c r="K1904" s="223">
        <f>K1905</f>
        <v>73</v>
      </c>
    </row>
    <row r="1905" spans="1:11" ht="47.25" customHeight="1" x14ac:dyDescent="0.25">
      <c r="A1905" s="310"/>
      <c r="B1905" s="310"/>
      <c r="C1905" s="333"/>
      <c r="D1905" s="312"/>
      <c r="E1905" s="312"/>
      <c r="F1905" s="313"/>
      <c r="G1905" s="310"/>
      <c r="H1905" s="87" t="s">
        <v>168</v>
      </c>
      <c r="I1905" s="223">
        <f>D1904*K1905</f>
        <v>64751</v>
      </c>
      <c r="J1905" s="223">
        <f>I1905/D1904</f>
        <v>73</v>
      </c>
      <c r="K1905" s="223">
        <f>60+13</f>
        <v>73</v>
      </c>
    </row>
    <row r="1906" spans="1:11" ht="15.75" customHeight="1" x14ac:dyDescent="0.25">
      <c r="A1906" s="310">
        <f>A1904+1</f>
        <v>109</v>
      </c>
      <c r="B1906" s="310">
        <v>3417</v>
      </c>
      <c r="C1906" s="333" t="s">
        <v>485</v>
      </c>
      <c r="D1906" s="312">
        <v>921.5</v>
      </c>
      <c r="E1906" s="312" t="s">
        <v>68</v>
      </c>
      <c r="F1906" s="313">
        <v>3</v>
      </c>
      <c r="G1906" s="310" t="s">
        <v>74</v>
      </c>
      <c r="H1906" s="87" t="s">
        <v>66</v>
      </c>
      <c r="I1906" s="223">
        <f>I1907</f>
        <v>67269.5</v>
      </c>
      <c r="J1906" s="223">
        <f>J1907</f>
        <v>73</v>
      </c>
      <c r="K1906" s="223">
        <f>K1907</f>
        <v>73</v>
      </c>
    </row>
    <row r="1907" spans="1:11" ht="47.25" customHeight="1" x14ac:dyDescent="0.25">
      <c r="A1907" s="310"/>
      <c r="B1907" s="310"/>
      <c r="C1907" s="333"/>
      <c r="D1907" s="312"/>
      <c r="E1907" s="312"/>
      <c r="F1907" s="313"/>
      <c r="G1907" s="310"/>
      <c r="H1907" s="87" t="s">
        <v>168</v>
      </c>
      <c r="I1907" s="223">
        <f>D1906*K1907</f>
        <v>67269.5</v>
      </c>
      <c r="J1907" s="223">
        <f>I1907/D1906</f>
        <v>73</v>
      </c>
      <c r="K1907" s="223">
        <f>60+13</f>
        <v>73</v>
      </c>
    </row>
    <row r="1908" spans="1:11" ht="15.75" customHeight="1" x14ac:dyDescent="0.25">
      <c r="A1908" s="307">
        <f>A1906+1</f>
        <v>110</v>
      </c>
      <c r="B1908" s="307">
        <v>4314</v>
      </c>
      <c r="C1908" s="315" t="s">
        <v>598</v>
      </c>
      <c r="D1908" s="318">
        <v>4047.51</v>
      </c>
      <c r="E1908" s="307" t="s">
        <v>68</v>
      </c>
      <c r="F1908" s="307">
        <v>9</v>
      </c>
      <c r="G1908" s="145"/>
      <c r="H1908" s="87" t="s">
        <v>66</v>
      </c>
      <c r="I1908" s="223">
        <f>I1909+I1910</f>
        <v>1808237.9</v>
      </c>
      <c r="J1908" s="223">
        <f>J1909+J1910</f>
        <v>446.75</v>
      </c>
      <c r="K1908" s="223">
        <f>K1909+K1910</f>
        <v>565.67999999999995</v>
      </c>
    </row>
    <row r="1909" spans="1:11" ht="15.75" customHeight="1" x14ac:dyDescent="0.25">
      <c r="A1909" s="308"/>
      <c r="B1909" s="308"/>
      <c r="C1909" s="317"/>
      <c r="D1909" s="319"/>
      <c r="E1909" s="308"/>
      <c r="F1909" s="308"/>
      <c r="G1909" s="307" t="s">
        <v>170</v>
      </c>
      <c r="H1909" s="87" t="s">
        <v>171</v>
      </c>
      <c r="I1909" s="223">
        <v>1793317.39</v>
      </c>
      <c r="J1909" s="223">
        <f>I1909/D1908-0.01</f>
        <v>443.06</v>
      </c>
      <c r="K1909" s="223">
        <f>2241647/D1908</f>
        <v>553.83000000000004</v>
      </c>
    </row>
    <row r="1910" spans="1:11" ht="15.75" customHeight="1" x14ac:dyDescent="0.25">
      <c r="A1910" s="308"/>
      <c r="B1910" s="308"/>
      <c r="C1910" s="317"/>
      <c r="D1910" s="319"/>
      <c r="E1910" s="308"/>
      <c r="F1910" s="308"/>
      <c r="G1910" s="309"/>
      <c r="H1910" s="87" t="s">
        <v>69</v>
      </c>
      <c r="I1910" s="223">
        <v>14920.51</v>
      </c>
      <c r="J1910" s="223">
        <f>I1910/D1908</f>
        <v>3.69</v>
      </c>
      <c r="K1910" s="223">
        <f>47971/D1908</f>
        <v>11.85</v>
      </c>
    </row>
    <row r="1911" spans="1:11" ht="15.75" customHeight="1" x14ac:dyDescent="0.25">
      <c r="A1911" s="307">
        <f>A1908+1</f>
        <v>111</v>
      </c>
      <c r="B1911" s="307">
        <v>4105</v>
      </c>
      <c r="C1911" s="315" t="s">
        <v>599</v>
      </c>
      <c r="D1911" s="318">
        <v>5483.6</v>
      </c>
      <c r="E1911" s="307" t="s">
        <v>68</v>
      </c>
      <c r="F1911" s="307">
        <v>10</v>
      </c>
      <c r="G1911" s="145"/>
      <c r="H1911" s="87" t="s">
        <v>66</v>
      </c>
      <c r="I1911" s="223">
        <f>I1912+I1913</f>
        <v>1870335.57</v>
      </c>
      <c r="J1911" s="223">
        <f>J1912+J1913</f>
        <v>341.08</v>
      </c>
      <c r="K1911" s="223">
        <f>K1912+K1913</f>
        <v>457.98</v>
      </c>
    </row>
    <row r="1912" spans="1:11" ht="15.75" customHeight="1" x14ac:dyDescent="0.25">
      <c r="A1912" s="308"/>
      <c r="B1912" s="308"/>
      <c r="C1912" s="317"/>
      <c r="D1912" s="319"/>
      <c r="E1912" s="308"/>
      <c r="F1912" s="308"/>
      <c r="G1912" s="307" t="s">
        <v>170</v>
      </c>
      <c r="H1912" s="87" t="s">
        <v>171</v>
      </c>
      <c r="I1912" s="223">
        <v>1853970</v>
      </c>
      <c r="J1912" s="223">
        <f>I1912/D1911+0.01</f>
        <v>338.1</v>
      </c>
      <c r="K1912" s="223">
        <f>2458756/D1911</f>
        <v>448.38</v>
      </c>
    </row>
    <row r="1913" spans="1:11" ht="15.75" customHeight="1" x14ac:dyDescent="0.25">
      <c r="A1913" s="308"/>
      <c r="B1913" s="308"/>
      <c r="C1913" s="317"/>
      <c r="D1913" s="319"/>
      <c r="E1913" s="308"/>
      <c r="F1913" s="308"/>
      <c r="G1913" s="309"/>
      <c r="H1913" s="87" t="s">
        <v>69</v>
      </c>
      <c r="I1913" s="223">
        <v>16365.57</v>
      </c>
      <c r="J1913" s="223">
        <f>I1913/D1911</f>
        <v>2.98</v>
      </c>
      <c r="K1913" s="223">
        <f>52617/D1911</f>
        <v>9.6</v>
      </c>
    </row>
    <row r="1914" spans="1:11" x14ac:dyDescent="0.25">
      <c r="A1914" s="310">
        <f>A1911+1</f>
        <v>112</v>
      </c>
      <c r="B1914" s="310">
        <v>8156</v>
      </c>
      <c r="C1914" s="333" t="s">
        <v>215</v>
      </c>
      <c r="D1914" s="312">
        <v>3902.7</v>
      </c>
      <c r="E1914" s="312" t="s">
        <v>64</v>
      </c>
      <c r="F1914" s="313">
        <v>5</v>
      </c>
      <c r="G1914" s="310" t="s">
        <v>65</v>
      </c>
      <c r="H1914" s="87" t="s">
        <v>66</v>
      </c>
      <c r="I1914" s="223">
        <f>I1915+I1916</f>
        <v>11610964.23</v>
      </c>
      <c r="J1914" s="223">
        <f>J1915+J1916</f>
        <v>2975.11</v>
      </c>
      <c r="K1914" s="223">
        <f>K1915+K1916</f>
        <v>3878</v>
      </c>
    </row>
    <row r="1915" spans="1:11" x14ac:dyDescent="0.25">
      <c r="A1915" s="310">
        <v>76</v>
      </c>
      <c r="B1915" s="310"/>
      <c r="C1915" s="333"/>
      <c r="D1915" s="310"/>
      <c r="E1915" s="312"/>
      <c r="F1915" s="313"/>
      <c r="G1915" s="310"/>
      <c r="H1915" s="87" t="s">
        <v>67</v>
      </c>
      <c r="I1915" s="223">
        <v>11367695.550000001</v>
      </c>
      <c r="J1915" s="223">
        <f>I1915/D1914</f>
        <v>2912.78</v>
      </c>
      <c r="K1915" s="223">
        <v>3797</v>
      </c>
    </row>
    <row r="1916" spans="1:11" x14ac:dyDescent="0.25">
      <c r="A1916" s="310"/>
      <c r="B1916" s="310"/>
      <c r="C1916" s="333"/>
      <c r="D1916" s="310"/>
      <c r="E1916" s="312"/>
      <c r="F1916" s="313"/>
      <c r="G1916" s="310"/>
      <c r="H1916" s="87" t="s">
        <v>69</v>
      </c>
      <c r="I1916" s="223">
        <f>I1915*0.0214</f>
        <v>243268.68</v>
      </c>
      <c r="J1916" s="223">
        <f>I1916/D1914</f>
        <v>62.33</v>
      </c>
      <c r="K1916" s="223">
        <v>81</v>
      </c>
    </row>
    <row r="1917" spans="1:11" x14ac:dyDescent="0.25">
      <c r="A1917" s="310">
        <f>A1914+1</f>
        <v>113</v>
      </c>
      <c r="B1917" s="310">
        <v>3438</v>
      </c>
      <c r="C1917" s="333" t="s">
        <v>216</v>
      </c>
      <c r="D1917" s="312">
        <v>10071.02</v>
      </c>
      <c r="E1917" s="312" t="s">
        <v>64</v>
      </c>
      <c r="F1917" s="313">
        <v>9</v>
      </c>
      <c r="G1917" s="310" t="s">
        <v>65</v>
      </c>
      <c r="H1917" s="87" t="s">
        <v>66</v>
      </c>
      <c r="I1917" s="223">
        <f>I1918+I1919</f>
        <v>18517782.129999999</v>
      </c>
      <c r="J1917" s="223">
        <f>J1918+J1919</f>
        <v>1838.72</v>
      </c>
      <c r="K1917" s="223">
        <f>K1918+K1919</f>
        <v>2492</v>
      </c>
    </row>
    <row r="1918" spans="1:11" x14ac:dyDescent="0.25">
      <c r="A1918" s="310">
        <v>77</v>
      </c>
      <c r="B1918" s="310"/>
      <c r="C1918" s="333"/>
      <c r="D1918" s="310"/>
      <c r="E1918" s="312"/>
      <c r="F1918" s="313"/>
      <c r="G1918" s="310"/>
      <c r="H1918" s="87" t="s">
        <v>67</v>
      </c>
      <c r="I1918" s="223">
        <v>18129804.32</v>
      </c>
      <c r="J1918" s="223">
        <f>I1918/D1917</f>
        <v>1800.2</v>
      </c>
      <c r="K1918" s="223">
        <v>2440</v>
      </c>
    </row>
    <row r="1919" spans="1:11" x14ac:dyDescent="0.25">
      <c r="A1919" s="310"/>
      <c r="B1919" s="310"/>
      <c r="C1919" s="333"/>
      <c r="D1919" s="310"/>
      <c r="E1919" s="312"/>
      <c r="F1919" s="313"/>
      <c r="G1919" s="310"/>
      <c r="H1919" s="87" t="s">
        <v>69</v>
      </c>
      <c r="I1919" s="223">
        <f>I1918*0.0214</f>
        <v>387977.81</v>
      </c>
      <c r="J1919" s="223">
        <f>I1919/D1917</f>
        <v>38.520000000000003</v>
      </c>
      <c r="K1919" s="223">
        <v>52</v>
      </c>
    </row>
    <row r="1920" spans="1:11" ht="15.75" customHeight="1" x14ac:dyDescent="0.25">
      <c r="A1920" s="307">
        <f>A1917+1</f>
        <v>114</v>
      </c>
      <c r="B1920" s="307">
        <v>4256</v>
      </c>
      <c r="C1920" s="315" t="s">
        <v>648</v>
      </c>
      <c r="D1920" s="318">
        <v>5120</v>
      </c>
      <c r="E1920" s="307" t="s">
        <v>68</v>
      </c>
      <c r="F1920" s="307">
        <v>9</v>
      </c>
      <c r="G1920" s="145"/>
      <c r="H1920" s="87" t="s">
        <v>66</v>
      </c>
      <c r="I1920" s="223">
        <f>I1921</f>
        <v>32281</v>
      </c>
      <c r="J1920" s="223">
        <f>J1921</f>
        <v>6.3</v>
      </c>
      <c r="K1920" s="223">
        <f>K1921</f>
        <v>6.3</v>
      </c>
    </row>
    <row r="1921" spans="1:11" ht="47.25" customHeight="1" x14ac:dyDescent="0.25">
      <c r="A1921" s="308"/>
      <c r="B1921" s="308"/>
      <c r="C1921" s="317"/>
      <c r="D1921" s="319"/>
      <c r="E1921" s="308"/>
      <c r="F1921" s="308"/>
      <c r="G1921" s="148" t="s">
        <v>170</v>
      </c>
      <c r="H1921" s="87" t="s">
        <v>168</v>
      </c>
      <c r="I1921" s="223">
        <f>22681+9600</f>
        <v>32281</v>
      </c>
      <c r="J1921" s="223">
        <f>I1921/D1920</f>
        <v>6.3</v>
      </c>
      <c r="K1921" s="223">
        <f>32281/D1920</f>
        <v>6.3</v>
      </c>
    </row>
    <row r="1922" spans="1:11" x14ac:dyDescent="0.25">
      <c r="A1922" s="310">
        <f>A1920+1</f>
        <v>115</v>
      </c>
      <c r="B1922" s="310">
        <v>3423</v>
      </c>
      <c r="C1922" s="333" t="s">
        <v>374</v>
      </c>
      <c r="D1922" s="312">
        <v>3421.41</v>
      </c>
      <c r="E1922" s="312" t="s">
        <v>68</v>
      </c>
      <c r="F1922" s="313">
        <v>7</v>
      </c>
      <c r="G1922" s="310" t="s">
        <v>65</v>
      </c>
      <c r="H1922" s="87" t="s">
        <v>66</v>
      </c>
      <c r="I1922" s="223">
        <f>I1923</f>
        <v>522363.77</v>
      </c>
      <c r="J1922" s="223">
        <f>J1923</f>
        <v>152.66999999999999</v>
      </c>
      <c r="K1922" s="223">
        <f>K1923</f>
        <v>164</v>
      </c>
    </row>
    <row r="1923" spans="1:11" ht="63" x14ac:dyDescent="0.25">
      <c r="A1923" s="310"/>
      <c r="B1923" s="310"/>
      <c r="C1923" s="333"/>
      <c r="D1923" s="312"/>
      <c r="E1923" s="312"/>
      <c r="F1923" s="313"/>
      <c r="G1923" s="310"/>
      <c r="H1923" s="87" t="s">
        <v>168</v>
      </c>
      <c r="I1923" s="223">
        <v>522363.77</v>
      </c>
      <c r="J1923" s="223">
        <f>I1923/D1922</f>
        <v>152.66999999999999</v>
      </c>
      <c r="K1923" s="223">
        <f>151+13</f>
        <v>164</v>
      </c>
    </row>
    <row r="1924" spans="1:11" ht="15.75" customHeight="1" x14ac:dyDescent="0.25">
      <c r="A1924" s="310">
        <f>A1922+1</f>
        <v>116</v>
      </c>
      <c r="B1924" s="310">
        <v>2292</v>
      </c>
      <c r="C1924" s="333" t="s">
        <v>649</v>
      </c>
      <c r="D1924" s="312">
        <v>2567.1999999999998</v>
      </c>
      <c r="E1924" s="312" t="s">
        <v>68</v>
      </c>
      <c r="F1924" s="313">
        <v>6</v>
      </c>
      <c r="G1924" s="310" t="s">
        <v>65</v>
      </c>
      <c r="H1924" s="87" t="s">
        <v>66</v>
      </c>
      <c r="I1924" s="223">
        <f>I1925</f>
        <v>302584.57</v>
      </c>
      <c r="J1924" s="223">
        <f>J1925</f>
        <v>117.87</v>
      </c>
      <c r="K1924" s="223">
        <f>K1925</f>
        <v>169</v>
      </c>
    </row>
    <row r="1925" spans="1:11" ht="47.25" customHeight="1" x14ac:dyDescent="0.25">
      <c r="A1925" s="310"/>
      <c r="B1925" s="310"/>
      <c r="C1925" s="333"/>
      <c r="D1925" s="312"/>
      <c r="E1925" s="312"/>
      <c r="F1925" s="313"/>
      <c r="G1925" s="310"/>
      <c r="H1925" s="87" t="s">
        <v>178</v>
      </c>
      <c r="I1925" s="268">
        <v>302584.57</v>
      </c>
      <c r="J1925" s="223">
        <f>I1925/D1924</f>
        <v>117.87</v>
      </c>
      <c r="K1925" s="223">
        <f>151+18</f>
        <v>169</v>
      </c>
    </row>
    <row r="1926" spans="1:11" x14ac:dyDescent="0.25">
      <c r="A1926" s="310">
        <f>A1924+1</f>
        <v>117</v>
      </c>
      <c r="B1926" s="310">
        <v>2466</v>
      </c>
      <c r="C1926" s="333" t="s">
        <v>537</v>
      </c>
      <c r="D1926" s="312">
        <v>2580.6999999999998</v>
      </c>
      <c r="E1926" s="312" t="s">
        <v>64</v>
      </c>
      <c r="F1926" s="313">
        <v>5</v>
      </c>
      <c r="G1926" s="310" t="s">
        <v>74</v>
      </c>
      <c r="H1926" s="87" t="s">
        <v>66</v>
      </c>
      <c r="I1926" s="223">
        <f>I1927+I1928</f>
        <v>728837.19</v>
      </c>
      <c r="J1926" s="223">
        <f>J1927+J1928</f>
        <v>282.42</v>
      </c>
      <c r="K1926" s="223">
        <f>K1927+K1928</f>
        <v>362</v>
      </c>
    </row>
    <row r="1927" spans="1:11" x14ac:dyDescent="0.25">
      <c r="A1927" s="310"/>
      <c r="B1927" s="310"/>
      <c r="C1927" s="333"/>
      <c r="D1927" s="312"/>
      <c r="E1927" s="312"/>
      <c r="F1927" s="313"/>
      <c r="G1927" s="310"/>
      <c r="H1927" s="87" t="s">
        <v>67</v>
      </c>
      <c r="I1927" s="223">
        <v>708578.5</v>
      </c>
      <c r="J1927" s="223">
        <f>I1927/D1926</f>
        <v>274.57</v>
      </c>
      <c r="K1927" s="223">
        <v>354</v>
      </c>
    </row>
    <row r="1928" spans="1:11" x14ac:dyDescent="0.25">
      <c r="A1928" s="310"/>
      <c r="B1928" s="310"/>
      <c r="C1928" s="333"/>
      <c r="D1928" s="312"/>
      <c r="E1928" s="312"/>
      <c r="F1928" s="313"/>
      <c r="G1928" s="310"/>
      <c r="H1928" s="87" t="s">
        <v>69</v>
      </c>
      <c r="I1928" s="223">
        <v>20258.689999999999</v>
      </c>
      <c r="J1928" s="223">
        <f>I1928/D1926</f>
        <v>7.85</v>
      </c>
      <c r="K1928" s="223">
        <v>8</v>
      </c>
    </row>
    <row r="1929" spans="1:11" ht="15.75" customHeight="1" x14ac:dyDescent="0.25">
      <c r="A1929" s="307">
        <f>A1926+1</f>
        <v>118</v>
      </c>
      <c r="B1929" s="307">
        <v>2255</v>
      </c>
      <c r="C1929" s="315" t="s">
        <v>600</v>
      </c>
      <c r="D1929" s="318">
        <v>4870</v>
      </c>
      <c r="E1929" s="307" t="s">
        <v>64</v>
      </c>
      <c r="F1929" s="307">
        <v>10</v>
      </c>
      <c r="G1929" s="145"/>
      <c r="H1929" s="87" t="s">
        <v>66</v>
      </c>
      <c r="I1929" s="223">
        <f>I1930+I1931+I1932+I1933</f>
        <v>3622071.99</v>
      </c>
      <c r="J1929" s="223">
        <f>J1930+J1931+J1932+J1933</f>
        <v>743.75</v>
      </c>
      <c r="K1929" s="223">
        <f>K1930+K1931+K1932+K1933</f>
        <v>940.29</v>
      </c>
    </row>
    <row r="1930" spans="1:11" ht="15.75" customHeight="1" x14ac:dyDescent="0.25">
      <c r="A1930" s="308"/>
      <c r="B1930" s="308"/>
      <c r="C1930" s="317"/>
      <c r="D1930" s="319"/>
      <c r="E1930" s="308"/>
      <c r="F1930" s="308"/>
      <c r="G1930" s="307" t="s">
        <v>170</v>
      </c>
      <c r="H1930" s="87" t="s">
        <v>171</v>
      </c>
      <c r="I1930" s="223">
        <v>1796484.72</v>
      </c>
      <c r="J1930" s="223">
        <f>I1930/D1929-0.01</f>
        <v>368.88</v>
      </c>
      <c r="K1930" s="223">
        <f>2241647/D1929-0.01</f>
        <v>460.29</v>
      </c>
    </row>
    <row r="1931" spans="1:11" ht="15.75" customHeight="1" x14ac:dyDescent="0.25">
      <c r="A1931" s="308"/>
      <c r="B1931" s="308"/>
      <c r="C1931" s="317"/>
      <c r="D1931" s="319"/>
      <c r="E1931" s="308"/>
      <c r="F1931" s="308"/>
      <c r="G1931" s="309"/>
      <c r="H1931" s="87" t="s">
        <v>69</v>
      </c>
      <c r="I1931" s="223">
        <v>14551.28</v>
      </c>
      <c r="J1931" s="223">
        <f>I1931/D1929</f>
        <v>2.99</v>
      </c>
      <c r="K1931" s="223">
        <f>47971/D1929</f>
        <v>9.85</v>
      </c>
    </row>
    <row r="1932" spans="1:11" ht="15.75" customHeight="1" x14ac:dyDescent="0.25">
      <c r="A1932" s="308"/>
      <c r="B1932" s="308"/>
      <c r="C1932" s="317"/>
      <c r="D1932" s="319"/>
      <c r="E1932" s="308"/>
      <c r="F1932" s="308"/>
      <c r="G1932" s="307" t="s">
        <v>173</v>
      </c>
      <c r="H1932" s="87" t="s">
        <v>171</v>
      </c>
      <c r="I1932" s="223">
        <v>1796484.71</v>
      </c>
      <c r="J1932" s="223">
        <f>I1932/D1929</f>
        <v>368.89</v>
      </c>
      <c r="K1932" s="223">
        <f>2241647/D1929</f>
        <v>460.3</v>
      </c>
    </row>
    <row r="1933" spans="1:11" ht="15.75" customHeight="1" x14ac:dyDescent="0.25">
      <c r="A1933" s="308"/>
      <c r="B1933" s="308"/>
      <c r="C1933" s="317"/>
      <c r="D1933" s="319"/>
      <c r="E1933" s="308"/>
      <c r="F1933" s="308"/>
      <c r="G1933" s="309"/>
      <c r="H1933" s="87" t="s">
        <v>69</v>
      </c>
      <c r="I1933" s="223">
        <v>14551.28</v>
      </c>
      <c r="J1933" s="223">
        <f>I1933/D1929</f>
        <v>2.99</v>
      </c>
      <c r="K1933" s="223">
        <f>47971/D1929</f>
        <v>9.85</v>
      </c>
    </row>
    <row r="1934" spans="1:11" ht="15.75" customHeight="1" x14ac:dyDescent="0.25">
      <c r="A1934" s="307">
        <f>A1929+1</f>
        <v>119</v>
      </c>
      <c r="B1934" s="307">
        <v>2475</v>
      </c>
      <c r="C1934" s="315" t="s">
        <v>650</v>
      </c>
      <c r="D1934" s="318">
        <v>16514.59</v>
      </c>
      <c r="E1934" s="307" t="s">
        <v>64</v>
      </c>
      <c r="F1934" s="307">
        <v>10</v>
      </c>
      <c r="G1934" s="145"/>
      <c r="H1934" s="87" t="s">
        <v>66</v>
      </c>
      <c r="I1934" s="223">
        <f>I1935+I1936+I1937</f>
        <v>96843</v>
      </c>
      <c r="J1934" s="223">
        <f>J1935+J1936+J1937</f>
        <v>5.86</v>
      </c>
      <c r="K1934" s="223">
        <f>K1935+K1936+K1937</f>
        <v>5.86</v>
      </c>
    </row>
    <row r="1935" spans="1:11" ht="47.25" customHeight="1" x14ac:dyDescent="0.25">
      <c r="A1935" s="308"/>
      <c r="B1935" s="308"/>
      <c r="C1935" s="317"/>
      <c r="D1935" s="319"/>
      <c r="E1935" s="308"/>
      <c r="F1935" s="308"/>
      <c r="G1935" s="148" t="s">
        <v>174</v>
      </c>
      <c r="H1935" s="87" t="s">
        <v>168</v>
      </c>
      <c r="I1935" s="223">
        <f>22681+9600</f>
        <v>32281</v>
      </c>
      <c r="J1935" s="223">
        <f>I1935/D1934</f>
        <v>1.95</v>
      </c>
      <c r="K1935" s="223">
        <f>32281/D1934</f>
        <v>1.95</v>
      </c>
    </row>
    <row r="1936" spans="1:11" ht="47.25" customHeight="1" x14ac:dyDescent="0.25">
      <c r="A1936" s="308"/>
      <c r="B1936" s="308"/>
      <c r="C1936" s="317"/>
      <c r="D1936" s="319"/>
      <c r="E1936" s="308"/>
      <c r="F1936" s="308"/>
      <c r="G1936" s="148" t="s">
        <v>175</v>
      </c>
      <c r="H1936" s="87" t="s">
        <v>168</v>
      </c>
      <c r="I1936" s="223">
        <f>22681+9600</f>
        <v>32281</v>
      </c>
      <c r="J1936" s="223">
        <f>I1936/D1934+0.01</f>
        <v>1.96</v>
      </c>
      <c r="K1936" s="223">
        <f>32281/D1934+0.01</f>
        <v>1.96</v>
      </c>
    </row>
    <row r="1937" spans="1:11" ht="47.25" customHeight="1" x14ac:dyDescent="0.25">
      <c r="A1937" s="308"/>
      <c r="B1937" s="308"/>
      <c r="C1937" s="317"/>
      <c r="D1937" s="319"/>
      <c r="E1937" s="308"/>
      <c r="F1937" s="308"/>
      <c r="G1937" s="148" t="s">
        <v>172</v>
      </c>
      <c r="H1937" s="87" t="s">
        <v>168</v>
      </c>
      <c r="I1937" s="223">
        <f>22681+9600</f>
        <v>32281</v>
      </c>
      <c r="J1937" s="223">
        <f>I1937/D1934</f>
        <v>1.95</v>
      </c>
      <c r="K1937" s="223">
        <f>32281/D1934</f>
        <v>1.95</v>
      </c>
    </row>
    <row r="1938" spans="1:11" ht="15.75" customHeight="1" x14ac:dyDescent="0.25">
      <c r="A1938" s="307">
        <f>A1934+1</f>
        <v>120</v>
      </c>
      <c r="B1938" s="307">
        <v>3048</v>
      </c>
      <c r="C1938" s="315" t="s">
        <v>601</v>
      </c>
      <c r="D1938" s="318">
        <v>11324.3</v>
      </c>
      <c r="E1938" s="307" t="s">
        <v>64</v>
      </c>
      <c r="F1938" s="307">
        <v>10</v>
      </c>
      <c r="G1938" s="145"/>
      <c r="H1938" s="87" t="s">
        <v>66</v>
      </c>
      <c r="I1938" s="223">
        <f>I1939+I1940+I1941+I1942</f>
        <v>4579236</v>
      </c>
      <c r="J1938" s="223">
        <f>J1939+J1940+J1941+J1942</f>
        <v>404.37</v>
      </c>
      <c r="K1938" s="223">
        <f>K1939+K1940+K1941+K1942</f>
        <v>404.37</v>
      </c>
    </row>
    <row r="1939" spans="1:11" ht="15.75" customHeight="1" x14ac:dyDescent="0.25">
      <c r="A1939" s="308"/>
      <c r="B1939" s="308"/>
      <c r="C1939" s="317"/>
      <c r="D1939" s="319"/>
      <c r="E1939" s="308"/>
      <c r="F1939" s="308"/>
      <c r="G1939" s="308" t="s">
        <v>175</v>
      </c>
      <c r="H1939" s="87" t="s">
        <v>171</v>
      </c>
      <c r="I1939" s="223">
        <v>2241647</v>
      </c>
      <c r="J1939" s="223">
        <f>I1939/D1938</f>
        <v>197.95</v>
      </c>
      <c r="K1939" s="223">
        <f>2241647/D1938</f>
        <v>197.95</v>
      </c>
    </row>
    <row r="1940" spans="1:11" ht="15.75" customHeight="1" x14ac:dyDescent="0.25">
      <c r="A1940" s="308"/>
      <c r="B1940" s="308"/>
      <c r="C1940" s="317"/>
      <c r="D1940" s="319"/>
      <c r="E1940" s="308"/>
      <c r="F1940" s="308"/>
      <c r="G1940" s="309"/>
      <c r="H1940" s="87" t="s">
        <v>69</v>
      </c>
      <c r="I1940" s="223">
        <v>47971</v>
      </c>
      <c r="J1940" s="223">
        <f>I1940/D1938</f>
        <v>4.24</v>
      </c>
      <c r="K1940" s="223">
        <f>47971/D1938</f>
        <v>4.24</v>
      </c>
    </row>
    <row r="1941" spans="1:11" ht="15.75" customHeight="1" x14ac:dyDescent="0.25">
      <c r="A1941" s="308"/>
      <c r="B1941" s="308"/>
      <c r="C1941" s="317"/>
      <c r="D1941" s="319"/>
      <c r="E1941" s="308"/>
      <c r="F1941" s="308"/>
      <c r="G1941" s="308" t="s">
        <v>172</v>
      </c>
      <c r="H1941" s="87" t="s">
        <v>171</v>
      </c>
      <c r="I1941" s="223">
        <v>2241647</v>
      </c>
      <c r="J1941" s="223">
        <f>I1941/D1938-0.01</f>
        <v>197.94</v>
      </c>
      <c r="K1941" s="223">
        <f>2241647/D1938-0.01</f>
        <v>197.94</v>
      </c>
    </row>
    <row r="1942" spans="1:11" ht="15.75" customHeight="1" x14ac:dyDescent="0.25">
      <c r="A1942" s="308"/>
      <c r="B1942" s="308"/>
      <c r="C1942" s="317"/>
      <c r="D1942" s="319"/>
      <c r="E1942" s="308"/>
      <c r="F1942" s="308"/>
      <c r="G1942" s="309"/>
      <c r="H1942" s="87" t="s">
        <v>69</v>
      </c>
      <c r="I1942" s="223">
        <v>47971</v>
      </c>
      <c r="J1942" s="223">
        <f>I1942/D1938</f>
        <v>4.24</v>
      </c>
      <c r="K1942" s="223">
        <f>47971/D1938</f>
        <v>4.24</v>
      </c>
    </row>
    <row r="1943" spans="1:11" ht="15.75" customHeight="1" x14ac:dyDescent="0.25">
      <c r="A1943" s="310">
        <f>A1938+1</f>
        <v>121</v>
      </c>
      <c r="B1943" s="310">
        <v>2405</v>
      </c>
      <c r="C1943" s="311" t="s">
        <v>747</v>
      </c>
      <c r="D1943" s="312">
        <v>3319.7</v>
      </c>
      <c r="E1943" s="312" t="s">
        <v>68</v>
      </c>
      <c r="F1943" s="313">
        <v>5</v>
      </c>
      <c r="G1943" s="310" t="s">
        <v>65</v>
      </c>
      <c r="H1943" s="87" t="s">
        <v>66</v>
      </c>
      <c r="I1943" s="223">
        <f>I1944</f>
        <v>597546</v>
      </c>
      <c r="J1943" s="223">
        <f>J1944</f>
        <v>180</v>
      </c>
      <c r="K1943" s="223">
        <f>K1944</f>
        <v>180</v>
      </c>
    </row>
    <row r="1944" spans="1:11" ht="75.75" customHeight="1" x14ac:dyDescent="0.25">
      <c r="A1944" s="310">
        <v>77</v>
      </c>
      <c r="B1944" s="310"/>
      <c r="C1944" s="311"/>
      <c r="D1944" s="310"/>
      <c r="E1944" s="312"/>
      <c r="F1944" s="313"/>
      <c r="G1944" s="310"/>
      <c r="H1944" s="87" t="s">
        <v>685</v>
      </c>
      <c r="I1944" s="223">
        <f>D1943*K1944</f>
        <v>597546</v>
      </c>
      <c r="J1944" s="223">
        <f>I1944/D1943</f>
        <v>180</v>
      </c>
      <c r="K1944" s="223">
        <f>147+33</f>
        <v>180</v>
      </c>
    </row>
    <row r="1945" spans="1:11" ht="15.75" customHeight="1" x14ac:dyDescent="0.25">
      <c r="A1945" s="307">
        <f>A1943+1</f>
        <v>122</v>
      </c>
      <c r="B1945" s="307">
        <v>2406</v>
      </c>
      <c r="C1945" s="315" t="s">
        <v>602</v>
      </c>
      <c r="D1945" s="318">
        <v>3371</v>
      </c>
      <c r="E1945" s="307" t="s">
        <v>68</v>
      </c>
      <c r="F1945" s="307">
        <v>7</v>
      </c>
      <c r="G1945" s="145"/>
      <c r="H1945" s="87" t="s">
        <v>66</v>
      </c>
      <c r="I1945" s="223">
        <f>I1946+I1947</f>
        <v>1818725.35</v>
      </c>
      <c r="J1945" s="223">
        <f>J1946+J1947</f>
        <v>539.52</v>
      </c>
      <c r="K1945" s="223">
        <f>K1946+K1947</f>
        <v>679.21</v>
      </c>
    </row>
    <row r="1946" spans="1:11" ht="15.75" customHeight="1" x14ac:dyDescent="0.25">
      <c r="A1946" s="308"/>
      <c r="B1946" s="308"/>
      <c r="C1946" s="317"/>
      <c r="D1946" s="319"/>
      <c r="E1946" s="308"/>
      <c r="F1946" s="308"/>
      <c r="G1946" s="307" t="s">
        <v>174</v>
      </c>
      <c r="H1946" s="87" t="s">
        <v>171</v>
      </c>
      <c r="I1946" s="223">
        <v>1804174.07</v>
      </c>
      <c r="J1946" s="223">
        <f>I1946/D1945</f>
        <v>535.20000000000005</v>
      </c>
      <c r="K1946" s="223">
        <f>2241647/D1945</f>
        <v>664.98</v>
      </c>
    </row>
    <row r="1947" spans="1:11" ht="15.75" customHeight="1" x14ac:dyDescent="0.25">
      <c r="A1947" s="308"/>
      <c r="B1947" s="308"/>
      <c r="C1947" s="317"/>
      <c r="D1947" s="319"/>
      <c r="E1947" s="308"/>
      <c r="F1947" s="308"/>
      <c r="G1947" s="309"/>
      <c r="H1947" s="87" t="s">
        <v>69</v>
      </c>
      <c r="I1947" s="223">
        <v>14551.28</v>
      </c>
      <c r="J1947" s="223">
        <f>I1947/D1945</f>
        <v>4.32</v>
      </c>
      <c r="K1947" s="223">
        <f>47971/D1945</f>
        <v>14.23</v>
      </c>
    </row>
    <row r="1948" spans="1:11" x14ac:dyDescent="0.25">
      <c r="A1948" s="307">
        <f>A1945+1</f>
        <v>123</v>
      </c>
      <c r="B1948" s="307">
        <v>2235</v>
      </c>
      <c r="C1948" s="315" t="s">
        <v>80</v>
      </c>
      <c r="D1948" s="318">
        <v>4058.1</v>
      </c>
      <c r="E1948" s="318" t="s">
        <v>68</v>
      </c>
      <c r="F1948" s="330">
        <v>10</v>
      </c>
      <c r="G1948" s="307" t="s">
        <v>75</v>
      </c>
      <c r="H1948" s="87" t="s">
        <v>66</v>
      </c>
      <c r="I1948" s="223">
        <f>I1949+I1950+I1951+I1952</f>
        <v>23889155.219999999</v>
      </c>
      <c r="J1948" s="223">
        <f>J1949+J1950+J1951+J1952</f>
        <v>5886.78</v>
      </c>
      <c r="K1948" s="223">
        <f>K1949+K1950+K1951+K1952</f>
        <v>7631</v>
      </c>
    </row>
    <row r="1949" spans="1:11" x14ac:dyDescent="0.25">
      <c r="A1949" s="308"/>
      <c r="B1949" s="308"/>
      <c r="C1949" s="317"/>
      <c r="D1949" s="308"/>
      <c r="E1949" s="319"/>
      <c r="F1949" s="331"/>
      <c r="G1949" s="308"/>
      <c r="H1949" s="87" t="s">
        <v>67</v>
      </c>
      <c r="I1949" s="223">
        <v>5474083.4299999997</v>
      </c>
      <c r="J1949" s="223">
        <f>I1949/D1948</f>
        <v>1348.93</v>
      </c>
      <c r="K1949" s="223">
        <v>1733</v>
      </c>
    </row>
    <row r="1950" spans="1:11" x14ac:dyDescent="0.25">
      <c r="A1950" s="308"/>
      <c r="B1950" s="308"/>
      <c r="C1950" s="317"/>
      <c r="D1950" s="308"/>
      <c r="E1950" s="319"/>
      <c r="F1950" s="331"/>
      <c r="G1950" s="308"/>
      <c r="H1950" s="87" t="s">
        <v>69</v>
      </c>
      <c r="I1950" s="223">
        <f>I1949*0.0214</f>
        <v>117145.39</v>
      </c>
      <c r="J1950" s="223">
        <f>I1950/D1948</f>
        <v>28.87</v>
      </c>
      <c r="K1950" s="223">
        <v>37</v>
      </c>
    </row>
    <row r="1951" spans="1:11" x14ac:dyDescent="0.25">
      <c r="A1951" s="308"/>
      <c r="B1951" s="308"/>
      <c r="C1951" s="317"/>
      <c r="D1951" s="308"/>
      <c r="E1951" s="319"/>
      <c r="F1951" s="331"/>
      <c r="G1951" s="308"/>
      <c r="H1951" s="87" t="s">
        <v>179</v>
      </c>
      <c r="I1951" s="223">
        <v>17914554.920000002</v>
      </c>
      <c r="J1951" s="223">
        <f>I1951/D1948-0.01</f>
        <v>4414.51</v>
      </c>
      <c r="K1951" s="223">
        <v>5738</v>
      </c>
    </row>
    <row r="1952" spans="1:11" x14ac:dyDescent="0.25">
      <c r="A1952" s="309"/>
      <c r="B1952" s="309"/>
      <c r="C1952" s="316"/>
      <c r="D1952" s="309"/>
      <c r="E1952" s="329"/>
      <c r="F1952" s="332"/>
      <c r="G1952" s="309"/>
      <c r="H1952" s="87" t="s">
        <v>69</v>
      </c>
      <c r="I1952" s="223">
        <f>I1951*0.0214</f>
        <v>383371.48</v>
      </c>
      <c r="J1952" s="223">
        <f>I1952/D1948</f>
        <v>94.47</v>
      </c>
      <c r="K1952" s="223">
        <v>123</v>
      </c>
    </row>
    <row r="1953" spans="1:11" x14ac:dyDescent="0.25">
      <c r="A1953" s="310">
        <f>A1948+1</f>
        <v>124</v>
      </c>
      <c r="B1953" s="310">
        <v>2237</v>
      </c>
      <c r="C1953" s="333" t="s">
        <v>541</v>
      </c>
      <c r="D1953" s="312">
        <v>3373.3</v>
      </c>
      <c r="E1953" s="312" t="s">
        <v>68</v>
      </c>
      <c r="F1953" s="313">
        <v>5</v>
      </c>
      <c r="G1953" s="310" t="s">
        <v>74</v>
      </c>
      <c r="H1953" s="87" t="s">
        <v>66</v>
      </c>
      <c r="I1953" s="223">
        <f>I1954+I1955</f>
        <v>885487.64</v>
      </c>
      <c r="J1953" s="223">
        <f>J1954+J1955</f>
        <v>262.5</v>
      </c>
      <c r="K1953" s="223">
        <f>K1954+K1955</f>
        <v>407</v>
      </c>
    </row>
    <row r="1954" spans="1:11" x14ac:dyDescent="0.25">
      <c r="A1954" s="310"/>
      <c r="B1954" s="310"/>
      <c r="C1954" s="333"/>
      <c r="D1954" s="312"/>
      <c r="E1954" s="312"/>
      <c r="F1954" s="313"/>
      <c r="G1954" s="310"/>
      <c r="H1954" s="87" t="s">
        <v>67</v>
      </c>
      <c r="I1954" s="223">
        <v>855583.34</v>
      </c>
      <c r="J1954" s="223">
        <f>I1954/D1953+0.01</f>
        <v>253.64</v>
      </c>
      <c r="K1954" s="223">
        <v>398</v>
      </c>
    </row>
    <row r="1955" spans="1:11" x14ac:dyDescent="0.25">
      <c r="A1955" s="310"/>
      <c r="B1955" s="310"/>
      <c r="C1955" s="333"/>
      <c r="D1955" s="312"/>
      <c r="E1955" s="312"/>
      <c r="F1955" s="313"/>
      <c r="G1955" s="310"/>
      <c r="H1955" s="87" t="s">
        <v>69</v>
      </c>
      <c r="I1955" s="223">
        <v>29904.3</v>
      </c>
      <c r="J1955" s="223">
        <f>I1955/D1953</f>
        <v>8.86</v>
      </c>
      <c r="K1955" s="223">
        <v>9</v>
      </c>
    </row>
    <row r="1956" spans="1:11" x14ac:dyDescent="0.25">
      <c r="A1956" s="310">
        <f>A1953+1</f>
        <v>125</v>
      </c>
      <c r="B1956" s="310">
        <v>2414</v>
      </c>
      <c r="C1956" s="333" t="s">
        <v>531</v>
      </c>
      <c r="D1956" s="312">
        <v>3170.6</v>
      </c>
      <c r="E1956" s="312" t="s">
        <v>68</v>
      </c>
      <c r="F1956" s="313">
        <v>5</v>
      </c>
      <c r="G1956" s="310" t="s">
        <v>74</v>
      </c>
      <c r="H1956" s="87" t="s">
        <v>66</v>
      </c>
      <c r="I1956" s="223">
        <f>I1957+I1958</f>
        <v>876109.93</v>
      </c>
      <c r="J1956" s="223">
        <f>J1957+J1958</f>
        <v>276.32</v>
      </c>
      <c r="K1956" s="223">
        <f>K1957+K1958</f>
        <v>362</v>
      </c>
    </row>
    <row r="1957" spans="1:11" x14ac:dyDescent="0.25">
      <c r="A1957" s="310"/>
      <c r="B1957" s="310"/>
      <c r="C1957" s="333"/>
      <c r="D1957" s="312"/>
      <c r="E1957" s="312"/>
      <c r="F1957" s="313"/>
      <c r="G1957" s="310"/>
      <c r="H1957" s="87" t="s">
        <v>67</v>
      </c>
      <c r="I1957" s="223">
        <v>851139</v>
      </c>
      <c r="J1957" s="223">
        <f>I1957/D1956-0.01</f>
        <v>268.44</v>
      </c>
      <c r="K1957" s="223">
        <v>354</v>
      </c>
    </row>
    <row r="1958" spans="1:11" x14ac:dyDescent="0.25">
      <c r="A1958" s="310"/>
      <c r="B1958" s="310"/>
      <c r="C1958" s="333"/>
      <c r="D1958" s="312"/>
      <c r="E1958" s="312"/>
      <c r="F1958" s="313"/>
      <c r="G1958" s="310"/>
      <c r="H1958" s="87" t="s">
        <v>69</v>
      </c>
      <c r="I1958" s="223">
        <v>24970.93</v>
      </c>
      <c r="J1958" s="223">
        <f>I1958/D1956</f>
        <v>7.88</v>
      </c>
      <c r="K1958" s="223">
        <v>8</v>
      </c>
    </row>
    <row r="1959" spans="1:11" x14ac:dyDescent="0.25">
      <c r="A1959" s="310">
        <f>A1956+1</f>
        <v>126</v>
      </c>
      <c r="B1959" s="310">
        <v>2489</v>
      </c>
      <c r="C1959" s="333" t="s">
        <v>217</v>
      </c>
      <c r="D1959" s="312">
        <v>4971.3999999999996</v>
      </c>
      <c r="E1959" s="312" t="s">
        <v>68</v>
      </c>
      <c r="F1959" s="313">
        <v>9</v>
      </c>
      <c r="G1959" s="310" t="s">
        <v>65</v>
      </c>
      <c r="H1959" s="87" t="s">
        <v>66</v>
      </c>
      <c r="I1959" s="223">
        <f>I1960+I1961</f>
        <v>8972618.7899999991</v>
      </c>
      <c r="J1959" s="223">
        <f>J1960+J1961</f>
        <v>1804.85</v>
      </c>
      <c r="K1959" s="223">
        <f>K1960+K1961</f>
        <v>2492</v>
      </c>
    </row>
    <row r="1960" spans="1:11" x14ac:dyDescent="0.25">
      <c r="A1960" s="310">
        <v>77</v>
      </c>
      <c r="B1960" s="310"/>
      <c r="C1960" s="333"/>
      <c r="D1960" s="310"/>
      <c r="E1960" s="312"/>
      <c r="F1960" s="313"/>
      <c r="G1960" s="310"/>
      <c r="H1960" s="87" t="s">
        <v>67</v>
      </c>
      <c r="I1960" s="223">
        <v>8784627.7599999998</v>
      </c>
      <c r="J1960" s="223">
        <f>I1960/D1959+0.01</f>
        <v>1767.04</v>
      </c>
      <c r="K1960" s="223">
        <v>2440</v>
      </c>
    </row>
    <row r="1961" spans="1:11" x14ac:dyDescent="0.25">
      <c r="A1961" s="310"/>
      <c r="B1961" s="310"/>
      <c r="C1961" s="333"/>
      <c r="D1961" s="310"/>
      <c r="E1961" s="312"/>
      <c r="F1961" s="313"/>
      <c r="G1961" s="310"/>
      <c r="H1961" s="87" t="s">
        <v>69</v>
      </c>
      <c r="I1961" s="223">
        <f>I1960*0.0214</f>
        <v>187991.03</v>
      </c>
      <c r="J1961" s="223">
        <f>I1961/D1959</f>
        <v>37.81</v>
      </c>
      <c r="K1961" s="223">
        <v>52</v>
      </c>
    </row>
    <row r="1962" spans="1:11" x14ac:dyDescent="0.25">
      <c r="A1962" s="307">
        <f>A1959+1</f>
        <v>127</v>
      </c>
      <c r="B1962" s="307">
        <v>2239</v>
      </c>
      <c r="C1962" s="315" t="s">
        <v>218</v>
      </c>
      <c r="D1962" s="318">
        <v>4698.6000000000004</v>
      </c>
      <c r="E1962" s="318" t="s">
        <v>64</v>
      </c>
      <c r="F1962" s="330">
        <v>5</v>
      </c>
      <c r="G1962" s="121"/>
      <c r="H1962" s="87" t="s">
        <v>66</v>
      </c>
      <c r="I1962" s="223">
        <f>I1963+I1964+I1965+I1966+I1967+I1968</f>
        <v>38222905.960000001</v>
      </c>
      <c r="J1962" s="223">
        <f>J1963+J1964+J1965+J1966+J1967+J1968</f>
        <v>8134.96</v>
      </c>
      <c r="K1962" s="223">
        <f>K1963+K1964+K1965+K1966+K1967+K1968</f>
        <v>11509</v>
      </c>
    </row>
    <row r="1963" spans="1:11" x14ac:dyDescent="0.25">
      <c r="A1963" s="308"/>
      <c r="B1963" s="308"/>
      <c r="C1963" s="317"/>
      <c r="D1963" s="308"/>
      <c r="E1963" s="319"/>
      <c r="F1963" s="331"/>
      <c r="G1963" s="307" t="s">
        <v>65</v>
      </c>
      <c r="H1963" s="87" t="s">
        <v>67</v>
      </c>
      <c r="I1963" s="223">
        <v>14616602.470000001</v>
      </c>
      <c r="J1963" s="223">
        <f>I1963/D1962</f>
        <v>3110.84</v>
      </c>
      <c r="K1963" s="223">
        <v>3797</v>
      </c>
    </row>
    <row r="1964" spans="1:11" x14ac:dyDescent="0.25">
      <c r="A1964" s="308"/>
      <c r="B1964" s="308"/>
      <c r="C1964" s="317"/>
      <c r="D1964" s="308"/>
      <c r="E1964" s="319"/>
      <c r="F1964" s="331"/>
      <c r="G1964" s="309"/>
      <c r="H1964" s="87" t="s">
        <v>69</v>
      </c>
      <c r="I1964" s="223">
        <f>I1963*0.0214</f>
        <v>312795.28999999998</v>
      </c>
      <c r="J1964" s="223">
        <f>I1964/D1962</f>
        <v>66.569999999999993</v>
      </c>
      <c r="K1964" s="223">
        <v>81</v>
      </c>
    </row>
    <row r="1965" spans="1:11" x14ac:dyDescent="0.25">
      <c r="A1965" s="308"/>
      <c r="B1965" s="308"/>
      <c r="C1965" s="317"/>
      <c r="D1965" s="308"/>
      <c r="E1965" s="319"/>
      <c r="F1965" s="331"/>
      <c r="G1965" s="307" t="s">
        <v>75</v>
      </c>
      <c r="H1965" s="87" t="s">
        <v>67</v>
      </c>
      <c r="I1965" s="223">
        <v>3542697.94</v>
      </c>
      <c r="J1965" s="223">
        <f>I1965/D1962</f>
        <v>753.99</v>
      </c>
      <c r="K1965" s="223">
        <v>1733</v>
      </c>
    </row>
    <row r="1966" spans="1:11" x14ac:dyDescent="0.25">
      <c r="A1966" s="308"/>
      <c r="B1966" s="308"/>
      <c r="C1966" s="317"/>
      <c r="D1966" s="308"/>
      <c r="E1966" s="319"/>
      <c r="F1966" s="331"/>
      <c r="G1966" s="308"/>
      <c r="H1966" s="87" t="s">
        <v>69</v>
      </c>
      <c r="I1966" s="223">
        <f>I1965*0.0214</f>
        <v>75813.740000000005</v>
      </c>
      <c r="J1966" s="223">
        <f>I1966/D1962</f>
        <v>16.14</v>
      </c>
      <c r="K1966" s="223">
        <v>37</v>
      </c>
    </row>
    <row r="1967" spans="1:11" x14ac:dyDescent="0.25">
      <c r="A1967" s="308"/>
      <c r="B1967" s="308"/>
      <c r="C1967" s="317"/>
      <c r="D1967" s="308"/>
      <c r="E1967" s="319"/>
      <c r="F1967" s="331"/>
      <c r="G1967" s="308"/>
      <c r="H1967" s="87" t="s">
        <v>179</v>
      </c>
      <c r="I1967" s="223">
        <v>19262773.170000002</v>
      </c>
      <c r="J1967" s="223">
        <f>I1967/D1962+0.01</f>
        <v>4099.6899999999996</v>
      </c>
      <c r="K1967" s="223">
        <v>5738</v>
      </c>
    </row>
    <row r="1968" spans="1:11" x14ac:dyDescent="0.25">
      <c r="A1968" s="309"/>
      <c r="B1968" s="309"/>
      <c r="C1968" s="316"/>
      <c r="D1968" s="309"/>
      <c r="E1968" s="329"/>
      <c r="F1968" s="332"/>
      <c r="G1968" s="309"/>
      <c r="H1968" s="87" t="s">
        <v>69</v>
      </c>
      <c r="I1968" s="223">
        <f>I1967*0.0214</f>
        <v>412223.35</v>
      </c>
      <c r="J1968" s="223">
        <f>I1968/D1962</f>
        <v>87.73</v>
      </c>
      <c r="K1968" s="223">
        <v>123</v>
      </c>
    </row>
    <row r="1969" spans="1:11" x14ac:dyDescent="0.25">
      <c r="A1969" s="310">
        <f>A1962+1</f>
        <v>128</v>
      </c>
      <c r="B1969" s="310">
        <v>2422</v>
      </c>
      <c r="C1969" s="333" t="s">
        <v>219</v>
      </c>
      <c r="D1969" s="312">
        <v>6824.1</v>
      </c>
      <c r="E1969" s="312" t="s">
        <v>64</v>
      </c>
      <c r="F1969" s="313">
        <v>10</v>
      </c>
      <c r="G1969" s="310" t="s">
        <v>70</v>
      </c>
      <c r="H1969" s="87" t="s">
        <v>66</v>
      </c>
      <c r="I1969" s="223">
        <f>I1970+I1971</f>
        <v>14035558.970000001</v>
      </c>
      <c r="J1969" s="223">
        <f>J1970+J1971</f>
        <v>2056.7600000000002</v>
      </c>
      <c r="K1969" s="223">
        <f>K1970+K1971</f>
        <v>2341</v>
      </c>
    </row>
    <row r="1970" spans="1:11" x14ac:dyDescent="0.25">
      <c r="A1970" s="310">
        <v>78</v>
      </c>
      <c r="B1970" s="310"/>
      <c r="C1970" s="333"/>
      <c r="D1970" s="310"/>
      <c r="E1970" s="312"/>
      <c r="F1970" s="313"/>
      <c r="G1970" s="310"/>
      <c r="H1970" s="87" t="s">
        <v>67</v>
      </c>
      <c r="I1970" s="223">
        <v>13741491.060000001</v>
      </c>
      <c r="J1970" s="223">
        <f>I1970/D1969</f>
        <v>2013.67</v>
      </c>
      <c r="K1970" s="223">
        <v>2292</v>
      </c>
    </row>
    <row r="1971" spans="1:11" x14ac:dyDescent="0.25">
      <c r="A1971" s="310"/>
      <c r="B1971" s="310"/>
      <c r="C1971" s="333"/>
      <c r="D1971" s="310"/>
      <c r="E1971" s="312"/>
      <c r="F1971" s="313"/>
      <c r="G1971" s="310"/>
      <c r="H1971" s="87" t="s">
        <v>69</v>
      </c>
      <c r="I1971" s="223">
        <f>I1970*0.0214</f>
        <v>294067.90999999997</v>
      </c>
      <c r="J1971" s="223">
        <f>I1971/D1969</f>
        <v>43.09</v>
      </c>
      <c r="K1971" s="223">
        <v>49</v>
      </c>
    </row>
    <row r="1972" spans="1:11" ht="15.75" customHeight="1" x14ac:dyDescent="0.25">
      <c r="A1972" s="307">
        <f>A1969+1</f>
        <v>129</v>
      </c>
      <c r="B1972" s="307">
        <v>2243</v>
      </c>
      <c r="C1972" s="315" t="s">
        <v>651</v>
      </c>
      <c r="D1972" s="318">
        <v>13145.2</v>
      </c>
      <c r="E1972" s="307" t="s">
        <v>64</v>
      </c>
      <c r="F1972" s="307">
        <v>10</v>
      </c>
      <c r="G1972" s="145"/>
      <c r="H1972" s="87" t="s">
        <v>66</v>
      </c>
      <c r="I1972" s="223">
        <f>I1973+I1974+I1975+I1976+I1977+I1978</f>
        <v>193686</v>
      </c>
      <c r="J1972" s="223">
        <f>J1973+J1974+J1975+J1976+J1977+J1978</f>
        <v>14.73</v>
      </c>
      <c r="K1972" s="223">
        <f>K1973+K1974+K1975+K1976+K1977+K1978</f>
        <v>14.73</v>
      </c>
    </row>
    <row r="1973" spans="1:11" ht="47.25" customHeight="1" x14ac:dyDescent="0.25">
      <c r="A1973" s="308"/>
      <c r="B1973" s="308"/>
      <c r="C1973" s="317"/>
      <c r="D1973" s="319"/>
      <c r="E1973" s="308"/>
      <c r="F1973" s="308"/>
      <c r="G1973" s="148" t="s">
        <v>170</v>
      </c>
      <c r="H1973" s="87" t="s">
        <v>168</v>
      </c>
      <c r="I1973" s="223">
        <f t="shared" ref="I1973:I1978" si="70">22681+9600</f>
        <v>32281</v>
      </c>
      <c r="J1973" s="223">
        <f>I1973/D1972</f>
        <v>2.46</v>
      </c>
      <c r="K1973" s="223">
        <f>32281/D1972</f>
        <v>2.46</v>
      </c>
    </row>
    <row r="1974" spans="1:11" ht="47.25" customHeight="1" x14ac:dyDescent="0.25">
      <c r="A1974" s="308"/>
      <c r="B1974" s="308"/>
      <c r="C1974" s="317"/>
      <c r="D1974" s="319"/>
      <c r="E1974" s="308"/>
      <c r="F1974" s="308"/>
      <c r="G1974" s="148" t="s">
        <v>173</v>
      </c>
      <c r="H1974" s="87" t="s">
        <v>168</v>
      </c>
      <c r="I1974" s="223">
        <f t="shared" si="70"/>
        <v>32281</v>
      </c>
      <c r="J1974" s="223">
        <f>I1974/D1972-0.01</f>
        <v>2.4500000000000002</v>
      </c>
      <c r="K1974" s="223">
        <f>32281/D1972-0.01</f>
        <v>2.4500000000000002</v>
      </c>
    </row>
    <row r="1975" spans="1:11" ht="47.25" customHeight="1" x14ac:dyDescent="0.25">
      <c r="A1975" s="308"/>
      <c r="B1975" s="308"/>
      <c r="C1975" s="317"/>
      <c r="D1975" s="319"/>
      <c r="E1975" s="308"/>
      <c r="F1975" s="308"/>
      <c r="G1975" s="148" t="s">
        <v>174</v>
      </c>
      <c r="H1975" s="87" t="s">
        <v>168</v>
      </c>
      <c r="I1975" s="223">
        <f t="shared" si="70"/>
        <v>32281</v>
      </c>
      <c r="J1975" s="223">
        <f>I1975/D1972</f>
        <v>2.46</v>
      </c>
      <c r="K1975" s="223">
        <f>32281/D1972</f>
        <v>2.46</v>
      </c>
    </row>
    <row r="1976" spans="1:11" ht="47.25" customHeight="1" x14ac:dyDescent="0.25">
      <c r="A1976" s="308"/>
      <c r="B1976" s="308"/>
      <c r="C1976" s="317"/>
      <c r="D1976" s="319"/>
      <c r="E1976" s="308"/>
      <c r="F1976" s="308"/>
      <c r="G1976" s="148" t="s">
        <v>175</v>
      </c>
      <c r="H1976" s="87" t="s">
        <v>168</v>
      </c>
      <c r="I1976" s="223">
        <f t="shared" si="70"/>
        <v>32281</v>
      </c>
      <c r="J1976" s="223">
        <f>I1976/D1972-0.01</f>
        <v>2.4500000000000002</v>
      </c>
      <c r="K1976" s="223">
        <f>32281/D1972-0.01</f>
        <v>2.4500000000000002</v>
      </c>
    </row>
    <row r="1977" spans="1:11" ht="47.25" customHeight="1" x14ac:dyDescent="0.25">
      <c r="A1977" s="308"/>
      <c r="B1977" s="308"/>
      <c r="C1977" s="317"/>
      <c r="D1977" s="319"/>
      <c r="E1977" s="308"/>
      <c r="F1977" s="308"/>
      <c r="G1977" s="148" t="s">
        <v>172</v>
      </c>
      <c r="H1977" s="87" t="s">
        <v>168</v>
      </c>
      <c r="I1977" s="223">
        <f t="shared" si="70"/>
        <v>32281</v>
      </c>
      <c r="J1977" s="223">
        <f>I1977/D1972</f>
        <v>2.46</v>
      </c>
      <c r="K1977" s="223">
        <f>32281/D1972</f>
        <v>2.46</v>
      </c>
    </row>
    <row r="1978" spans="1:11" ht="47.25" customHeight="1" x14ac:dyDescent="0.25">
      <c r="A1978" s="308"/>
      <c r="B1978" s="308"/>
      <c r="C1978" s="317"/>
      <c r="D1978" s="319"/>
      <c r="E1978" s="308"/>
      <c r="F1978" s="308"/>
      <c r="G1978" s="148" t="s">
        <v>440</v>
      </c>
      <c r="H1978" s="87" t="s">
        <v>168</v>
      </c>
      <c r="I1978" s="223">
        <f t="shared" si="70"/>
        <v>32281</v>
      </c>
      <c r="J1978" s="223">
        <f>I1978/D1972-0.01</f>
        <v>2.4500000000000002</v>
      </c>
      <c r="K1978" s="223">
        <f>32281/D1972-0.01</f>
        <v>2.4500000000000002</v>
      </c>
    </row>
    <row r="1979" spans="1:11" ht="15.75" customHeight="1" x14ac:dyDescent="0.25">
      <c r="A1979" s="307">
        <f>A1972+1</f>
        <v>130</v>
      </c>
      <c r="B1979" s="307">
        <v>2245</v>
      </c>
      <c r="C1979" s="315" t="s">
        <v>603</v>
      </c>
      <c r="D1979" s="318">
        <v>7261.8</v>
      </c>
      <c r="E1979" s="307" t="s">
        <v>64</v>
      </c>
      <c r="F1979" s="307">
        <v>10</v>
      </c>
      <c r="G1979" s="145"/>
      <c r="H1979" s="87" t="s">
        <v>66</v>
      </c>
      <c r="I1979" s="223">
        <f>I1980+I1981+I1982+I1983+I1984+I1985</f>
        <v>5060082.8600000003</v>
      </c>
      <c r="J1979" s="223">
        <f t="shared" ref="J1979:K1979" si="71">J1980+J1981+J1982+J1983+J1984+J1985</f>
        <v>696.81</v>
      </c>
      <c r="K1979" s="223">
        <f t="shared" si="71"/>
        <v>945.9</v>
      </c>
    </row>
    <row r="1980" spans="1:11" ht="15.75" customHeight="1" x14ac:dyDescent="0.25">
      <c r="A1980" s="308"/>
      <c r="B1980" s="308"/>
      <c r="C1980" s="317"/>
      <c r="D1980" s="319"/>
      <c r="E1980" s="308"/>
      <c r="F1980" s="308"/>
      <c r="G1980" s="307" t="s">
        <v>170</v>
      </c>
      <c r="H1980" s="87" t="s">
        <v>171</v>
      </c>
      <c r="I1980" s="223">
        <v>1672143</v>
      </c>
      <c r="J1980" s="223">
        <f>I1980/D1979</f>
        <v>230.27</v>
      </c>
      <c r="K1980" s="223">
        <f>2241647/D1979</f>
        <v>308.69</v>
      </c>
    </row>
    <row r="1981" spans="1:11" ht="15.75" customHeight="1" x14ac:dyDescent="0.25">
      <c r="A1981" s="308"/>
      <c r="B1981" s="308"/>
      <c r="C1981" s="317"/>
      <c r="D1981" s="319"/>
      <c r="E1981" s="308"/>
      <c r="F1981" s="308"/>
      <c r="G1981" s="309"/>
      <c r="H1981" s="87" t="s">
        <v>69</v>
      </c>
      <c r="I1981" s="223">
        <v>14551.28</v>
      </c>
      <c r="J1981" s="223">
        <f>I1981/D1979</f>
        <v>2</v>
      </c>
      <c r="K1981" s="223">
        <f>47971/D1979</f>
        <v>6.61</v>
      </c>
    </row>
    <row r="1982" spans="1:11" ht="15.75" customHeight="1" x14ac:dyDescent="0.25">
      <c r="A1982" s="308"/>
      <c r="B1982" s="308"/>
      <c r="C1982" s="317"/>
      <c r="D1982" s="319"/>
      <c r="E1982" s="308"/>
      <c r="F1982" s="308"/>
      <c r="G1982" s="307" t="s">
        <v>173</v>
      </c>
      <c r="H1982" s="87" t="s">
        <v>171</v>
      </c>
      <c r="I1982" s="223">
        <v>1672143</v>
      </c>
      <c r="J1982" s="223">
        <f>I1982/D1979</f>
        <v>230.27</v>
      </c>
      <c r="K1982" s="223">
        <f>2241647/D1979</f>
        <v>308.69</v>
      </c>
    </row>
    <row r="1983" spans="1:11" ht="15.75" customHeight="1" x14ac:dyDescent="0.25">
      <c r="A1983" s="308"/>
      <c r="B1983" s="308"/>
      <c r="C1983" s="317"/>
      <c r="D1983" s="319"/>
      <c r="E1983" s="308"/>
      <c r="F1983" s="308"/>
      <c r="G1983" s="309"/>
      <c r="H1983" s="87" t="s">
        <v>69</v>
      </c>
      <c r="I1983" s="223">
        <v>14551.29</v>
      </c>
      <c r="J1983" s="223">
        <f>I1983/D1979</f>
        <v>2</v>
      </c>
      <c r="K1983" s="223">
        <f>47971/D1979</f>
        <v>6.61</v>
      </c>
    </row>
    <row r="1984" spans="1:11" ht="15.75" customHeight="1" x14ac:dyDescent="0.25">
      <c r="A1984" s="308"/>
      <c r="B1984" s="308"/>
      <c r="C1984" s="317"/>
      <c r="D1984" s="319"/>
      <c r="E1984" s="308"/>
      <c r="F1984" s="308"/>
      <c r="G1984" s="307" t="s">
        <v>174</v>
      </c>
      <c r="H1984" s="87" t="s">
        <v>171</v>
      </c>
      <c r="I1984" s="223">
        <v>1672143</v>
      </c>
      <c r="J1984" s="223">
        <f>I1984/D1979</f>
        <v>230.27</v>
      </c>
      <c r="K1984" s="223">
        <f>2241647/D1979</f>
        <v>308.69</v>
      </c>
    </row>
    <row r="1985" spans="1:11" ht="15.75" customHeight="1" x14ac:dyDescent="0.25">
      <c r="A1985" s="308"/>
      <c r="B1985" s="308"/>
      <c r="C1985" s="317"/>
      <c r="D1985" s="319"/>
      <c r="E1985" s="308"/>
      <c r="F1985" s="308"/>
      <c r="G1985" s="309"/>
      <c r="H1985" s="87" t="s">
        <v>69</v>
      </c>
      <c r="I1985" s="223">
        <v>14551.29</v>
      </c>
      <c r="J1985" s="223">
        <f>I1985/D1979</f>
        <v>2</v>
      </c>
      <c r="K1985" s="223">
        <f>47971/D1979</f>
        <v>6.61</v>
      </c>
    </row>
    <row r="1986" spans="1:11" ht="15.75" customHeight="1" x14ac:dyDescent="0.25">
      <c r="A1986" s="310">
        <f>A1979+1</f>
        <v>131</v>
      </c>
      <c r="B1986" s="310">
        <v>2276</v>
      </c>
      <c r="C1986" s="311" t="s">
        <v>547</v>
      </c>
      <c r="D1986" s="312">
        <v>3594.95</v>
      </c>
      <c r="E1986" s="312" t="s">
        <v>64</v>
      </c>
      <c r="F1986" s="313">
        <v>5</v>
      </c>
      <c r="G1986" s="310" t="s">
        <v>65</v>
      </c>
      <c r="H1986" s="87" t="s">
        <v>66</v>
      </c>
      <c r="I1986" s="223">
        <f>I1987</f>
        <v>647091</v>
      </c>
      <c r="J1986" s="223">
        <f>J1987</f>
        <v>180</v>
      </c>
      <c r="K1986" s="223">
        <f>K1987</f>
        <v>180</v>
      </c>
    </row>
    <row r="1987" spans="1:11" ht="75.75" customHeight="1" x14ac:dyDescent="0.25">
      <c r="A1987" s="310">
        <v>77</v>
      </c>
      <c r="B1987" s="310"/>
      <c r="C1987" s="311"/>
      <c r="D1987" s="310"/>
      <c r="E1987" s="312"/>
      <c r="F1987" s="313"/>
      <c r="G1987" s="310"/>
      <c r="H1987" s="87" t="s">
        <v>685</v>
      </c>
      <c r="I1987" s="223">
        <f>D1986*K1987</f>
        <v>647091</v>
      </c>
      <c r="J1987" s="223">
        <f>I1987/D1986</f>
        <v>180</v>
      </c>
      <c r="K1987" s="223">
        <f>147+33</f>
        <v>180</v>
      </c>
    </row>
    <row r="1988" spans="1:11" ht="15.75" customHeight="1" x14ac:dyDescent="0.25">
      <c r="A1988" s="307">
        <f>A1986+1</f>
        <v>132</v>
      </c>
      <c r="B1988" s="307">
        <v>2289</v>
      </c>
      <c r="C1988" s="315" t="s">
        <v>604</v>
      </c>
      <c r="D1988" s="318">
        <v>3975.9</v>
      </c>
      <c r="E1988" s="307" t="s">
        <v>68</v>
      </c>
      <c r="F1988" s="307">
        <v>9</v>
      </c>
      <c r="G1988" s="145"/>
      <c r="H1988" s="87" t="s">
        <v>66</v>
      </c>
      <c r="I1988" s="223">
        <f>I1989+I1990+I1991+I1992</f>
        <v>3544098.4</v>
      </c>
      <c r="J1988" s="223">
        <f>J1989+J1990+J1991+J1992</f>
        <v>891.4</v>
      </c>
      <c r="K1988" s="223">
        <f>K1989+K1990+K1991+K1992</f>
        <v>1151.76</v>
      </c>
    </row>
    <row r="1989" spans="1:11" ht="15.75" customHeight="1" x14ac:dyDescent="0.25">
      <c r="A1989" s="308"/>
      <c r="B1989" s="308"/>
      <c r="C1989" s="317"/>
      <c r="D1989" s="319"/>
      <c r="E1989" s="308"/>
      <c r="F1989" s="308"/>
      <c r="G1989" s="307" t="s">
        <v>170</v>
      </c>
      <c r="H1989" s="87" t="s">
        <v>171</v>
      </c>
      <c r="I1989" s="223">
        <v>1757497.92</v>
      </c>
      <c r="J1989" s="223">
        <f>I1989/D1988</f>
        <v>442.04</v>
      </c>
      <c r="K1989" s="223">
        <f>2241647/D1988</f>
        <v>563.80999999999995</v>
      </c>
    </row>
    <row r="1990" spans="1:11" ht="15.75" customHeight="1" x14ac:dyDescent="0.25">
      <c r="A1990" s="308"/>
      <c r="B1990" s="308"/>
      <c r="C1990" s="317"/>
      <c r="D1990" s="319"/>
      <c r="E1990" s="308"/>
      <c r="F1990" s="308"/>
      <c r="G1990" s="309"/>
      <c r="H1990" s="87" t="s">
        <v>69</v>
      </c>
      <c r="I1990" s="223">
        <v>14551.28</v>
      </c>
      <c r="J1990" s="223">
        <f>I1990/D1988</f>
        <v>3.66</v>
      </c>
      <c r="K1990" s="223">
        <f>47971/D1988</f>
        <v>12.07</v>
      </c>
    </row>
    <row r="1991" spans="1:11" ht="15.75" customHeight="1" x14ac:dyDescent="0.25">
      <c r="A1991" s="308"/>
      <c r="B1991" s="308"/>
      <c r="C1991" s="317"/>
      <c r="D1991" s="319"/>
      <c r="E1991" s="308"/>
      <c r="F1991" s="308"/>
      <c r="G1991" s="307" t="s">
        <v>173</v>
      </c>
      <c r="H1991" s="87" t="s">
        <v>171</v>
      </c>
      <c r="I1991" s="223">
        <v>1757497.92</v>
      </c>
      <c r="J1991" s="223">
        <f>I1991/D1988</f>
        <v>442.04</v>
      </c>
      <c r="K1991" s="223">
        <f>2241647/D1988</f>
        <v>563.80999999999995</v>
      </c>
    </row>
    <row r="1992" spans="1:11" ht="15.75" customHeight="1" x14ac:dyDescent="0.25">
      <c r="A1992" s="308"/>
      <c r="B1992" s="308"/>
      <c r="C1992" s="317"/>
      <c r="D1992" s="319"/>
      <c r="E1992" s="308"/>
      <c r="F1992" s="308"/>
      <c r="G1992" s="309"/>
      <c r="H1992" s="87" t="s">
        <v>69</v>
      </c>
      <c r="I1992" s="223">
        <v>14551.28</v>
      </c>
      <c r="J1992" s="223">
        <f>I1992/D1988</f>
        <v>3.66</v>
      </c>
      <c r="K1992" s="223">
        <f>47971/D1988</f>
        <v>12.07</v>
      </c>
    </row>
    <row r="1993" spans="1:11" ht="15.75" customHeight="1" x14ac:dyDescent="0.25">
      <c r="A1993" s="310">
        <f>A1988+1</f>
        <v>133</v>
      </c>
      <c r="B1993" s="310">
        <v>2163</v>
      </c>
      <c r="C1993" s="333" t="s">
        <v>221</v>
      </c>
      <c r="D1993" s="312">
        <v>13205.4</v>
      </c>
      <c r="E1993" s="312" t="s">
        <v>68</v>
      </c>
      <c r="F1993" s="313">
        <v>10</v>
      </c>
      <c r="G1993" s="145"/>
      <c r="H1993" s="87" t="s">
        <v>66</v>
      </c>
      <c r="I1993" s="223">
        <f>I1994+I1995+I1996+I1997+I1998+I1999</f>
        <v>18707576.390000001</v>
      </c>
      <c r="J1993" s="223">
        <f t="shared" ref="J1993:K1993" si="72">J1994+J1995+J1996+J1997+J1998+J1999</f>
        <v>1416.66</v>
      </c>
      <c r="K1993" s="223">
        <f t="shared" si="72"/>
        <v>2008.35</v>
      </c>
    </row>
    <row r="1994" spans="1:11" ht="15.75" customHeight="1" x14ac:dyDescent="0.25">
      <c r="A1994" s="310"/>
      <c r="B1994" s="310"/>
      <c r="C1994" s="333"/>
      <c r="D1994" s="312"/>
      <c r="E1994" s="312"/>
      <c r="F1994" s="313"/>
      <c r="G1994" s="307" t="s">
        <v>174</v>
      </c>
      <c r="H1994" s="87" t="s">
        <v>171</v>
      </c>
      <c r="I1994" s="223">
        <v>1808746.55</v>
      </c>
      <c r="J1994" s="223">
        <f>I1994/D1993</f>
        <v>136.97</v>
      </c>
      <c r="K1994" s="223">
        <f>2458756/D1993</f>
        <v>186.19</v>
      </c>
    </row>
    <row r="1995" spans="1:11" ht="15.75" customHeight="1" x14ac:dyDescent="0.25">
      <c r="A1995" s="310"/>
      <c r="B1995" s="310"/>
      <c r="C1995" s="333"/>
      <c r="D1995" s="312"/>
      <c r="E1995" s="312"/>
      <c r="F1995" s="313"/>
      <c r="G1995" s="309"/>
      <c r="H1995" s="87" t="s">
        <v>69</v>
      </c>
      <c r="I1995" s="223">
        <v>15960.58</v>
      </c>
      <c r="J1995" s="223">
        <f>I1995/D1993</f>
        <v>1.21</v>
      </c>
      <c r="K1995" s="223">
        <f>52617/D1993</f>
        <v>3.98</v>
      </c>
    </row>
    <row r="1996" spans="1:11" ht="15.75" customHeight="1" x14ac:dyDescent="0.25">
      <c r="A1996" s="310"/>
      <c r="B1996" s="310"/>
      <c r="C1996" s="333"/>
      <c r="D1996" s="312"/>
      <c r="E1996" s="312"/>
      <c r="F1996" s="313"/>
      <c r="G1996" s="307" t="s">
        <v>175</v>
      </c>
      <c r="H1996" s="87" t="s">
        <v>171</v>
      </c>
      <c r="I1996" s="223">
        <v>1808746.57</v>
      </c>
      <c r="J1996" s="223">
        <f>I1996/D1993</f>
        <v>136.97</v>
      </c>
      <c r="K1996" s="223">
        <f>2458756/D1993+0.01</f>
        <v>186.2</v>
      </c>
    </row>
    <row r="1997" spans="1:11" ht="15.75" customHeight="1" x14ac:dyDescent="0.25">
      <c r="A1997" s="310"/>
      <c r="B1997" s="310"/>
      <c r="C1997" s="333"/>
      <c r="D1997" s="312"/>
      <c r="E1997" s="312"/>
      <c r="F1997" s="313"/>
      <c r="G1997" s="309"/>
      <c r="H1997" s="87" t="s">
        <v>69</v>
      </c>
      <c r="I1997" s="223">
        <v>15960.57</v>
      </c>
      <c r="J1997" s="223">
        <f>I1997/D1993</f>
        <v>1.21</v>
      </c>
      <c r="K1997" s="223">
        <f>52617/D1993</f>
        <v>3.98</v>
      </c>
    </row>
    <row r="1998" spans="1:11" x14ac:dyDescent="0.25">
      <c r="A1998" s="310">
        <v>75</v>
      </c>
      <c r="B1998" s="310"/>
      <c r="C1998" s="333"/>
      <c r="D1998" s="310"/>
      <c r="E1998" s="312"/>
      <c r="F1998" s="313"/>
      <c r="G1998" s="307" t="s">
        <v>70</v>
      </c>
      <c r="H1998" s="87" t="s">
        <v>67</v>
      </c>
      <c r="I1998" s="223">
        <v>14742669</v>
      </c>
      <c r="J1998" s="223">
        <f>I1998/D1993</f>
        <v>1116.4100000000001</v>
      </c>
      <c r="K1998" s="223">
        <v>1594</v>
      </c>
    </row>
    <row r="1999" spans="1:11" x14ac:dyDescent="0.25">
      <c r="A1999" s="310"/>
      <c r="B1999" s="310"/>
      <c r="C1999" s="333"/>
      <c r="D1999" s="310"/>
      <c r="E1999" s="312"/>
      <c r="F1999" s="313"/>
      <c r="G1999" s="309"/>
      <c r="H1999" s="87" t="s">
        <v>69</v>
      </c>
      <c r="I1999" s="223">
        <f>I1998*0.0214</f>
        <v>315493.12</v>
      </c>
      <c r="J1999" s="223">
        <f>I1999/D1993</f>
        <v>23.89</v>
      </c>
      <c r="K1999" s="223">
        <v>34</v>
      </c>
    </row>
    <row r="2000" spans="1:11" x14ac:dyDescent="0.25">
      <c r="A2000" s="310">
        <f>A1993+1</f>
        <v>134</v>
      </c>
      <c r="B2000" s="310">
        <v>2438</v>
      </c>
      <c r="C2000" s="333" t="s">
        <v>222</v>
      </c>
      <c r="D2000" s="312">
        <v>2631.7</v>
      </c>
      <c r="E2000" s="312" t="s">
        <v>64</v>
      </c>
      <c r="F2000" s="313">
        <v>5</v>
      </c>
      <c r="G2000" s="310" t="s">
        <v>65</v>
      </c>
      <c r="H2000" s="87" t="s">
        <v>66</v>
      </c>
      <c r="I2000" s="223">
        <f>I2001+I2002</f>
        <v>4955616.49</v>
      </c>
      <c r="J2000" s="223">
        <f>J2001+J2002</f>
        <v>1883.05</v>
      </c>
      <c r="K2000" s="223">
        <f>K2001+K2002</f>
        <v>3749</v>
      </c>
    </row>
    <row r="2001" spans="1:11" ht="31.5" x14ac:dyDescent="0.25">
      <c r="A2001" s="310">
        <v>77</v>
      </c>
      <c r="B2001" s="310"/>
      <c r="C2001" s="333"/>
      <c r="D2001" s="310"/>
      <c r="E2001" s="312"/>
      <c r="F2001" s="313"/>
      <c r="G2001" s="310"/>
      <c r="H2001" s="87" t="s">
        <v>76</v>
      </c>
      <c r="I2001" s="223">
        <f>6869443.43*0.7</f>
        <v>4808610.4000000004</v>
      </c>
      <c r="J2001" s="223">
        <f>I2001/D2000</f>
        <v>1827.19</v>
      </c>
      <c r="K2001" s="223">
        <v>3670</v>
      </c>
    </row>
    <row r="2002" spans="1:11" x14ac:dyDescent="0.25">
      <c r="A2002" s="310"/>
      <c r="B2002" s="310"/>
      <c r="C2002" s="333"/>
      <c r="D2002" s="310"/>
      <c r="E2002" s="312"/>
      <c r="F2002" s="313"/>
      <c r="G2002" s="310"/>
      <c r="H2002" s="87" t="s">
        <v>69</v>
      </c>
      <c r="I2002" s="223">
        <f>6869443.43*0.0214</f>
        <v>147006.09</v>
      </c>
      <c r="J2002" s="223">
        <f>I2002/D2000</f>
        <v>55.86</v>
      </c>
      <c r="K2002" s="223">
        <v>79</v>
      </c>
    </row>
    <row r="2003" spans="1:11" ht="15.75" customHeight="1" x14ac:dyDescent="0.25">
      <c r="A2003" s="310">
        <f>A2000+1</f>
        <v>135</v>
      </c>
      <c r="B2003" s="310">
        <v>2772</v>
      </c>
      <c r="C2003" s="311" t="s">
        <v>748</v>
      </c>
      <c r="D2003" s="312">
        <v>986.6</v>
      </c>
      <c r="E2003" s="312" t="s">
        <v>167</v>
      </c>
      <c r="F2003" s="313">
        <v>3</v>
      </c>
      <c r="G2003" s="310" t="s">
        <v>70</v>
      </c>
      <c r="H2003" s="87" t="s">
        <v>66</v>
      </c>
      <c r="I2003" s="223">
        <f>I2004</f>
        <v>135164.20000000001</v>
      </c>
      <c r="J2003" s="223">
        <f>J2004</f>
        <v>137</v>
      </c>
      <c r="K2003" s="223">
        <f>K2004</f>
        <v>137</v>
      </c>
    </row>
    <row r="2004" spans="1:11" ht="47.25" customHeight="1" x14ac:dyDescent="0.25">
      <c r="A2004" s="310"/>
      <c r="B2004" s="310"/>
      <c r="C2004" s="311"/>
      <c r="D2004" s="312"/>
      <c r="E2004" s="312"/>
      <c r="F2004" s="313"/>
      <c r="G2004" s="310"/>
      <c r="H2004" s="87" t="s">
        <v>168</v>
      </c>
      <c r="I2004" s="223">
        <f>D2003*K2004</f>
        <v>135164.20000000001</v>
      </c>
      <c r="J2004" s="223">
        <f>I2004/D2003</f>
        <v>137</v>
      </c>
      <c r="K2004" s="223">
        <f>116+21</f>
        <v>137</v>
      </c>
    </row>
    <row r="2005" spans="1:11" ht="15.75" customHeight="1" x14ac:dyDescent="0.25">
      <c r="A2005" s="307">
        <f>A2003+1</f>
        <v>136</v>
      </c>
      <c r="B2005" s="307">
        <v>2297</v>
      </c>
      <c r="C2005" s="315" t="s">
        <v>605</v>
      </c>
      <c r="D2005" s="318">
        <v>6000.5</v>
      </c>
      <c r="E2005" s="307" t="s">
        <v>68</v>
      </c>
      <c r="F2005" s="307">
        <v>8</v>
      </c>
      <c r="G2005" s="145"/>
      <c r="H2005" s="87" t="s">
        <v>66</v>
      </c>
      <c r="I2005" s="223">
        <f>I2006+I2007+I2008+I2009</f>
        <v>3571996.09</v>
      </c>
      <c r="J2005" s="223">
        <f>J2006+J2007+J2008+J2009</f>
        <v>595.28</v>
      </c>
      <c r="K2005" s="223">
        <f>K2006+K2007+K2008+K2009</f>
        <v>763.14</v>
      </c>
    </row>
    <row r="2006" spans="1:11" ht="15.75" customHeight="1" x14ac:dyDescent="0.25">
      <c r="A2006" s="308"/>
      <c r="B2006" s="308"/>
      <c r="C2006" s="317"/>
      <c r="D2006" s="319"/>
      <c r="E2006" s="308"/>
      <c r="F2006" s="308"/>
      <c r="G2006" s="307" t="s">
        <v>170</v>
      </c>
      <c r="H2006" s="87" t="s">
        <v>171</v>
      </c>
      <c r="I2006" s="223">
        <v>1818378.04</v>
      </c>
      <c r="J2006" s="223">
        <f>I2006/D2005-0.01</f>
        <v>303.02999999999997</v>
      </c>
      <c r="K2006" s="223">
        <f>2241647/D2005</f>
        <v>373.58</v>
      </c>
    </row>
    <row r="2007" spans="1:11" ht="15.75" customHeight="1" x14ac:dyDescent="0.25">
      <c r="A2007" s="308"/>
      <c r="B2007" s="308"/>
      <c r="C2007" s="317"/>
      <c r="D2007" s="319"/>
      <c r="E2007" s="308"/>
      <c r="F2007" s="308"/>
      <c r="G2007" s="309"/>
      <c r="H2007" s="87" t="s">
        <v>69</v>
      </c>
      <c r="I2007" s="223">
        <v>14551.28</v>
      </c>
      <c r="J2007" s="223">
        <f>I2007/D2005</f>
        <v>2.4300000000000002</v>
      </c>
      <c r="K2007" s="223">
        <f>47971/D2005</f>
        <v>7.99</v>
      </c>
    </row>
    <row r="2008" spans="1:11" ht="15.75" customHeight="1" x14ac:dyDescent="0.25">
      <c r="A2008" s="308"/>
      <c r="B2008" s="308"/>
      <c r="C2008" s="317"/>
      <c r="D2008" s="319"/>
      <c r="E2008" s="308"/>
      <c r="F2008" s="308"/>
      <c r="G2008" s="307" t="s">
        <v>173</v>
      </c>
      <c r="H2008" s="87" t="s">
        <v>171</v>
      </c>
      <c r="I2008" s="223">
        <v>1724515.49</v>
      </c>
      <c r="J2008" s="223">
        <f>I2008/D2005-0.01</f>
        <v>287.39</v>
      </c>
      <c r="K2008" s="223">
        <f>2241647/D2005</f>
        <v>373.58</v>
      </c>
    </row>
    <row r="2009" spans="1:11" ht="15.75" customHeight="1" x14ac:dyDescent="0.25">
      <c r="A2009" s="308"/>
      <c r="B2009" s="308"/>
      <c r="C2009" s="317"/>
      <c r="D2009" s="319"/>
      <c r="E2009" s="308"/>
      <c r="F2009" s="308"/>
      <c r="G2009" s="309"/>
      <c r="H2009" s="87" t="s">
        <v>69</v>
      </c>
      <c r="I2009" s="223">
        <v>14551.28</v>
      </c>
      <c r="J2009" s="223">
        <f>I2009/D2005</f>
        <v>2.4300000000000002</v>
      </c>
      <c r="K2009" s="223">
        <f>47971/D2005</f>
        <v>7.99</v>
      </c>
    </row>
    <row r="2010" spans="1:11" ht="15.75" customHeight="1" x14ac:dyDescent="0.25">
      <c r="A2010" s="310">
        <f>A2005+1</f>
        <v>137</v>
      </c>
      <c r="B2010" s="310">
        <v>2450</v>
      </c>
      <c r="C2010" s="311" t="s">
        <v>749</v>
      </c>
      <c r="D2010" s="312">
        <v>3907</v>
      </c>
      <c r="E2010" s="312" t="s">
        <v>68</v>
      </c>
      <c r="F2010" s="313">
        <v>5</v>
      </c>
      <c r="G2010" s="310" t="s">
        <v>74</v>
      </c>
      <c r="H2010" s="87" t="s">
        <v>66</v>
      </c>
      <c r="I2010" s="223">
        <f>I2011</f>
        <v>93768</v>
      </c>
      <c r="J2010" s="223">
        <f>J2011</f>
        <v>24</v>
      </c>
      <c r="K2010" s="223">
        <f>K2011</f>
        <v>24</v>
      </c>
    </row>
    <row r="2011" spans="1:11" ht="47.25" customHeight="1" x14ac:dyDescent="0.25">
      <c r="A2011" s="310"/>
      <c r="B2011" s="310"/>
      <c r="C2011" s="311"/>
      <c r="D2011" s="312"/>
      <c r="E2011" s="312"/>
      <c r="F2011" s="313"/>
      <c r="G2011" s="310"/>
      <c r="H2011" s="87" t="s">
        <v>168</v>
      </c>
      <c r="I2011" s="223">
        <f>D2010*K2011</f>
        <v>93768</v>
      </c>
      <c r="J2011" s="223">
        <f>I2011/D2010</f>
        <v>24</v>
      </c>
      <c r="K2011" s="223">
        <f>22+2</f>
        <v>24</v>
      </c>
    </row>
    <row r="2012" spans="1:11" x14ac:dyDescent="0.25">
      <c r="A2012" s="310">
        <f>A2010+1</f>
        <v>138</v>
      </c>
      <c r="B2012" s="310">
        <v>2454</v>
      </c>
      <c r="C2012" s="333" t="s">
        <v>153</v>
      </c>
      <c r="D2012" s="312">
        <v>3959.3</v>
      </c>
      <c r="E2012" s="312" t="s">
        <v>64</v>
      </c>
      <c r="F2012" s="313">
        <v>5</v>
      </c>
      <c r="G2012" s="310" t="s">
        <v>65</v>
      </c>
      <c r="H2012" s="87" t="s">
        <v>66</v>
      </c>
      <c r="I2012" s="223">
        <f>I2013+I2014</f>
        <v>7768792.21</v>
      </c>
      <c r="J2012" s="223">
        <f>J2013+J2014</f>
        <v>1962.16</v>
      </c>
      <c r="K2012" s="223">
        <f>K2013+K2014</f>
        <v>3878</v>
      </c>
    </row>
    <row r="2013" spans="1:11" x14ac:dyDescent="0.25">
      <c r="A2013" s="310">
        <v>76</v>
      </c>
      <c r="B2013" s="310"/>
      <c r="C2013" s="333"/>
      <c r="D2013" s="310"/>
      <c r="E2013" s="312"/>
      <c r="F2013" s="313"/>
      <c r="G2013" s="310"/>
      <c r="H2013" s="87" t="s">
        <v>67</v>
      </c>
      <c r="I2013" s="223">
        <f>10769049.35*0.7</f>
        <v>7538334.5499999998</v>
      </c>
      <c r="J2013" s="223">
        <f>I2013/D2012-0.01</f>
        <v>1903.95</v>
      </c>
      <c r="K2013" s="223">
        <v>3797</v>
      </c>
    </row>
    <row r="2014" spans="1:11" x14ac:dyDescent="0.25">
      <c r="A2014" s="310"/>
      <c r="B2014" s="310"/>
      <c r="C2014" s="333"/>
      <c r="D2014" s="310"/>
      <c r="E2014" s="312"/>
      <c r="F2014" s="313"/>
      <c r="G2014" s="310"/>
      <c r="H2014" s="87" t="s">
        <v>69</v>
      </c>
      <c r="I2014" s="223">
        <f>10769049.35*0.0214</f>
        <v>230457.66</v>
      </c>
      <c r="J2014" s="223">
        <f>I2014/D2012</f>
        <v>58.21</v>
      </c>
      <c r="K2014" s="223">
        <v>81</v>
      </c>
    </row>
    <row r="2015" spans="1:11" x14ac:dyDescent="0.25">
      <c r="A2015" s="310">
        <f>A2012+1</f>
        <v>139</v>
      </c>
      <c r="B2015" s="310">
        <v>2303</v>
      </c>
      <c r="C2015" s="333" t="s">
        <v>156</v>
      </c>
      <c r="D2015" s="312">
        <v>12308.1</v>
      </c>
      <c r="E2015" s="312" t="s">
        <v>64</v>
      </c>
      <c r="F2015" s="313">
        <v>9</v>
      </c>
      <c r="G2015" s="310" t="s">
        <v>65</v>
      </c>
      <c r="H2015" s="87" t="s">
        <v>66</v>
      </c>
      <c r="I2015" s="223">
        <f>I2016+I2017</f>
        <v>5412242.3799999999</v>
      </c>
      <c r="J2015" s="223">
        <f>J2016+J2017</f>
        <v>439.73</v>
      </c>
      <c r="K2015" s="223">
        <f>K2016+K2017</f>
        <v>2492</v>
      </c>
    </row>
    <row r="2016" spans="1:11" x14ac:dyDescent="0.25">
      <c r="A2016" s="310">
        <v>77</v>
      </c>
      <c r="B2016" s="310"/>
      <c r="C2016" s="333"/>
      <c r="D2016" s="310"/>
      <c r="E2016" s="312"/>
      <c r="F2016" s="313"/>
      <c r="G2016" s="310"/>
      <c r="H2016" s="87" t="s">
        <v>67</v>
      </c>
      <c r="I2016" s="223">
        <f>K2016*D2015-24732916.95</f>
        <v>5298847.05</v>
      </c>
      <c r="J2016" s="223">
        <f>I2016/D2015</f>
        <v>430.52</v>
      </c>
      <c r="K2016" s="223">
        <v>2440</v>
      </c>
    </row>
    <row r="2017" spans="1:11" x14ac:dyDescent="0.25">
      <c r="A2017" s="310"/>
      <c r="B2017" s="310"/>
      <c r="C2017" s="333"/>
      <c r="D2017" s="310"/>
      <c r="E2017" s="312"/>
      <c r="F2017" s="313"/>
      <c r="G2017" s="310"/>
      <c r="H2017" s="87" t="s">
        <v>69</v>
      </c>
      <c r="I2017" s="223">
        <f>I2016*0.0214</f>
        <v>113395.33</v>
      </c>
      <c r="J2017" s="223">
        <f>I2017/D2015</f>
        <v>9.2100000000000009</v>
      </c>
      <c r="K2017" s="223">
        <v>52</v>
      </c>
    </row>
    <row r="2018" spans="1:11" ht="15.75" customHeight="1" x14ac:dyDescent="0.25">
      <c r="A2018" s="310">
        <f>A2015+1</f>
        <v>140</v>
      </c>
      <c r="B2018" s="310">
        <v>2983</v>
      </c>
      <c r="C2018" s="333" t="s">
        <v>540</v>
      </c>
      <c r="D2018" s="312">
        <v>933.8</v>
      </c>
      <c r="E2018" s="312" t="s">
        <v>68</v>
      </c>
      <c r="F2018" s="313">
        <v>3</v>
      </c>
      <c r="G2018" s="310" t="s">
        <v>74</v>
      </c>
      <c r="H2018" s="87" t="s">
        <v>66</v>
      </c>
      <c r="I2018" s="223">
        <f>I2019+I2020</f>
        <v>338035.6</v>
      </c>
      <c r="J2018" s="223">
        <f>J2019+J2020</f>
        <v>362</v>
      </c>
      <c r="K2018" s="223">
        <f>K2019+K2020</f>
        <v>362</v>
      </c>
    </row>
    <row r="2019" spans="1:11" x14ac:dyDescent="0.25">
      <c r="A2019" s="310"/>
      <c r="B2019" s="310"/>
      <c r="C2019" s="333"/>
      <c r="D2019" s="312"/>
      <c r="E2019" s="312"/>
      <c r="F2019" s="313"/>
      <c r="G2019" s="310"/>
      <c r="H2019" s="87" t="s">
        <v>67</v>
      </c>
      <c r="I2019" s="223">
        <f>D2018*K2019</f>
        <v>330565.2</v>
      </c>
      <c r="J2019" s="223">
        <f>I2019/D2018</f>
        <v>354</v>
      </c>
      <c r="K2019" s="223">
        <v>354</v>
      </c>
    </row>
    <row r="2020" spans="1:11" x14ac:dyDescent="0.25">
      <c r="A2020" s="310"/>
      <c r="B2020" s="310"/>
      <c r="C2020" s="333"/>
      <c r="D2020" s="312"/>
      <c r="E2020" s="312"/>
      <c r="F2020" s="313"/>
      <c r="G2020" s="310"/>
      <c r="H2020" s="87" t="s">
        <v>69</v>
      </c>
      <c r="I2020" s="223">
        <f>K2020*D2018</f>
        <v>7470.4</v>
      </c>
      <c r="J2020" s="223">
        <f>I2020/D2018</f>
        <v>8</v>
      </c>
      <c r="K2020" s="223">
        <v>8</v>
      </c>
    </row>
    <row r="2021" spans="1:11" ht="15.75" customHeight="1" x14ac:dyDescent="0.25">
      <c r="A2021" s="307">
        <f>A2018+1</f>
        <v>141</v>
      </c>
      <c r="B2021" s="307">
        <v>2374</v>
      </c>
      <c r="C2021" s="315" t="s">
        <v>607</v>
      </c>
      <c r="D2021" s="318">
        <v>16028.7</v>
      </c>
      <c r="E2021" s="307" t="s">
        <v>64</v>
      </c>
      <c r="F2021" s="307">
        <v>10</v>
      </c>
      <c r="G2021" s="145"/>
      <c r="H2021" s="87" t="s">
        <v>66</v>
      </c>
      <c r="I2021" s="223">
        <f>I2022+I2023+I2024+I2025+I2026+I2027+I2028+I2029+I2030+I2031+I2032+I2033+I2034+I2035</f>
        <v>16027326</v>
      </c>
      <c r="J2021" s="223">
        <f>J2022+J2023+J2024+J2025+J2026+J2027+J2028+J2029+J2030+J2031+J2032+J2033+J2034+J2035</f>
        <v>999.91</v>
      </c>
      <c r="K2021" s="223">
        <f>K2022+K2023+K2024+K2025+K2026+K2027+K2028+K2029+K2030+K2031+K2032+K2033+K2034+K2035</f>
        <v>999.91</v>
      </c>
    </row>
    <row r="2022" spans="1:11" ht="15.75" customHeight="1" x14ac:dyDescent="0.25">
      <c r="A2022" s="308"/>
      <c r="B2022" s="308"/>
      <c r="C2022" s="317"/>
      <c r="D2022" s="319"/>
      <c r="E2022" s="308"/>
      <c r="F2022" s="308"/>
      <c r="G2022" s="308" t="s">
        <v>170</v>
      </c>
      <c r="H2022" s="87" t="s">
        <v>171</v>
      </c>
      <c r="I2022" s="223">
        <v>2241647</v>
      </c>
      <c r="J2022" s="223">
        <f>I2022/D2021+0.01</f>
        <v>139.86000000000001</v>
      </c>
      <c r="K2022" s="223">
        <f>2241647/D2021+0.01</f>
        <v>139.86000000000001</v>
      </c>
    </row>
    <row r="2023" spans="1:11" ht="15.75" customHeight="1" x14ac:dyDescent="0.25">
      <c r="A2023" s="308"/>
      <c r="B2023" s="308"/>
      <c r="C2023" s="317"/>
      <c r="D2023" s="319"/>
      <c r="E2023" s="308"/>
      <c r="F2023" s="308"/>
      <c r="G2023" s="309"/>
      <c r="H2023" s="87" t="s">
        <v>69</v>
      </c>
      <c r="I2023" s="223">
        <v>47971</v>
      </c>
      <c r="J2023" s="223">
        <f>I2023/D2021</f>
        <v>2.99</v>
      </c>
      <c r="K2023" s="223">
        <f>47971/D2021</f>
        <v>2.99</v>
      </c>
    </row>
    <row r="2024" spans="1:11" ht="15.75" customHeight="1" x14ac:dyDescent="0.25">
      <c r="A2024" s="308"/>
      <c r="B2024" s="308"/>
      <c r="C2024" s="317"/>
      <c r="D2024" s="319"/>
      <c r="E2024" s="308"/>
      <c r="F2024" s="308"/>
      <c r="G2024" s="308" t="s">
        <v>173</v>
      </c>
      <c r="H2024" s="87" t="s">
        <v>171</v>
      </c>
      <c r="I2024" s="223">
        <v>2241647</v>
      </c>
      <c r="J2024" s="223">
        <f>I2024/D2021</f>
        <v>139.85</v>
      </c>
      <c r="K2024" s="223">
        <f>2241647/D2021</f>
        <v>139.85</v>
      </c>
    </row>
    <row r="2025" spans="1:11" ht="15.75" customHeight="1" x14ac:dyDescent="0.25">
      <c r="A2025" s="308"/>
      <c r="B2025" s="308"/>
      <c r="C2025" s="317"/>
      <c r="D2025" s="319"/>
      <c r="E2025" s="308"/>
      <c r="F2025" s="308"/>
      <c r="G2025" s="309"/>
      <c r="H2025" s="87" t="s">
        <v>69</v>
      </c>
      <c r="I2025" s="223">
        <v>47971</v>
      </c>
      <c r="J2025" s="223">
        <f>I2025/D2021</f>
        <v>2.99</v>
      </c>
      <c r="K2025" s="223">
        <f>47971/D2021</f>
        <v>2.99</v>
      </c>
    </row>
    <row r="2026" spans="1:11" ht="15.75" customHeight="1" x14ac:dyDescent="0.25">
      <c r="A2026" s="308"/>
      <c r="B2026" s="308"/>
      <c r="C2026" s="317"/>
      <c r="D2026" s="319"/>
      <c r="E2026" s="308"/>
      <c r="F2026" s="308"/>
      <c r="G2026" s="308" t="s">
        <v>174</v>
      </c>
      <c r="H2026" s="87" t="s">
        <v>171</v>
      </c>
      <c r="I2026" s="223">
        <v>2241647</v>
      </c>
      <c r="J2026" s="223">
        <f>I2026/D2021+0.01</f>
        <v>139.86000000000001</v>
      </c>
      <c r="K2026" s="223">
        <f>2241647/D2021+0.01</f>
        <v>139.86000000000001</v>
      </c>
    </row>
    <row r="2027" spans="1:11" ht="15.75" customHeight="1" x14ac:dyDescent="0.25">
      <c r="A2027" s="308"/>
      <c r="B2027" s="308"/>
      <c r="C2027" s="317"/>
      <c r="D2027" s="319"/>
      <c r="E2027" s="308"/>
      <c r="F2027" s="308"/>
      <c r="G2027" s="309"/>
      <c r="H2027" s="87" t="s">
        <v>69</v>
      </c>
      <c r="I2027" s="223">
        <v>47971</v>
      </c>
      <c r="J2027" s="223">
        <f>I2027/D2021</f>
        <v>2.99</v>
      </c>
      <c r="K2027" s="223">
        <f>47971/D2021</f>
        <v>2.99</v>
      </c>
    </row>
    <row r="2028" spans="1:11" ht="15.75" customHeight="1" x14ac:dyDescent="0.25">
      <c r="A2028" s="308"/>
      <c r="B2028" s="308"/>
      <c r="C2028" s="317"/>
      <c r="D2028" s="319"/>
      <c r="E2028" s="308"/>
      <c r="F2028" s="308"/>
      <c r="G2028" s="308" t="s">
        <v>175</v>
      </c>
      <c r="H2028" s="87" t="s">
        <v>171</v>
      </c>
      <c r="I2028" s="223">
        <v>2241647</v>
      </c>
      <c r="J2028" s="223">
        <f>I2028/D2021</f>
        <v>139.85</v>
      </c>
      <c r="K2028" s="223">
        <f>2241647/D2021</f>
        <v>139.85</v>
      </c>
    </row>
    <row r="2029" spans="1:11" ht="15.75" customHeight="1" x14ac:dyDescent="0.25">
      <c r="A2029" s="308"/>
      <c r="B2029" s="308"/>
      <c r="C2029" s="317"/>
      <c r="D2029" s="319"/>
      <c r="E2029" s="308"/>
      <c r="F2029" s="308"/>
      <c r="G2029" s="309"/>
      <c r="H2029" s="87" t="s">
        <v>69</v>
      </c>
      <c r="I2029" s="223">
        <v>47971</v>
      </c>
      <c r="J2029" s="223">
        <f>I2029/D2021</f>
        <v>2.99</v>
      </c>
      <c r="K2029" s="223">
        <f>47971/D2021</f>
        <v>2.99</v>
      </c>
    </row>
    <row r="2030" spans="1:11" ht="15.75" customHeight="1" x14ac:dyDescent="0.25">
      <c r="A2030" s="308"/>
      <c r="B2030" s="308"/>
      <c r="C2030" s="317"/>
      <c r="D2030" s="319"/>
      <c r="E2030" s="308"/>
      <c r="F2030" s="308"/>
      <c r="G2030" s="308" t="s">
        <v>172</v>
      </c>
      <c r="H2030" s="87" t="s">
        <v>171</v>
      </c>
      <c r="I2030" s="223">
        <v>2241647</v>
      </c>
      <c r="J2030" s="223">
        <f>I2030/D2021+0.01</f>
        <v>139.86000000000001</v>
      </c>
      <c r="K2030" s="223">
        <f>2241647/D2021+0.01</f>
        <v>139.86000000000001</v>
      </c>
    </row>
    <row r="2031" spans="1:11" ht="15.75" customHeight="1" x14ac:dyDescent="0.25">
      <c r="A2031" s="308"/>
      <c r="B2031" s="308"/>
      <c r="C2031" s="317"/>
      <c r="D2031" s="319"/>
      <c r="E2031" s="308"/>
      <c r="F2031" s="308"/>
      <c r="G2031" s="309"/>
      <c r="H2031" s="87" t="s">
        <v>69</v>
      </c>
      <c r="I2031" s="223">
        <v>47971</v>
      </c>
      <c r="J2031" s="223">
        <f>I2031/D2021</f>
        <v>2.99</v>
      </c>
      <c r="K2031" s="223">
        <f>47971/D2021</f>
        <v>2.99</v>
      </c>
    </row>
    <row r="2032" spans="1:11" ht="15.75" customHeight="1" x14ac:dyDescent="0.25">
      <c r="A2032" s="308"/>
      <c r="B2032" s="308"/>
      <c r="C2032" s="317"/>
      <c r="D2032" s="319"/>
      <c r="E2032" s="308"/>
      <c r="F2032" s="308"/>
      <c r="G2032" s="308" t="s">
        <v>440</v>
      </c>
      <c r="H2032" s="87" t="s">
        <v>171</v>
      </c>
      <c r="I2032" s="223">
        <v>2241647</v>
      </c>
      <c r="J2032" s="223">
        <f>I2032/D2021</f>
        <v>139.85</v>
      </c>
      <c r="K2032" s="223">
        <f>2241647/D2021</f>
        <v>139.85</v>
      </c>
    </row>
    <row r="2033" spans="1:11" ht="15.75" customHeight="1" x14ac:dyDescent="0.25">
      <c r="A2033" s="308"/>
      <c r="B2033" s="308"/>
      <c r="C2033" s="317"/>
      <c r="D2033" s="319"/>
      <c r="E2033" s="308"/>
      <c r="F2033" s="308"/>
      <c r="G2033" s="309"/>
      <c r="H2033" s="87" t="s">
        <v>69</v>
      </c>
      <c r="I2033" s="223">
        <v>47971</v>
      </c>
      <c r="J2033" s="223">
        <f>I2033/D2021</f>
        <v>2.99</v>
      </c>
      <c r="K2033" s="223">
        <f>47971/D2021</f>
        <v>2.99</v>
      </c>
    </row>
    <row r="2034" spans="1:11" ht="15.75" customHeight="1" x14ac:dyDescent="0.25">
      <c r="A2034" s="308"/>
      <c r="B2034" s="308"/>
      <c r="C2034" s="317"/>
      <c r="D2034" s="319"/>
      <c r="E2034" s="308"/>
      <c r="F2034" s="308"/>
      <c r="G2034" s="308" t="s">
        <v>449</v>
      </c>
      <c r="H2034" s="87" t="s">
        <v>171</v>
      </c>
      <c r="I2034" s="223">
        <v>2241647</v>
      </c>
      <c r="J2034" s="223">
        <f>I2034/D2021</f>
        <v>139.85</v>
      </c>
      <c r="K2034" s="223">
        <f>2241647/D2021</f>
        <v>139.85</v>
      </c>
    </row>
    <row r="2035" spans="1:11" ht="15.75" customHeight="1" x14ac:dyDescent="0.25">
      <c r="A2035" s="308"/>
      <c r="B2035" s="308"/>
      <c r="C2035" s="317"/>
      <c r="D2035" s="319"/>
      <c r="E2035" s="308"/>
      <c r="F2035" s="308"/>
      <c r="G2035" s="309"/>
      <c r="H2035" s="87" t="s">
        <v>69</v>
      </c>
      <c r="I2035" s="223">
        <v>47971</v>
      </c>
      <c r="J2035" s="223">
        <f>I2035/D2021</f>
        <v>2.99</v>
      </c>
      <c r="K2035" s="223">
        <f>47971/D2021</f>
        <v>2.99</v>
      </c>
    </row>
    <row r="2036" spans="1:11" ht="15.75" customHeight="1" x14ac:dyDescent="0.25">
      <c r="A2036" s="307">
        <f>A2021+1</f>
        <v>142</v>
      </c>
      <c r="B2036" s="307">
        <v>2389</v>
      </c>
      <c r="C2036" s="315" t="s">
        <v>608</v>
      </c>
      <c r="D2036" s="318">
        <v>11256.89</v>
      </c>
      <c r="E2036" s="307" t="s">
        <v>64</v>
      </c>
      <c r="F2036" s="307">
        <v>10</v>
      </c>
      <c r="G2036" s="145"/>
      <c r="H2036" s="87" t="s">
        <v>66</v>
      </c>
      <c r="I2036" s="223">
        <f>I2037+I2038+I2039+I2040+I2041+I2042+I2043+I2044+I2045+I2046</f>
        <v>11448090</v>
      </c>
      <c r="J2036" s="223">
        <f>J2037+J2038+J2039+J2040+J2041+J2042+J2043+J2044+J2045+J2046</f>
        <v>1016.99</v>
      </c>
      <c r="K2036" s="223">
        <f>K2037+K2038+K2039+K2040+K2041+K2042+K2043+K2044+K2045+K2046</f>
        <v>1016.99</v>
      </c>
    </row>
    <row r="2037" spans="1:11" ht="15.75" customHeight="1" x14ac:dyDescent="0.25">
      <c r="A2037" s="308"/>
      <c r="B2037" s="308"/>
      <c r="C2037" s="317"/>
      <c r="D2037" s="319"/>
      <c r="E2037" s="308"/>
      <c r="F2037" s="308"/>
      <c r="G2037" s="308" t="s">
        <v>170</v>
      </c>
      <c r="H2037" s="87" t="s">
        <v>171</v>
      </c>
      <c r="I2037" s="223">
        <v>2241647</v>
      </c>
      <c r="J2037" s="223">
        <f>I2037/D2036</f>
        <v>199.14</v>
      </c>
      <c r="K2037" s="223">
        <f>2241647/D2036</f>
        <v>199.14</v>
      </c>
    </row>
    <row r="2038" spans="1:11" ht="15.75" customHeight="1" x14ac:dyDescent="0.25">
      <c r="A2038" s="308"/>
      <c r="B2038" s="308"/>
      <c r="C2038" s="317"/>
      <c r="D2038" s="319"/>
      <c r="E2038" s="308"/>
      <c r="F2038" s="308"/>
      <c r="G2038" s="309"/>
      <c r="H2038" s="87" t="s">
        <v>69</v>
      </c>
      <c r="I2038" s="223">
        <v>47971</v>
      </c>
      <c r="J2038" s="223">
        <f>I2038/D2036</f>
        <v>4.26</v>
      </c>
      <c r="K2038" s="223">
        <f>47971/D2036</f>
        <v>4.26</v>
      </c>
    </row>
    <row r="2039" spans="1:11" ht="15.75" customHeight="1" x14ac:dyDescent="0.25">
      <c r="A2039" s="308"/>
      <c r="B2039" s="308"/>
      <c r="C2039" s="317"/>
      <c r="D2039" s="319"/>
      <c r="E2039" s="308"/>
      <c r="F2039" s="308"/>
      <c r="G2039" s="308" t="s">
        <v>173</v>
      </c>
      <c r="H2039" s="87" t="s">
        <v>171</v>
      </c>
      <c r="I2039" s="223">
        <v>2241647</v>
      </c>
      <c r="J2039" s="223">
        <f>I2039/D2036-0.01</f>
        <v>199.13</v>
      </c>
      <c r="K2039" s="223">
        <f>2241647/D2036-0.01</f>
        <v>199.13</v>
      </c>
    </row>
    <row r="2040" spans="1:11" ht="15.75" customHeight="1" x14ac:dyDescent="0.25">
      <c r="A2040" s="308"/>
      <c r="B2040" s="308"/>
      <c r="C2040" s="317"/>
      <c r="D2040" s="319"/>
      <c r="E2040" s="308"/>
      <c r="F2040" s="308"/>
      <c r="G2040" s="309"/>
      <c r="H2040" s="87" t="s">
        <v>69</v>
      </c>
      <c r="I2040" s="223">
        <v>47971</v>
      </c>
      <c r="J2040" s="223">
        <f>I2040/D2036</f>
        <v>4.26</v>
      </c>
      <c r="K2040" s="223">
        <f>47971/D2036</f>
        <v>4.26</v>
      </c>
    </row>
    <row r="2041" spans="1:11" ht="15.75" customHeight="1" x14ac:dyDescent="0.25">
      <c r="A2041" s="308"/>
      <c r="B2041" s="308"/>
      <c r="C2041" s="317"/>
      <c r="D2041" s="319"/>
      <c r="E2041" s="308"/>
      <c r="F2041" s="308"/>
      <c r="G2041" s="308" t="s">
        <v>174</v>
      </c>
      <c r="H2041" s="87" t="s">
        <v>171</v>
      </c>
      <c r="I2041" s="223">
        <v>2241647</v>
      </c>
      <c r="J2041" s="223">
        <f>I2041/D2036</f>
        <v>199.14</v>
      </c>
      <c r="K2041" s="223">
        <f>2241647/D2036</f>
        <v>199.14</v>
      </c>
    </row>
    <row r="2042" spans="1:11" ht="15.75" customHeight="1" x14ac:dyDescent="0.25">
      <c r="A2042" s="308"/>
      <c r="B2042" s="308"/>
      <c r="C2042" s="317"/>
      <c r="D2042" s="319"/>
      <c r="E2042" s="308"/>
      <c r="F2042" s="308"/>
      <c r="G2042" s="309"/>
      <c r="H2042" s="87" t="s">
        <v>69</v>
      </c>
      <c r="I2042" s="223">
        <v>47971</v>
      </c>
      <c r="J2042" s="223">
        <f>I2042/D2036</f>
        <v>4.26</v>
      </c>
      <c r="K2042" s="223">
        <f>47971/D2036</f>
        <v>4.26</v>
      </c>
    </row>
    <row r="2043" spans="1:11" ht="15.75" customHeight="1" x14ac:dyDescent="0.25">
      <c r="A2043" s="308"/>
      <c r="B2043" s="308"/>
      <c r="C2043" s="317"/>
      <c r="D2043" s="319"/>
      <c r="E2043" s="308"/>
      <c r="F2043" s="308"/>
      <c r="G2043" s="308" t="s">
        <v>175</v>
      </c>
      <c r="H2043" s="87" t="s">
        <v>171</v>
      </c>
      <c r="I2043" s="223">
        <v>2241647</v>
      </c>
      <c r="J2043" s="223">
        <f>I2043/D2036</f>
        <v>199.14</v>
      </c>
      <c r="K2043" s="223">
        <f>2241647/D2036</f>
        <v>199.14</v>
      </c>
    </row>
    <row r="2044" spans="1:11" ht="15.75" customHeight="1" x14ac:dyDescent="0.25">
      <c r="A2044" s="308"/>
      <c r="B2044" s="308"/>
      <c r="C2044" s="317"/>
      <c r="D2044" s="319"/>
      <c r="E2044" s="308"/>
      <c r="F2044" s="308"/>
      <c r="G2044" s="309"/>
      <c r="H2044" s="87" t="s">
        <v>69</v>
      </c>
      <c r="I2044" s="223">
        <v>47971</v>
      </c>
      <c r="J2044" s="223">
        <f>I2044/D2036</f>
        <v>4.26</v>
      </c>
      <c r="K2044" s="223">
        <f>47971/D2036</f>
        <v>4.26</v>
      </c>
    </row>
    <row r="2045" spans="1:11" ht="15.75" customHeight="1" x14ac:dyDescent="0.25">
      <c r="A2045" s="308"/>
      <c r="B2045" s="308"/>
      <c r="C2045" s="317"/>
      <c r="D2045" s="319"/>
      <c r="E2045" s="308"/>
      <c r="F2045" s="308"/>
      <c r="G2045" s="308" t="s">
        <v>172</v>
      </c>
      <c r="H2045" s="87" t="s">
        <v>171</v>
      </c>
      <c r="I2045" s="223">
        <v>2241647</v>
      </c>
      <c r="J2045" s="223">
        <f>I2045/D2036</f>
        <v>199.14</v>
      </c>
      <c r="K2045" s="223">
        <f>2241647/D2036</f>
        <v>199.14</v>
      </c>
    </row>
    <row r="2046" spans="1:11" ht="15.75" customHeight="1" x14ac:dyDescent="0.25">
      <c r="A2046" s="308"/>
      <c r="B2046" s="308"/>
      <c r="C2046" s="317"/>
      <c r="D2046" s="319"/>
      <c r="E2046" s="308"/>
      <c r="F2046" s="308"/>
      <c r="G2046" s="309"/>
      <c r="H2046" s="87" t="s">
        <v>69</v>
      </c>
      <c r="I2046" s="223">
        <v>47971</v>
      </c>
      <c r="J2046" s="223">
        <f>I2046/D2036</f>
        <v>4.26</v>
      </c>
      <c r="K2046" s="223">
        <f>47971/D2036</f>
        <v>4.26</v>
      </c>
    </row>
    <row r="2047" spans="1:11" ht="15.75" customHeight="1" x14ac:dyDescent="0.25">
      <c r="A2047" s="310">
        <f>A2036+1</f>
        <v>143</v>
      </c>
      <c r="B2047" s="310">
        <v>2375</v>
      </c>
      <c r="C2047" s="311" t="s">
        <v>750</v>
      </c>
      <c r="D2047" s="312">
        <v>3026.3</v>
      </c>
      <c r="E2047" s="312" t="s">
        <v>73</v>
      </c>
      <c r="F2047" s="313">
        <v>6</v>
      </c>
      <c r="G2047" s="310" t="s">
        <v>65</v>
      </c>
      <c r="H2047" s="87" t="s">
        <v>66</v>
      </c>
      <c r="I2047" s="223">
        <f>I2048</f>
        <v>550786.6</v>
      </c>
      <c r="J2047" s="223">
        <f>J2048</f>
        <v>182</v>
      </c>
      <c r="K2047" s="223">
        <f>K2048</f>
        <v>182</v>
      </c>
    </row>
    <row r="2048" spans="1:11" ht="48" customHeight="1" x14ac:dyDescent="0.25">
      <c r="A2048" s="310">
        <v>77</v>
      </c>
      <c r="B2048" s="310"/>
      <c r="C2048" s="311"/>
      <c r="D2048" s="310"/>
      <c r="E2048" s="312"/>
      <c r="F2048" s="313"/>
      <c r="G2048" s="310"/>
      <c r="H2048" s="87" t="s">
        <v>178</v>
      </c>
      <c r="I2048" s="223">
        <f>D2047*K2048</f>
        <v>550786.6</v>
      </c>
      <c r="J2048" s="223">
        <f>I2048/D2047</f>
        <v>182</v>
      </c>
      <c r="K2048" s="223">
        <f>164+18</f>
        <v>182</v>
      </c>
    </row>
    <row r="2049" spans="1:11" ht="15.75" customHeight="1" x14ac:dyDescent="0.25">
      <c r="A2049" s="307">
        <f>A2036+1</f>
        <v>143</v>
      </c>
      <c r="B2049" s="307">
        <v>2392</v>
      </c>
      <c r="C2049" s="315" t="s">
        <v>609</v>
      </c>
      <c r="D2049" s="318">
        <v>24130</v>
      </c>
      <c r="E2049" s="307" t="s">
        <v>64</v>
      </c>
      <c r="F2049" s="307">
        <v>10</v>
      </c>
      <c r="G2049" s="145"/>
      <c r="H2049" s="87" t="s">
        <v>66</v>
      </c>
      <c r="I2049" s="223">
        <f>I2050+I2051+I2052+I2053+I2054+I2055+I2056+I2057+I2058+I2059+I2060+I2061+I2062+I2063+I2064+I2065+I2066+I2067+I2068+I2069+I2070+I2071</f>
        <v>25185798</v>
      </c>
      <c r="J2049" s="223">
        <f>J2050+J2051+J2052+J2053+J2054+J2055+J2056+J2057+J2058+J2059+J2060+J2061+J2062+J2063+J2064+J2065+J2066+J2067+J2068+J2069+J2070+J2071</f>
        <v>1043.75</v>
      </c>
      <c r="K2049" s="223">
        <f>K2050+K2051+K2052+K2053+K2054+K2055+K2056+K2057+K2058+K2059+K2060+K2061+K2062+K2063+K2064+K2065+K2066+K2067+K2068+K2069+K2070+K2071</f>
        <v>1043.75</v>
      </c>
    </row>
    <row r="2050" spans="1:11" ht="15.75" customHeight="1" x14ac:dyDescent="0.25">
      <c r="A2050" s="308"/>
      <c r="B2050" s="308"/>
      <c r="C2050" s="317"/>
      <c r="D2050" s="319"/>
      <c r="E2050" s="308"/>
      <c r="F2050" s="308"/>
      <c r="G2050" s="308" t="s">
        <v>170</v>
      </c>
      <c r="H2050" s="87" t="s">
        <v>171</v>
      </c>
      <c r="I2050" s="223">
        <v>2241647</v>
      </c>
      <c r="J2050" s="223">
        <f>I2050/D2049</f>
        <v>92.9</v>
      </c>
      <c r="K2050" s="223">
        <f>2241647/D2049</f>
        <v>92.9</v>
      </c>
    </row>
    <row r="2051" spans="1:11" ht="15.75" customHeight="1" x14ac:dyDescent="0.25">
      <c r="A2051" s="308"/>
      <c r="B2051" s="308"/>
      <c r="C2051" s="317"/>
      <c r="D2051" s="319"/>
      <c r="E2051" s="308"/>
      <c r="F2051" s="308"/>
      <c r="G2051" s="309"/>
      <c r="H2051" s="87" t="s">
        <v>69</v>
      </c>
      <c r="I2051" s="223">
        <v>47971</v>
      </c>
      <c r="J2051" s="223">
        <f>I2051/D2049</f>
        <v>1.99</v>
      </c>
      <c r="K2051" s="223">
        <f>47971/D2049</f>
        <v>1.99</v>
      </c>
    </row>
    <row r="2052" spans="1:11" ht="15.75" customHeight="1" x14ac:dyDescent="0.25">
      <c r="A2052" s="308"/>
      <c r="B2052" s="308"/>
      <c r="C2052" s="317"/>
      <c r="D2052" s="319"/>
      <c r="E2052" s="308"/>
      <c r="F2052" s="308"/>
      <c r="G2052" s="308" t="s">
        <v>173</v>
      </c>
      <c r="H2052" s="87" t="s">
        <v>171</v>
      </c>
      <c r="I2052" s="223">
        <v>2241647</v>
      </c>
      <c r="J2052" s="223">
        <f>I2052/D2049-0.01</f>
        <v>92.89</v>
      </c>
      <c r="K2052" s="223">
        <f>2241647/D2049-0.01</f>
        <v>92.89</v>
      </c>
    </row>
    <row r="2053" spans="1:11" ht="15.75" customHeight="1" x14ac:dyDescent="0.25">
      <c r="A2053" s="308"/>
      <c r="B2053" s="308"/>
      <c r="C2053" s="317"/>
      <c r="D2053" s="319"/>
      <c r="E2053" s="308"/>
      <c r="F2053" s="308"/>
      <c r="G2053" s="309"/>
      <c r="H2053" s="87" t="s">
        <v>69</v>
      </c>
      <c r="I2053" s="223">
        <v>47971</v>
      </c>
      <c r="J2053" s="223">
        <f>I2053/D2049</f>
        <v>1.99</v>
      </c>
      <c r="K2053" s="223">
        <f>47971/D2049</f>
        <v>1.99</v>
      </c>
    </row>
    <row r="2054" spans="1:11" ht="15.75" customHeight="1" x14ac:dyDescent="0.25">
      <c r="A2054" s="308"/>
      <c r="B2054" s="308"/>
      <c r="C2054" s="317"/>
      <c r="D2054" s="319"/>
      <c r="E2054" s="308"/>
      <c r="F2054" s="308"/>
      <c r="G2054" s="308" t="s">
        <v>174</v>
      </c>
      <c r="H2054" s="87" t="s">
        <v>171</v>
      </c>
      <c r="I2054" s="223">
        <v>2241647</v>
      </c>
      <c r="J2054" s="223">
        <f>I2054/D2049</f>
        <v>92.9</v>
      </c>
      <c r="K2054" s="223">
        <f>2241647/D2049</f>
        <v>92.9</v>
      </c>
    </row>
    <row r="2055" spans="1:11" ht="15.75" customHeight="1" x14ac:dyDescent="0.25">
      <c r="A2055" s="308"/>
      <c r="B2055" s="308"/>
      <c r="C2055" s="317"/>
      <c r="D2055" s="319"/>
      <c r="E2055" s="308"/>
      <c r="F2055" s="308"/>
      <c r="G2055" s="309"/>
      <c r="H2055" s="87" t="s">
        <v>69</v>
      </c>
      <c r="I2055" s="223">
        <v>47971</v>
      </c>
      <c r="J2055" s="223">
        <f>I2055/D2049</f>
        <v>1.99</v>
      </c>
      <c r="K2055" s="223">
        <f>47971/D2049</f>
        <v>1.99</v>
      </c>
    </row>
    <row r="2056" spans="1:11" ht="15.75" customHeight="1" x14ac:dyDescent="0.25">
      <c r="A2056" s="308"/>
      <c r="B2056" s="308"/>
      <c r="C2056" s="317"/>
      <c r="D2056" s="319"/>
      <c r="E2056" s="308"/>
      <c r="F2056" s="308"/>
      <c r="G2056" s="308" t="s">
        <v>175</v>
      </c>
      <c r="H2056" s="87" t="s">
        <v>171</v>
      </c>
      <c r="I2056" s="223">
        <v>2241647</v>
      </c>
      <c r="J2056" s="223">
        <f>I2056/D2049-0.01</f>
        <v>92.89</v>
      </c>
      <c r="K2056" s="223">
        <f>2241647/D2049-0.01</f>
        <v>92.89</v>
      </c>
    </row>
    <row r="2057" spans="1:11" ht="15.75" customHeight="1" x14ac:dyDescent="0.25">
      <c r="A2057" s="308"/>
      <c r="B2057" s="308"/>
      <c r="C2057" s="317"/>
      <c r="D2057" s="319"/>
      <c r="E2057" s="308"/>
      <c r="F2057" s="308"/>
      <c r="G2057" s="309"/>
      <c r="H2057" s="87" t="s">
        <v>69</v>
      </c>
      <c r="I2057" s="223">
        <v>47971</v>
      </c>
      <c r="J2057" s="223">
        <f>I2057/D2049</f>
        <v>1.99</v>
      </c>
      <c r="K2057" s="223">
        <f>47971/D2049</f>
        <v>1.99</v>
      </c>
    </row>
    <row r="2058" spans="1:11" ht="15.75" customHeight="1" x14ac:dyDescent="0.25">
      <c r="A2058" s="308"/>
      <c r="B2058" s="308"/>
      <c r="C2058" s="317"/>
      <c r="D2058" s="319"/>
      <c r="E2058" s="308"/>
      <c r="F2058" s="308"/>
      <c r="G2058" s="308" t="s">
        <v>172</v>
      </c>
      <c r="H2058" s="87" t="s">
        <v>171</v>
      </c>
      <c r="I2058" s="223">
        <v>2241647</v>
      </c>
      <c r="J2058" s="223">
        <f>I2058/D2049</f>
        <v>92.9</v>
      </c>
      <c r="K2058" s="223">
        <f>2241647/D2049</f>
        <v>92.9</v>
      </c>
    </row>
    <row r="2059" spans="1:11" ht="15.75" customHeight="1" x14ac:dyDescent="0.25">
      <c r="A2059" s="308"/>
      <c r="B2059" s="308"/>
      <c r="C2059" s="317"/>
      <c r="D2059" s="319"/>
      <c r="E2059" s="308"/>
      <c r="F2059" s="308"/>
      <c r="G2059" s="309"/>
      <c r="H2059" s="87" t="s">
        <v>69</v>
      </c>
      <c r="I2059" s="223">
        <v>47971</v>
      </c>
      <c r="J2059" s="223">
        <f>I2059/D2049</f>
        <v>1.99</v>
      </c>
      <c r="K2059" s="223">
        <f>47971/D2049</f>
        <v>1.99</v>
      </c>
    </row>
    <row r="2060" spans="1:11" ht="15.75" customHeight="1" x14ac:dyDescent="0.25">
      <c r="A2060" s="308"/>
      <c r="B2060" s="308"/>
      <c r="C2060" s="317"/>
      <c r="D2060" s="319"/>
      <c r="E2060" s="308"/>
      <c r="F2060" s="308"/>
      <c r="G2060" s="308" t="s">
        <v>440</v>
      </c>
      <c r="H2060" s="87" t="s">
        <v>171</v>
      </c>
      <c r="I2060" s="223">
        <v>2241647</v>
      </c>
      <c r="J2060" s="223">
        <f>I2060/D2049-0.01</f>
        <v>92.89</v>
      </c>
      <c r="K2060" s="223">
        <f>2241647/D2049-0.01</f>
        <v>92.89</v>
      </c>
    </row>
    <row r="2061" spans="1:11" ht="15.75" customHeight="1" x14ac:dyDescent="0.25">
      <c r="A2061" s="308"/>
      <c r="B2061" s="308"/>
      <c r="C2061" s="317"/>
      <c r="D2061" s="319"/>
      <c r="E2061" s="308"/>
      <c r="F2061" s="308"/>
      <c r="G2061" s="309"/>
      <c r="H2061" s="87" t="s">
        <v>69</v>
      </c>
      <c r="I2061" s="223">
        <v>47971</v>
      </c>
      <c r="J2061" s="223">
        <f>I2061/D2049</f>
        <v>1.99</v>
      </c>
      <c r="K2061" s="223">
        <f>47971/D2049</f>
        <v>1.99</v>
      </c>
    </row>
    <row r="2062" spans="1:11" ht="15.75" customHeight="1" x14ac:dyDescent="0.25">
      <c r="A2062" s="308"/>
      <c r="B2062" s="308"/>
      <c r="C2062" s="317"/>
      <c r="D2062" s="319"/>
      <c r="E2062" s="308"/>
      <c r="F2062" s="308"/>
      <c r="G2062" s="308" t="s">
        <v>449</v>
      </c>
      <c r="H2062" s="87" t="s">
        <v>171</v>
      </c>
      <c r="I2062" s="223">
        <v>2241647</v>
      </c>
      <c r="J2062" s="223">
        <f>I2062/D2049</f>
        <v>92.9</v>
      </c>
      <c r="K2062" s="223">
        <f>2241647/D2049</f>
        <v>92.9</v>
      </c>
    </row>
    <row r="2063" spans="1:11" ht="15.75" customHeight="1" x14ac:dyDescent="0.25">
      <c r="A2063" s="308"/>
      <c r="B2063" s="308"/>
      <c r="C2063" s="317"/>
      <c r="D2063" s="319"/>
      <c r="E2063" s="308"/>
      <c r="F2063" s="308"/>
      <c r="G2063" s="309"/>
      <c r="H2063" s="87" t="s">
        <v>69</v>
      </c>
      <c r="I2063" s="223">
        <v>47971</v>
      </c>
      <c r="J2063" s="223">
        <f>I2063/D2049</f>
        <v>1.99</v>
      </c>
      <c r="K2063" s="223">
        <f>47971/D2049</f>
        <v>1.99</v>
      </c>
    </row>
    <row r="2064" spans="1:11" ht="15.75" customHeight="1" x14ac:dyDescent="0.25">
      <c r="A2064" s="308"/>
      <c r="B2064" s="308"/>
      <c r="C2064" s="317"/>
      <c r="D2064" s="319"/>
      <c r="E2064" s="308"/>
      <c r="F2064" s="308"/>
      <c r="G2064" s="308" t="s">
        <v>457</v>
      </c>
      <c r="H2064" s="87" t="s">
        <v>171</v>
      </c>
      <c r="I2064" s="223">
        <v>2241647</v>
      </c>
      <c r="J2064" s="223">
        <f>I2064/D2049-0.01</f>
        <v>92.89</v>
      </c>
      <c r="K2064" s="223">
        <f>2241647/D2049-0.01</f>
        <v>92.89</v>
      </c>
    </row>
    <row r="2065" spans="1:11" ht="15.75" customHeight="1" x14ac:dyDescent="0.25">
      <c r="A2065" s="308"/>
      <c r="B2065" s="308"/>
      <c r="C2065" s="317"/>
      <c r="D2065" s="319"/>
      <c r="E2065" s="308"/>
      <c r="F2065" s="308"/>
      <c r="G2065" s="309"/>
      <c r="H2065" s="87" t="s">
        <v>69</v>
      </c>
      <c r="I2065" s="223">
        <v>47971</v>
      </c>
      <c r="J2065" s="223">
        <f>I2065/D2049</f>
        <v>1.99</v>
      </c>
      <c r="K2065" s="223">
        <f>47971/D2049</f>
        <v>1.99</v>
      </c>
    </row>
    <row r="2066" spans="1:11" ht="15.75" customHeight="1" x14ac:dyDescent="0.25">
      <c r="A2066" s="308"/>
      <c r="B2066" s="308"/>
      <c r="C2066" s="317"/>
      <c r="D2066" s="319"/>
      <c r="E2066" s="308"/>
      <c r="F2066" s="308"/>
      <c r="G2066" s="308" t="s">
        <v>551</v>
      </c>
      <c r="H2066" s="87" t="s">
        <v>171</v>
      </c>
      <c r="I2066" s="223">
        <v>2241647</v>
      </c>
      <c r="J2066" s="223">
        <f>I2066/D2049</f>
        <v>92.9</v>
      </c>
      <c r="K2066" s="223">
        <f>2241647/D2049</f>
        <v>92.9</v>
      </c>
    </row>
    <row r="2067" spans="1:11" ht="15.75" customHeight="1" x14ac:dyDescent="0.25">
      <c r="A2067" s="308"/>
      <c r="B2067" s="308"/>
      <c r="C2067" s="317"/>
      <c r="D2067" s="319"/>
      <c r="E2067" s="308"/>
      <c r="F2067" s="308"/>
      <c r="G2067" s="309"/>
      <c r="H2067" s="87" t="s">
        <v>69</v>
      </c>
      <c r="I2067" s="223">
        <v>47971</v>
      </c>
      <c r="J2067" s="223">
        <f>I2067/D2049</f>
        <v>1.99</v>
      </c>
      <c r="K2067" s="223">
        <f>47971/D2049</f>
        <v>1.99</v>
      </c>
    </row>
    <row r="2068" spans="1:11" ht="15.75" customHeight="1" x14ac:dyDescent="0.25">
      <c r="A2068" s="308"/>
      <c r="B2068" s="308"/>
      <c r="C2068" s="317"/>
      <c r="D2068" s="319"/>
      <c r="E2068" s="308"/>
      <c r="F2068" s="308"/>
      <c r="G2068" s="308" t="s">
        <v>610</v>
      </c>
      <c r="H2068" s="87" t="s">
        <v>171</v>
      </c>
      <c r="I2068" s="223">
        <v>2241647</v>
      </c>
      <c r="J2068" s="223">
        <f>I2068/D2049</f>
        <v>92.9</v>
      </c>
      <c r="K2068" s="223">
        <f>2241647/D2049</f>
        <v>92.9</v>
      </c>
    </row>
    <row r="2069" spans="1:11" ht="15.75" customHeight="1" x14ac:dyDescent="0.25">
      <c r="A2069" s="308"/>
      <c r="B2069" s="308"/>
      <c r="C2069" s="317"/>
      <c r="D2069" s="319"/>
      <c r="E2069" s="308"/>
      <c r="F2069" s="308"/>
      <c r="G2069" s="309"/>
      <c r="H2069" s="87" t="s">
        <v>69</v>
      </c>
      <c r="I2069" s="223">
        <v>47971</v>
      </c>
      <c r="J2069" s="223">
        <f>I2069/D2049</f>
        <v>1.99</v>
      </c>
      <c r="K2069" s="223">
        <f>47971/D2049</f>
        <v>1.99</v>
      </c>
    </row>
    <row r="2070" spans="1:11" ht="15.75" customHeight="1" x14ac:dyDescent="0.25">
      <c r="A2070" s="308"/>
      <c r="B2070" s="308"/>
      <c r="C2070" s="317"/>
      <c r="D2070" s="319"/>
      <c r="E2070" s="308"/>
      <c r="F2070" s="308"/>
      <c r="G2070" s="308" t="s">
        <v>611</v>
      </c>
      <c r="H2070" s="87" t="s">
        <v>171</v>
      </c>
      <c r="I2070" s="223">
        <v>2241647</v>
      </c>
      <c r="J2070" s="223">
        <f>I2070/D2049</f>
        <v>92.9</v>
      </c>
      <c r="K2070" s="223">
        <f>2241647/D2049</f>
        <v>92.9</v>
      </c>
    </row>
    <row r="2071" spans="1:11" ht="15.75" customHeight="1" x14ac:dyDescent="0.25">
      <c r="A2071" s="308"/>
      <c r="B2071" s="308"/>
      <c r="C2071" s="317"/>
      <c r="D2071" s="319"/>
      <c r="E2071" s="308"/>
      <c r="F2071" s="308"/>
      <c r="G2071" s="309"/>
      <c r="H2071" s="87" t="s">
        <v>69</v>
      </c>
      <c r="I2071" s="223">
        <v>47971</v>
      </c>
      <c r="J2071" s="223">
        <f>I2071/D2049</f>
        <v>1.99</v>
      </c>
      <c r="K2071" s="223">
        <f>47971/D2049</f>
        <v>1.99</v>
      </c>
    </row>
    <row r="2072" spans="1:11" ht="15.75" customHeight="1" x14ac:dyDescent="0.25">
      <c r="A2072" s="307">
        <f>A2049+1</f>
        <v>144</v>
      </c>
      <c r="B2072" s="307">
        <v>2394</v>
      </c>
      <c r="C2072" s="315" t="s">
        <v>613</v>
      </c>
      <c r="D2072" s="318">
        <v>4486.8</v>
      </c>
      <c r="E2072" s="307" t="s">
        <v>64</v>
      </c>
      <c r="F2072" s="307">
        <v>10</v>
      </c>
      <c r="G2072" s="145"/>
      <c r="H2072" s="87" t="s">
        <v>66</v>
      </c>
      <c r="I2072" s="223">
        <f>I2073+I2074+I2075+I2076</f>
        <v>3360342.55</v>
      </c>
      <c r="J2072" s="223">
        <f>J2073+J2074+J2075+J2076</f>
        <v>748.94</v>
      </c>
      <c r="K2072" s="223">
        <f>K2073+K2074+K2075+K2076</f>
        <v>1020.59</v>
      </c>
    </row>
    <row r="2073" spans="1:11" ht="15.75" customHeight="1" x14ac:dyDescent="0.25">
      <c r="A2073" s="308"/>
      <c r="B2073" s="308"/>
      <c r="C2073" s="317"/>
      <c r="D2073" s="319"/>
      <c r="E2073" s="308"/>
      <c r="F2073" s="308"/>
      <c r="G2073" s="308" t="s">
        <v>170</v>
      </c>
      <c r="H2073" s="87" t="s">
        <v>171</v>
      </c>
      <c r="I2073" s="223">
        <v>1665620</v>
      </c>
      <c r="J2073" s="223">
        <f>I2073/D2072</f>
        <v>371.23</v>
      </c>
      <c r="K2073" s="223">
        <f>2241647/D2072</f>
        <v>499.61</v>
      </c>
    </row>
    <row r="2074" spans="1:11" ht="15.75" customHeight="1" x14ac:dyDescent="0.25">
      <c r="A2074" s="308"/>
      <c r="B2074" s="308"/>
      <c r="C2074" s="317"/>
      <c r="D2074" s="319"/>
      <c r="E2074" s="308"/>
      <c r="F2074" s="308"/>
      <c r="G2074" s="309"/>
      <c r="H2074" s="87" t="s">
        <v>69</v>
      </c>
      <c r="I2074" s="223">
        <v>14551.28</v>
      </c>
      <c r="J2074" s="223">
        <f>I2074/D2072</f>
        <v>3.24</v>
      </c>
      <c r="K2074" s="223">
        <f>47971/D2072</f>
        <v>10.69</v>
      </c>
    </row>
    <row r="2075" spans="1:11" ht="15.75" customHeight="1" x14ac:dyDescent="0.25">
      <c r="A2075" s="308"/>
      <c r="B2075" s="308"/>
      <c r="C2075" s="317"/>
      <c r="D2075" s="319"/>
      <c r="E2075" s="308"/>
      <c r="F2075" s="308"/>
      <c r="G2075" s="308" t="s">
        <v>173</v>
      </c>
      <c r="H2075" s="87" t="s">
        <v>171</v>
      </c>
      <c r="I2075" s="223">
        <v>1665619.99</v>
      </c>
      <c r="J2075" s="223">
        <f>I2075/D2072</f>
        <v>371.23</v>
      </c>
      <c r="K2075" s="223">
        <f>2241647/D2072-0.01</f>
        <v>499.6</v>
      </c>
    </row>
    <row r="2076" spans="1:11" ht="15.75" customHeight="1" x14ac:dyDescent="0.25">
      <c r="A2076" s="308"/>
      <c r="B2076" s="308"/>
      <c r="C2076" s="317"/>
      <c r="D2076" s="319"/>
      <c r="E2076" s="308"/>
      <c r="F2076" s="308"/>
      <c r="G2076" s="309"/>
      <c r="H2076" s="87" t="s">
        <v>69</v>
      </c>
      <c r="I2076" s="223">
        <v>14551.28</v>
      </c>
      <c r="J2076" s="223">
        <f>I2076/D2072</f>
        <v>3.24</v>
      </c>
      <c r="K2076" s="223">
        <f>47971/D2072</f>
        <v>10.69</v>
      </c>
    </row>
    <row r="2077" spans="1:11" ht="15.75" customHeight="1" x14ac:dyDescent="0.25">
      <c r="A2077" s="307">
        <f>A2072+1</f>
        <v>145</v>
      </c>
      <c r="B2077" s="307">
        <v>2395</v>
      </c>
      <c r="C2077" s="315" t="s">
        <v>614</v>
      </c>
      <c r="D2077" s="318">
        <v>4784.8999999999996</v>
      </c>
      <c r="E2077" s="307" t="s">
        <v>64</v>
      </c>
      <c r="F2077" s="307">
        <v>10</v>
      </c>
      <c r="G2077" s="145"/>
      <c r="H2077" s="87" t="s">
        <v>66</v>
      </c>
      <c r="I2077" s="223">
        <f>I2078+I2079+I2080+I2081</f>
        <v>3398102.56</v>
      </c>
      <c r="J2077" s="223">
        <f>J2078+J2079+J2080+J2081</f>
        <v>710.17</v>
      </c>
      <c r="K2077" s="223">
        <f>K2078+K2079+K2080+K2081</f>
        <v>957.01</v>
      </c>
    </row>
    <row r="2078" spans="1:11" ht="15.75" customHeight="1" x14ac:dyDescent="0.25">
      <c r="A2078" s="308"/>
      <c r="B2078" s="308"/>
      <c r="C2078" s="317"/>
      <c r="D2078" s="319"/>
      <c r="E2078" s="308"/>
      <c r="F2078" s="308"/>
      <c r="G2078" s="308" t="s">
        <v>170</v>
      </c>
      <c r="H2078" s="87" t="s">
        <v>171</v>
      </c>
      <c r="I2078" s="223">
        <v>1684500</v>
      </c>
      <c r="J2078" s="223">
        <f>I2078/D2077</f>
        <v>352.04</v>
      </c>
      <c r="K2078" s="223">
        <f>2241647/D2077</f>
        <v>468.48</v>
      </c>
    </row>
    <row r="2079" spans="1:11" ht="15.75" customHeight="1" x14ac:dyDescent="0.25">
      <c r="A2079" s="308"/>
      <c r="B2079" s="308"/>
      <c r="C2079" s="317"/>
      <c r="D2079" s="319"/>
      <c r="E2079" s="308"/>
      <c r="F2079" s="308"/>
      <c r="G2079" s="309"/>
      <c r="H2079" s="87" t="s">
        <v>69</v>
      </c>
      <c r="I2079" s="223">
        <v>14551.28</v>
      </c>
      <c r="J2079" s="223">
        <f>I2079/D2077</f>
        <v>3.04</v>
      </c>
      <c r="K2079" s="223">
        <f>47971/D2077</f>
        <v>10.029999999999999</v>
      </c>
    </row>
    <row r="2080" spans="1:11" ht="15.75" customHeight="1" x14ac:dyDescent="0.25">
      <c r="A2080" s="308"/>
      <c r="B2080" s="308"/>
      <c r="C2080" s="317"/>
      <c r="D2080" s="319"/>
      <c r="E2080" s="308"/>
      <c r="F2080" s="308"/>
      <c r="G2080" s="308" t="s">
        <v>173</v>
      </c>
      <c r="H2080" s="87" t="s">
        <v>171</v>
      </c>
      <c r="I2080" s="223">
        <v>1684500</v>
      </c>
      <c r="J2080" s="223">
        <f>I2080/D2077+0.01</f>
        <v>352.05</v>
      </c>
      <c r="K2080" s="223">
        <f>2241647/D2077-0.01</f>
        <v>468.47</v>
      </c>
    </row>
    <row r="2081" spans="1:11" ht="15.75" customHeight="1" x14ac:dyDescent="0.25">
      <c r="A2081" s="308"/>
      <c r="B2081" s="308"/>
      <c r="C2081" s="317"/>
      <c r="D2081" s="319"/>
      <c r="E2081" s="308"/>
      <c r="F2081" s="308"/>
      <c r="G2081" s="309"/>
      <c r="H2081" s="87" t="s">
        <v>69</v>
      </c>
      <c r="I2081" s="223">
        <v>14551.28</v>
      </c>
      <c r="J2081" s="223">
        <f>I2081/D2077</f>
        <v>3.04</v>
      </c>
      <c r="K2081" s="223">
        <f>47971/D2077</f>
        <v>10.029999999999999</v>
      </c>
    </row>
    <row r="2082" spans="1:11" ht="15.75" customHeight="1" x14ac:dyDescent="0.25">
      <c r="A2082" s="307">
        <f>A2077+1</f>
        <v>146</v>
      </c>
      <c r="B2082" s="307">
        <v>2397</v>
      </c>
      <c r="C2082" s="315" t="s">
        <v>652</v>
      </c>
      <c r="D2082" s="318">
        <v>4512.3999999999996</v>
      </c>
      <c r="E2082" s="307" t="s">
        <v>64</v>
      </c>
      <c r="F2082" s="307">
        <v>10</v>
      </c>
      <c r="G2082" s="145"/>
      <c r="H2082" s="87" t="s">
        <v>66</v>
      </c>
      <c r="I2082" s="223">
        <f>I2083+I2084</f>
        <v>64562</v>
      </c>
      <c r="J2082" s="223">
        <f>J2083+J2084</f>
        <v>14.31</v>
      </c>
      <c r="K2082" s="223">
        <f>K2083+K2084</f>
        <v>14.31</v>
      </c>
    </row>
    <row r="2083" spans="1:11" ht="47.25" customHeight="1" x14ac:dyDescent="0.25">
      <c r="A2083" s="308"/>
      <c r="B2083" s="308"/>
      <c r="C2083" s="317"/>
      <c r="D2083" s="319"/>
      <c r="E2083" s="308"/>
      <c r="F2083" s="308"/>
      <c r="G2083" s="148" t="s">
        <v>170</v>
      </c>
      <c r="H2083" s="87" t="s">
        <v>168</v>
      </c>
      <c r="I2083" s="223">
        <f>22681+9600</f>
        <v>32281</v>
      </c>
      <c r="J2083" s="223">
        <f>I2083/D2082+0.01</f>
        <v>7.16</v>
      </c>
      <c r="K2083" s="223">
        <f>32281/D2082+0.01</f>
        <v>7.16</v>
      </c>
    </row>
    <row r="2084" spans="1:11" ht="47.25" customHeight="1" x14ac:dyDescent="0.25">
      <c r="A2084" s="308"/>
      <c r="B2084" s="308"/>
      <c r="C2084" s="317"/>
      <c r="D2084" s="319"/>
      <c r="E2084" s="308"/>
      <c r="F2084" s="308"/>
      <c r="G2084" s="148" t="s">
        <v>173</v>
      </c>
      <c r="H2084" s="87" t="s">
        <v>168</v>
      </c>
      <c r="I2084" s="223">
        <f>22681+9600</f>
        <v>32281</v>
      </c>
      <c r="J2084" s="223">
        <f>I2084/D2082</f>
        <v>7.15</v>
      </c>
      <c r="K2084" s="223">
        <f>32281/D2082</f>
        <v>7.15</v>
      </c>
    </row>
    <row r="2085" spans="1:11" ht="15.75" customHeight="1" x14ac:dyDescent="0.25">
      <c r="A2085" s="307">
        <f>A2082+1</f>
        <v>147</v>
      </c>
      <c r="B2085" s="307">
        <v>2379</v>
      </c>
      <c r="C2085" s="315" t="s">
        <v>653</v>
      </c>
      <c r="D2085" s="318">
        <v>7274</v>
      </c>
      <c r="E2085" s="307" t="s">
        <v>64</v>
      </c>
      <c r="F2085" s="307">
        <v>10</v>
      </c>
      <c r="G2085" s="145"/>
      <c r="H2085" s="87" t="s">
        <v>66</v>
      </c>
      <c r="I2085" s="223">
        <f>I2086+I2087+I2088</f>
        <v>96843</v>
      </c>
      <c r="J2085" s="223">
        <f>J2086+J2087+J2088</f>
        <v>13.31</v>
      </c>
      <c r="K2085" s="223">
        <f>K2086+K2087+K2088</f>
        <v>13.31</v>
      </c>
    </row>
    <row r="2086" spans="1:11" ht="47.25" customHeight="1" x14ac:dyDescent="0.25">
      <c r="A2086" s="308"/>
      <c r="B2086" s="308"/>
      <c r="C2086" s="317"/>
      <c r="D2086" s="319"/>
      <c r="E2086" s="308"/>
      <c r="F2086" s="308"/>
      <c r="G2086" s="148" t="s">
        <v>170</v>
      </c>
      <c r="H2086" s="87" t="s">
        <v>168</v>
      </c>
      <c r="I2086" s="223">
        <f>22681+9600</f>
        <v>32281</v>
      </c>
      <c r="J2086" s="223">
        <f>I2086/D2085</f>
        <v>4.4400000000000004</v>
      </c>
      <c r="K2086" s="223">
        <f>32281/D2085</f>
        <v>4.4400000000000004</v>
      </c>
    </row>
    <row r="2087" spans="1:11" ht="47.25" customHeight="1" x14ac:dyDescent="0.25">
      <c r="A2087" s="308"/>
      <c r="B2087" s="308"/>
      <c r="C2087" s="317"/>
      <c r="D2087" s="319"/>
      <c r="E2087" s="308"/>
      <c r="F2087" s="308"/>
      <c r="G2087" s="148" t="s">
        <v>173</v>
      </c>
      <c r="H2087" s="87" t="s">
        <v>168</v>
      </c>
      <c r="I2087" s="223">
        <f>22681+9600</f>
        <v>32281</v>
      </c>
      <c r="J2087" s="223">
        <f>I2087/D2085-0.01</f>
        <v>4.43</v>
      </c>
      <c r="K2087" s="223">
        <f>32281/D2085-0.01</f>
        <v>4.43</v>
      </c>
    </row>
    <row r="2088" spans="1:11" ht="47.25" customHeight="1" x14ac:dyDescent="0.25">
      <c r="A2088" s="308"/>
      <c r="B2088" s="308"/>
      <c r="C2088" s="317"/>
      <c r="D2088" s="319"/>
      <c r="E2088" s="308"/>
      <c r="F2088" s="308"/>
      <c r="G2088" s="148" t="s">
        <v>174</v>
      </c>
      <c r="H2088" s="87" t="s">
        <v>168</v>
      </c>
      <c r="I2088" s="223">
        <f>22681+9600</f>
        <v>32281</v>
      </c>
      <c r="J2088" s="223">
        <f>I2088/D2085</f>
        <v>4.4400000000000004</v>
      </c>
      <c r="K2088" s="223">
        <f>32281/D2085</f>
        <v>4.4400000000000004</v>
      </c>
    </row>
    <row r="2089" spans="1:11" ht="15.75" customHeight="1" x14ac:dyDescent="0.25">
      <c r="A2089" s="310">
        <f>A2085+1</f>
        <v>148</v>
      </c>
      <c r="B2089" s="310">
        <v>2954</v>
      </c>
      <c r="C2089" s="333" t="s">
        <v>654</v>
      </c>
      <c r="D2089" s="312">
        <v>1238.2</v>
      </c>
      <c r="E2089" s="312" t="s">
        <v>68</v>
      </c>
      <c r="F2089" s="313">
        <v>4</v>
      </c>
      <c r="G2089" s="310" t="s">
        <v>74</v>
      </c>
      <c r="H2089" s="87" t="s">
        <v>66</v>
      </c>
      <c r="I2089" s="223">
        <f>I2090</f>
        <v>58195.4</v>
      </c>
      <c r="J2089" s="223">
        <f>J2090</f>
        <v>47</v>
      </c>
      <c r="K2089" s="223">
        <f>K2090</f>
        <v>47</v>
      </c>
    </row>
    <row r="2090" spans="1:11" ht="47.25" customHeight="1" x14ac:dyDescent="0.25">
      <c r="A2090" s="310"/>
      <c r="B2090" s="310"/>
      <c r="C2090" s="333"/>
      <c r="D2090" s="312"/>
      <c r="E2090" s="312"/>
      <c r="F2090" s="313"/>
      <c r="G2090" s="310"/>
      <c r="H2090" s="87" t="s">
        <v>168</v>
      </c>
      <c r="I2090" s="223">
        <f>D2089*K2090</f>
        <v>58195.4</v>
      </c>
      <c r="J2090" s="223">
        <f>I2090/D2089</f>
        <v>47</v>
      </c>
      <c r="K2090" s="223">
        <f>34+13</f>
        <v>47</v>
      </c>
    </row>
    <row r="2091" spans="1:11" ht="15.75" customHeight="1" x14ac:dyDescent="0.25">
      <c r="A2091" s="310">
        <f>A2089+1</f>
        <v>149</v>
      </c>
      <c r="B2091" s="310">
        <v>2955</v>
      </c>
      <c r="C2091" s="333" t="s">
        <v>655</v>
      </c>
      <c r="D2091" s="312">
        <v>1089.3</v>
      </c>
      <c r="E2091" s="312" t="s">
        <v>68</v>
      </c>
      <c r="F2091" s="313">
        <v>4</v>
      </c>
      <c r="G2091" s="310" t="s">
        <v>74</v>
      </c>
      <c r="H2091" s="87" t="s">
        <v>66</v>
      </c>
      <c r="I2091" s="223">
        <f>I2092</f>
        <v>51197.1</v>
      </c>
      <c r="J2091" s="223">
        <f>J2092</f>
        <v>47</v>
      </c>
      <c r="K2091" s="223">
        <f>K2092</f>
        <v>47</v>
      </c>
    </row>
    <row r="2092" spans="1:11" ht="47.25" customHeight="1" x14ac:dyDescent="0.25">
      <c r="A2092" s="310"/>
      <c r="B2092" s="310"/>
      <c r="C2092" s="333"/>
      <c r="D2092" s="312"/>
      <c r="E2092" s="312"/>
      <c r="F2092" s="313"/>
      <c r="G2092" s="310"/>
      <c r="H2092" s="87" t="s">
        <v>168</v>
      </c>
      <c r="I2092" s="223">
        <f>D2091*K2092</f>
        <v>51197.1</v>
      </c>
      <c r="J2092" s="223">
        <f>I2092/D2091</f>
        <v>47</v>
      </c>
      <c r="K2092" s="223">
        <f>34+13</f>
        <v>47</v>
      </c>
    </row>
    <row r="2093" spans="1:11" x14ac:dyDescent="0.25">
      <c r="A2093" s="81" t="s">
        <v>31</v>
      </c>
      <c r="B2093" s="81"/>
      <c r="C2093" s="124"/>
      <c r="D2093" s="151">
        <f>D2094+D2097+D2100</f>
        <v>1056.7</v>
      </c>
      <c r="E2093" s="80"/>
      <c r="F2093" s="80"/>
      <c r="G2093" s="151"/>
      <c r="H2093" s="85"/>
      <c r="I2093" s="223">
        <f>I2094+I2097+I2100</f>
        <v>2770421.42</v>
      </c>
      <c r="J2093" s="223"/>
      <c r="K2093" s="223"/>
    </row>
    <row r="2094" spans="1:11" x14ac:dyDescent="0.25">
      <c r="A2094" s="307">
        <v>1</v>
      </c>
      <c r="B2094" s="307">
        <v>4859</v>
      </c>
      <c r="C2094" s="315" t="s">
        <v>435</v>
      </c>
      <c r="D2094" s="318">
        <v>336</v>
      </c>
      <c r="E2094" s="318" t="s">
        <v>68</v>
      </c>
      <c r="F2094" s="330">
        <v>2</v>
      </c>
      <c r="G2094" s="161"/>
      <c r="H2094" s="87" t="s">
        <v>66</v>
      </c>
      <c r="I2094" s="223">
        <f>I2095+I2096</f>
        <v>174068.16</v>
      </c>
      <c r="J2094" s="223">
        <f>J2095+J2096</f>
        <v>518.05999999999995</v>
      </c>
      <c r="K2094" s="223">
        <f>K2095+K2096</f>
        <v>524</v>
      </c>
    </row>
    <row r="2095" spans="1:11" x14ac:dyDescent="0.25">
      <c r="A2095" s="308"/>
      <c r="B2095" s="308"/>
      <c r="C2095" s="317"/>
      <c r="D2095" s="319"/>
      <c r="E2095" s="319"/>
      <c r="F2095" s="331"/>
      <c r="G2095" s="307" t="s">
        <v>71</v>
      </c>
      <c r="H2095" s="87" t="s">
        <v>67</v>
      </c>
      <c r="I2095" s="223">
        <f>D2094*K2095</f>
        <v>172368</v>
      </c>
      <c r="J2095" s="223">
        <f>I2095/D2094</f>
        <v>513</v>
      </c>
      <c r="K2095" s="223">
        <v>513</v>
      </c>
    </row>
    <row r="2096" spans="1:11" x14ac:dyDescent="0.25">
      <c r="A2096" s="309"/>
      <c r="B2096" s="309"/>
      <c r="C2096" s="316"/>
      <c r="D2096" s="329"/>
      <c r="E2096" s="329"/>
      <c r="F2096" s="332"/>
      <c r="G2096" s="309"/>
      <c r="H2096" s="87" t="s">
        <v>69</v>
      </c>
      <c r="I2096" s="226">
        <v>1700.16</v>
      </c>
      <c r="J2096" s="223">
        <f>I2096/D2094</f>
        <v>5.0599999999999996</v>
      </c>
      <c r="K2096" s="223">
        <v>11</v>
      </c>
    </row>
    <row r="2097" spans="1:11" x14ac:dyDescent="0.25">
      <c r="A2097" s="307">
        <f>A2094+1</f>
        <v>2</v>
      </c>
      <c r="B2097" s="307">
        <v>8046</v>
      </c>
      <c r="C2097" s="315" t="s">
        <v>288</v>
      </c>
      <c r="D2097" s="318">
        <v>325</v>
      </c>
      <c r="E2097" s="318" t="s">
        <v>167</v>
      </c>
      <c r="F2097" s="330">
        <v>2</v>
      </c>
      <c r="G2097" s="161"/>
      <c r="H2097" s="87" t="s">
        <v>66</v>
      </c>
      <c r="I2097" s="223">
        <f>I2098+I2099</f>
        <v>2498338.37</v>
      </c>
      <c r="J2097" s="223">
        <f>J2098+J2099</f>
        <v>7687.19</v>
      </c>
      <c r="K2097" s="223">
        <f>K2098+K2099</f>
        <v>7688</v>
      </c>
    </row>
    <row r="2098" spans="1:11" x14ac:dyDescent="0.25">
      <c r="A2098" s="308"/>
      <c r="B2098" s="308"/>
      <c r="C2098" s="317"/>
      <c r="D2098" s="319"/>
      <c r="E2098" s="319"/>
      <c r="F2098" s="331"/>
      <c r="G2098" s="307" t="s">
        <v>65</v>
      </c>
      <c r="H2098" s="87" t="s">
        <v>67</v>
      </c>
      <c r="I2098" s="223">
        <f>D2097*K2098</f>
        <v>2446275</v>
      </c>
      <c r="J2098" s="223">
        <f>I2098/D2097</f>
        <v>7527</v>
      </c>
      <c r="K2098" s="223">
        <v>7527</v>
      </c>
    </row>
    <row r="2099" spans="1:11" x14ac:dyDescent="0.25">
      <c r="A2099" s="309"/>
      <c r="B2099" s="309"/>
      <c r="C2099" s="316"/>
      <c r="D2099" s="329"/>
      <c r="E2099" s="329"/>
      <c r="F2099" s="332"/>
      <c r="G2099" s="309"/>
      <c r="H2099" s="87" t="s">
        <v>69</v>
      </c>
      <c r="I2099" s="226">
        <v>52063.37</v>
      </c>
      <c r="J2099" s="223">
        <f>I2099/D2097</f>
        <v>160.19</v>
      </c>
      <c r="K2099" s="223">
        <v>161</v>
      </c>
    </row>
    <row r="2100" spans="1:11" x14ac:dyDescent="0.25">
      <c r="A2100" s="310">
        <f>A2097+1</f>
        <v>3</v>
      </c>
      <c r="B2100" s="310">
        <v>8047</v>
      </c>
      <c r="C2100" s="333" t="s">
        <v>436</v>
      </c>
      <c r="D2100" s="312">
        <v>395.7</v>
      </c>
      <c r="E2100" s="313" t="s">
        <v>167</v>
      </c>
      <c r="F2100" s="313">
        <v>2</v>
      </c>
      <c r="G2100" s="121"/>
      <c r="H2100" s="87" t="s">
        <v>66</v>
      </c>
      <c r="I2100" s="223">
        <f>I2101</f>
        <v>98014.89</v>
      </c>
      <c r="J2100" s="223">
        <f>J2101</f>
        <v>247.7</v>
      </c>
      <c r="K2100" s="223">
        <f>K2101</f>
        <v>260</v>
      </c>
    </row>
    <row r="2101" spans="1:11" ht="63" x14ac:dyDescent="0.25">
      <c r="A2101" s="310">
        <v>15</v>
      </c>
      <c r="B2101" s="310"/>
      <c r="C2101" s="333"/>
      <c r="D2101" s="312"/>
      <c r="E2101" s="313"/>
      <c r="F2101" s="313"/>
      <c r="G2101" s="145" t="s">
        <v>65</v>
      </c>
      <c r="H2101" s="87" t="s">
        <v>168</v>
      </c>
      <c r="I2101" s="223">
        <v>98014.89</v>
      </c>
      <c r="J2101" s="223">
        <f>I2101/D2100</f>
        <v>247.7</v>
      </c>
      <c r="K2101" s="223">
        <f>164+96</f>
        <v>260</v>
      </c>
    </row>
    <row r="2102" spans="1:11" x14ac:dyDescent="0.25">
      <c r="A2102" s="81" t="s">
        <v>32</v>
      </c>
      <c r="B2102" s="81"/>
      <c r="C2102" s="124"/>
      <c r="D2102" s="80">
        <f>D2103+D2106+D2109+D2114+D2116+D2119</f>
        <v>2478.04</v>
      </c>
      <c r="E2102" s="80"/>
      <c r="F2102" s="80"/>
      <c r="G2102" s="151"/>
      <c r="H2102" s="92"/>
      <c r="I2102" s="223">
        <f>I2103+I2106+I2109+I2114+I2116+I2119</f>
        <v>10564625.18</v>
      </c>
      <c r="J2102" s="223"/>
      <c r="K2102" s="223"/>
    </row>
    <row r="2103" spans="1:11" ht="15.75" customHeight="1" x14ac:dyDescent="0.25">
      <c r="A2103" s="307">
        <v>1</v>
      </c>
      <c r="B2103" s="307">
        <v>7260</v>
      </c>
      <c r="C2103" s="315" t="s">
        <v>450</v>
      </c>
      <c r="D2103" s="318">
        <v>335.8</v>
      </c>
      <c r="E2103" s="318" t="s">
        <v>167</v>
      </c>
      <c r="F2103" s="330">
        <v>2</v>
      </c>
      <c r="G2103" s="307" t="s">
        <v>65</v>
      </c>
      <c r="H2103" s="87" t="s">
        <v>66</v>
      </c>
      <c r="I2103" s="223">
        <f>I2104+I2105</f>
        <v>1980270.58</v>
      </c>
      <c r="J2103" s="223">
        <f>J2104+J2105</f>
        <v>5897.17</v>
      </c>
      <c r="K2103" s="223">
        <f>K2104+K2105</f>
        <v>8203</v>
      </c>
    </row>
    <row r="2104" spans="1:11" x14ac:dyDescent="0.25">
      <c r="A2104" s="308"/>
      <c r="B2104" s="308"/>
      <c r="C2104" s="317"/>
      <c r="D2104" s="319"/>
      <c r="E2104" s="319"/>
      <c r="F2104" s="331"/>
      <c r="G2104" s="308"/>
      <c r="H2104" s="87" t="s">
        <v>67</v>
      </c>
      <c r="I2104" s="223">
        <f>1938780.67</f>
        <v>1938780.67</v>
      </c>
      <c r="J2104" s="223">
        <f>I2104/D2103-0.01</f>
        <v>5773.61</v>
      </c>
      <c r="K2104" s="223">
        <v>8031</v>
      </c>
    </row>
    <row r="2105" spans="1:11" x14ac:dyDescent="0.25">
      <c r="A2105" s="309"/>
      <c r="B2105" s="309"/>
      <c r="C2105" s="316"/>
      <c r="D2105" s="329"/>
      <c r="E2105" s="329"/>
      <c r="F2105" s="332"/>
      <c r="G2105" s="309"/>
      <c r="H2105" s="87" t="s">
        <v>69</v>
      </c>
      <c r="I2105" s="223">
        <f>I2104*0.0214</f>
        <v>41489.910000000003</v>
      </c>
      <c r="J2105" s="223">
        <f>I2105/D2103</f>
        <v>123.56</v>
      </c>
      <c r="K2105" s="223">
        <v>172</v>
      </c>
    </row>
    <row r="2106" spans="1:11" ht="15.75" customHeight="1" x14ac:dyDescent="0.25">
      <c r="A2106" s="307">
        <f>A2103+1</f>
        <v>2</v>
      </c>
      <c r="B2106" s="307">
        <v>7261</v>
      </c>
      <c r="C2106" s="315" t="s">
        <v>451</v>
      </c>
      <c r="D2106" s="318">
        <v>344.04</v>
      </c>
      <c r="E2106" s="318" t="s">
        <v>167</v>
      </c>
      <c r="F2106" s="330">
        <v>2</v>
      </c>
      <c r="G2106" s="307" t="s">
        <v>65</v>
      </c>
      <c r="H2106" s="87" t="s">
        <v>66</v>
      </c>
      <c r="I2106" s="223">
        <f>I2107+I2108</f>
        <v>1965701.91</v>
      </c>
      <c r="J2106" s="223">
        <f>J2107+J2108</f>
        <v>5713.59</v>
      </c>
      <c r="K2106" s="223">
        <f>K2107+K2108</f>
        <v>8203</v>
      </c>
    </row>
    <row r="2107" spans="1:11" x14ac:dyDescent="0.25">
      <c r="A2107" s="308"/>
      <c r="B2107" s="308"/>
      <c r="C2107" s="317"/>
      <c r="D2107" s="319"/>
      <c r="E2107" s="319"/>
      <c r="F2107" s="331"/>
      <c r="G2107" s="308"/>
      <c r="H2107" s="87" t="s">
        <v>67</v>
      </c>
      <c r="I2107" s="223">
        <f>1924517.24</f>
        <v>1924517.24</v>
      </c>
      <c r="J2107" s="223">
        <f>I2107/D2106</f>
        <v>5593.88</v>
      </c>
      <c r="K2107" s="223">
        <v>8031</v>
      </c>
    </row>
    <row r="2108" spans="1:11" x14ac:dyDescent="0.25">
      <c r="A2108" s="309"/>
      <c r="B2108" s="309"/>
      <c r="C2108" s="316"/>
      <c r="D2108" s="329"/>
      <c r="E2108" s="329"/>
      <c r="F2108" s="332"/>
      <c r="G2108" s="309"/>
      <c r="H2108" s="87" t="s">
        <v>69</v>
      </c>
      <c r="I2108" s="223">
        <f>I2107*0.0214</f>
        <v>41184.67</v>
      </c>
      <c r="J2108" s="223">
        <f>I2108/D2106</f>
        <v>119.71</v>
      </c>
      <c r="K2108" s="223">
        <v>172</v>
      </c>
    </row>
    <row r="2109" spans="1:11" ht="15.75" customHeight="1" x14ac:dyDescent="0.25">
      <c r="A2109" s="307">
        <f>A2106+1</f>
        <v>3</v>
      </c>
      <c r="B2109" s="307">
        <v>7275</v>
      </c>
      <c r="C2109" s="315" t="s">
        <v>487</v>
      </c>
      <c r="D2109" s="318">
        <v>365.5</v>
      </c>
      <c r="E2109" s="318" t="s">
        <v>167</v>
      </c>
      <c r="F2109" s="330">
        <v>2</v>
      </c>
      <c r="G2109" s="307" t="s">
        <v>182</v>
      </c>
      <c r="H2109" s="87" t="s">
        <v>66</v>
      </c>
      <c r="I2109" s="223">
        <f>I2110+I2111+I2112+I2113</f>
        <v>2628758.42</v>
      </c>
      <c r="J2109" s="223">
        <f>J2110+J2111+J2112+J2113</f>
        <v>7192.23</v>
      </c>
      <c r="K2109" s="223">
        <f>K2110+K2111+K2112+K2113</f>
        <v>10447</v>
      </c>
    </row>
    <row r="2110" spans="1:11" x14ac:dyDescent="0.25">
      <c r="A2110" s="308"/>
      <c r="B2110" s="308"/>
      <c r="C2110" s="317"/>
      <c r="D2110" s="319"/>
      <c r="E2110" s="319"/>
      <c r="F2110" s="331"/>
      <c r="G2110" s="308"/>
      <c r="H2110" s="87" t="s">
        <v>67</v>
      </c>
      <c r="I2110" s="223">
        <v>957666.36</v>
      </c>
      <c r="J2110" s="223">
        <f>I2110/D2109+0.01</f>
        <v>2620.16</v>
      </c>
      <c r="K2110" s="223">
        <v>5807</v>
      </c>
    </row>
    <row r="2111" spans="1:11" x14ac:dyDescent="0.25">
      <c r="A2111" s="308"/>
      <c r="B2111" s="308"/>
      <c r="C2111" s="317"/>
      <c r="D2111" s="319"/>
      <c r="E2111" s="319"/>
      <c r="F2111" s="331"/>
      <c r="G2111" s="308"/>
      <c r="H2111" s="87" t="s">
        <v>69</v>
      </c>
      <c r="I2111" s="223">
        <f>I2110*0.0214</f>
        <v>20494.060000000001</v>
      </c>
      <c r="J2111" s="223">
        <f>I2111/D2109</f>
        <v>56.07</v>
      </c>
      <c r="K2111" s="223">
        <v>124</v>
      </c>
    </row>
    <row r="2112" spans="1:11" x14ac:dyDescent="0.25">
      <c r="A2112" s="308"/>
      <c r="B2112" s="308"/>
      <c r="C2112" s="317"/>
      <c r="D2112" s="319"/>
      <c r="E2112" s="319"/>
      <c r="F2112" s="331"/>
      <c r="G2112" s="308"/>
      <c r="H2112" s="87" t="s">
        <v>179</v>
      </c>
      <c r="I2112" s="223">
        <f>D2109*K2112</f>
        <v>1615875.5</v>
      </c>
      <c r="J2112" s="223">
        <f>I2112/D2109</f>
        <v>4421</v>
      </c>
      <c r="K2112" s="223">
        <v>4421</v>
      </c>
    </row>
    <row r="2113" spans="1:11" x14ac:dyDescent="0.25">
      <c r="A2113" s="309"/>
      <c r="B2113" s="309"/>
      <c r="C2113" s="316"/>
      <c r="D2113" s="329"/>
      <c r="E2113" s="329"/>
      <c r="F2113" s="332"/>
      <c r="G2113" s="309"/>
      <c r="H2113" s="87" t="s">
        <v>69</v>
      </c>
      <c r="I2113" s="223">
        <f>D2109*K2113</f>
        <v>34722.5</v>
      </c>
      <c r="J2113" s="223">
        <f>I2113/D2109</f>
        <v>95</v>
      </c>
      <c r="K2113" s="223">
        <v>95</v>
      </c>
    </row>
    <row r="2114" spans="1:11" ht="15.75" customHeight="1" x14ac:dyDescent="0.25">
      <c r="A2114" s="307">
        <f>A2109+1</f>
        <v>4</v>
      </c>
      <c r="B2114" s="307">
        <v>7317</v>
      </c>
      <c r="C2114" s="315" t="s">
        <v>489</v>
      </c>
      <c r="D2114" s="318">
        <v>520.9</v>
      </c>
      <c r="E2114" s="318" t="s">
        <v>167</v>
      </c>
      <c r="F2114" s="330">
        <v>2</v>
      </c>
      <c r="G2114" s="307" t="s">
        <v>65</v>
      </c>
      <c r="H2114" s="87" t="s">
        <v>66</v>
      </c>
      <c r="I2114" s="223">
        <f>I2115</f>
        <v>1118505.3799999999</v>
      </c>
      <c r="J2114" s="223">
        <f>J2115</f>
        <v>2147.2600000000002</v>
      </c>
      <c r="K2114" s="223">
        <f>K2115</f>
        <v>8031</v>
      </c>
    </row>
    <row r="2115" spans="1:11" x14ac:dyDescent="0.25">
      <c r="A2115" s="309"/>
      <c r="B2115" s="309"/>
      <c r="C2115" s="316"/>
      <c r="D2115" s="329"/>
      <c r="E2115" s="329"/>
      <c r="F2115" s="332"/>
      <c r="G2115" s="309"/>
      <c r="H2115" s="87" t="s">
        <v>67</v>
      </c>
      <c r="I2115" s="223">
        <f>3728351.27*0.3</f>
        <v>1118505.3799999999</v>
      </c>
      <c r="J2115" s="223">
        <f>I2115/D2114</f>
        <v>2147.2600000000002</v>
      </c>
      <c r="K2115" s="223">
        <v>8031</v>
      </c>
    </row>
    <row r="2116" spans="1:11" ht="15.75" customHeight="1" x14ac:dyDescent="0.25">
      <c r="A2116" s="310">
        <f>A2114+1</f>
        <v>5</v>
      </c>
      <c r="B2116" s="310">
        <v>7333</v>
      </c>
      <c r="C2116" s="310" t="s">
        <v>691</v>
      </c>
      <c r="D2116" s="312">
        <v>526.6</v>
      </c>
      <c r="E2116" s="312" t="s">
        <v>167</v>
      </c>
      <c r="F2116" s="313">
        <v>2</v>
      </c>
      <c r="G2116" s="310" t="s">
        <v>182</v>
      </c>
      <c r="H2116" s="87" t="s">
        <v>66</v>
      </c>
      <c r="I2116" s="223">
        <f>I2117+I2118</f>
        <v>244342.39999999999</v>
      </c>
      <c r="J2116" s="223">
        <f>J2117+J2118</f>
        <v>464</v>
      </c>
      <c r="K2116" s="223">
        <f>K2117+K2118</f>
        <v>464</v>
      </c>
    </row>
    <row r="2117" spans="1:11" ht="63" x14ac:dyDescent="0.25">
      <c r="A2117" s="310"/>
      <c r="B2117" s="310"/>
      <c r="C2117" s="310"/>
      <c r="D2117" s="312"/>
      <c r="E2117" s="312"/>
      <c r="F2117" s="313"/>
      <c r="G2117" s="310"/>
      <c r="H2117" s="87" t="s">
        <v>178</v>
      </c>
      <c r="I2117" s="223">
        <f>D2116*K2117</f>
        <v>136389.4</v>
      </c>
      <c r="J2117" s="223">
        <f>I2117/D2116</f>
        <v>259</v>
      </c>
      <c r="K2117" s="223">
        <f>232+27</f>
        <v>259</v>
      </c>
    </row>
    <row r="2118" spans="1:11" ht="63" x14ac:dyDescent="0.25">
      <c r="A2118" s="310"/>
      <c r="B2118" s="310"/>
      <c r="C2118" s="310"/>
      <c r="D2118" s="312"/>
      <c r="E2118" s="312"/>
      <c r="F2118" s="313"/>
      <c r="G2118" s="310"/>
      <c r="H2118" s="87" t="s">
        <v>488</v>
      </c>
      <c r="I2118" s="223">
        <f>D2116*K2118</f>
        <v>107953</v>
      </c>
      <c r="J2118" s="223">
        <f>I2118/D2116</f>
        <v>205</v>
      </c>
      <c r="K2118" s="223">
        <f>177+28</f>
        <v>205</v>
      </c>
    </row>
    <row r="2119" spans="1:11" ht="15.75" customHeight="1" x14ac:dyDescent="0.25">
      <c r="A2119" s="307">
        <f>A2116+1</f>
        <v>6</v>
      </c>
      <c r="B2119" s="307">
        <v>7357</v>
      </c>
      <c r="C2119" s="315" t="s">
        <v>490</v>
      </c>
      <c r="D2119" s="318">
        <v>385.2</v>
      </c>
      <c r="E2119" s="318" t="s">
        <v>68</v>
      </c>
      <c r="F2119" s="330">
        <v>2</v>
      </c>
      <c r="G2119" s="307" t="s">
        <v>182</v>
      </c>
      <c r="H2119" s="87" t="s">
        <v>66</v>
      </c>
      <c r="I2119" s="223">
        <f>I2120+I2121+I2122+I2123</f>
        <v>2627046.4900000002</v>
      </c>
      <c r="J2119" s="223">
        <f>J2120+J2121+J2122+J2123</f>
        <v>6819.95</v>
      </c>
      <c r="K2119" s="223">
        <f>K2120+K2121+K2122+K2123</f>
        <v>7493</v>
      </c>
    </row>
    <row r="2120" spans="1:11" x14ac:dyDescent="0.25">
      <c r="A2120" s="308"/>
      <c r="B2120" s="308"/>
      <c r="C2120" s="317"/>
      <c r="D2120" s="319"/>
      <c r="E2120" s="319"/>
      <c r="F2120" s="331"/>
      <c r="G2120" s="308"/>
      <c r="H2120" s="87" t="s">
        <v>67</v>
      </c>
      <c r="I2120" s="223">
        <v>1095792.04</v>
      </c>
      <c r="J2120" s="223">
        <f>I2120/D2119</f>
        <v>2844.74</v>
      </c>
      <c r="K2120" s="223">
        <v>2915</v>
      </c>
    </row>
    <row r="2121" spans="1:11" x14ac:dyDescent="0.25">
      <c r="A2121" s="308"/>
      <c r="B2121" s="308"/>
      <c r="C2121" s="317"/>
      <c r="D2121" s="319"/>
      <c r="E2121" s="319"/>
      <c r="F2121" s="331"/>
      <c r="G2121" s="308"/>
      <c r="H2121" s="87" t="s">
        <v>69</v>
      </c>
      <c r="I2121" s="223">
        <f>I2120*0.0214</f>
        <v>23449.95</v>
      </c>
      <c r="J2121" s="223">
        <f>I2121/D2119</f>
        <v>60.88</v>
      </c>
      <c r="K2121" s="223">
        <v>62</v>
      </c>
    </row>
    <row r="2122" spans="1:11" x14ac:dyDescent="0.25">
      <c r="A2122" s="308"/>
      <c r="B2122" s="308"/>
      <c r="C2122" s="317"/>
      <c r="D2122" s="319"/>
      <c r="E2122" s="319"/>
      <c r="F2122" s="331"/>
      <c r="G2122" s="308"/>
      <c r="H2122" s="87" t="s">
        <v>179</v>
      </c>
      <c r="I2122" s="223">
        <v>1476213.53</v>
      </c>
      <c r="J2122" s="223">
        <f>I2122/D2119-0.01</f>
        <v>3832.32</v>
      </c>
      <c r="K2122" s="223">
        <v>4421</v>
      </c>
    </row>
    <row r="2123" spans="1:11" x14ac:dyDescent="0.25">
      <c r="A2123" s="309"/>
      <c r="B2123" s="309"/>
      <c r="C2123" s="316"/>
      <c r="D2123" s="329"/>
      <c r="E2123" s="329"/>
      <c r="F2123" s="332"/>
      <c r="G2123" s="309"/>
      <c r="H2123" s="87" t="s">
        <v>69</v>
      </c>
      <c r="I2123" s="223">
        <f>I2122*0.0214</f>
        <v>31590.97</v>
      </c>
      <c r="J2123" s="223">
        <f>I2123/D2119</f>
        <v>82.01</v>
      </c>
      <c r="K2123" s="223">
        <v>95</v>
      </c>
    </row>
    <row r="2124" spans="1:11" x14ac:dyDescent="0.25">
      <c r="A2124" s="81" t="s">
        <v>34</v>
      </c>
      <c r="B2124" s="81"/>
      <c r="C2124" s="124"/>
      <c r="D2124" s="151">
        <f>D2125+D2128+D2133+D2135</f>
        <v>1779</v>
      </c>
      <c r="E2124" s="151"/>
      <c r="F2124" s="151"/>
      <c r="G2124" s="151"/>
      <c r="H2124" s="92"/>
      <c r="I2124" s="223">
        <f>I2125+I2128+I2133+I2135</f>
        <v>4158657.55</v>
      </c>
      <c r="J2124" s="223"/>
      <c r="K2124" s="223"/>
    </row>
    <row r="2125" spans="1:11" x14ac:dyDescent="0.25">
      <c r="A2125" s="310">
        <v>1</v>
      </c>
      <c r="B2125" s="310">
        <v>6749</v>
      </c>
      <c r="C2125" s="333" t="s">
        <v>291</v>
      </c>
      <c r="D2125" s="318">
        <v>288.7</v>
      </c>
      <c r="E2125" s="318" t="s">
        <v>68</v>
      </c>
      <c r="F2125" s="330">
        <v>2</v>
      </c>
      <c r="G2125" s="161"/>
      <c r="H2125" s="87" t="s">
        <v>66</v>
      </c>
      <c r="I2125" s="223">
        <f>I2126+I2127</f>
        <v>150990.1</v>
      </c>
      <c r="J2125" s="223">
        <f t="shared" ref="J2125:K2125" si="73">J2126+J2127</f>
        <v>523</v>
      </c>
      <c r="K2125" s="223">
        <f t="shared" si="73"/>
        <v>524</v>
      </c>
    </row>
    <row r="2126" spans="1:11" x14ac:dyDescent="0.25">
      <c r="A2126" s="310"/>
      <c r="B2126" s="310"/>
      <c r="C2126" s="333"/>
      <c r="D2126" s="319"/>
      <c r="E2126" s="319"/>
      <c r="F2126" s="331"/>
      <c r="G2126" s="310" t="s">
        <v>71</v>
      </c>
      <c r="H2126" s="87" t="s">
        <v>67</v>
      </c>
      <c r="I2126" s="223">
        <f>D2125*K2126</f>
        <v>148103.1</v>
      </c>
      <c r="J2126" s="223">
        <f>I2126/D2125</f>
        <v>513</v>
      </c>
      <c r="K2126" s="223">
        <v>513</v>
      </c>
    </row>
    <row r="2127" spans="1:11" x14ac:dyDescent="0.25">
      <c r="A2127" s="310"/>
      <c r="B2127" s="310"/>
      <c r="C2127" s="333"/>
      <c r="D2127" s="329"/>
      <c r="E2127" s="329"/>
      <c r="F2127" s="332"/>
      <c r="G2127" s="310"/>
      <c r="H2127" s="87" t="s">
        <v>69</v>
      </c>
      <c r="I2127" s="223">
        <v>2887</v>
      </c>
      <c r="J2127" s="223">
        <f>I2127/D2125</f>
        <v>10</v>
      </c>
      <c r="K2127" s="223">
        <v>11</v>
      </c>
    </row>
    <row r="2128" spans="1:11" x14ac:dyDescent="0.25">
      <c r="A2128" s="310">
        <f>A2125+1</f>
        <v>2</v>
      </c>
      <c r="B2128" s="310">
        <v>6727</v>
      </c>
      <c r="C2128" s="333" t="s">
        <v>292</v>
      </c>
      <c r="D2128" s="318">
        <v>316.60000000000002</v>
      </c>
      <c r="E2128" s="318" t="s">
        <v>68</v>
      </c>
      <c r="F2128" s="330">
        <v>2</v>
      </c>
      <c r="G2128" s="161"/>
      <c r="H2128" s="87" t="s">
        <v>66</v>
      </c>
      <c r="I2128" s="223">
        <f>I2129+I2130+I2131+I2132</f>
        <v>1018843.86</v>
      </c>
      <c r="J2128" s="223">
        <f>J2129+J2130+J2131+J2132</f>
        <v>3218.08</v>
      </c>
      <c r="K2128" s="223">
        <f>K2129+K2130+K2131+K2132</f>
        <v>3497</v>
      </c>
    </row>
    <row r="2129" spans="1:11" x14ac:dyDescent="0.25">
      <c r="A2129" s="310"/>
      <c r="B2129" s="310"/>
      <c r="C2129" s="333"/>
      <c r="D2129" s="319"/>
      <c r="E2129" s="319"/>
      <c r="F2129" s="331"/>
      <c r="G2129" s="310" t="s">
        <v>70</v>
      </c>
      <c r="H2129" s="87" t="s">
        <v>67</v>
      </c>
      <c r="I2129" s="223">
        <f>D2128*K2129</f>
        <v>921622.6</v>
      </c>
      <c r="J2129" s="223">
        <f>I2129/D2128</f>
        <v>2911</v>
      </c>
      <c r="K2129" s="223">
        <v>2911</v>
      </c>
    </row>
    <row r="2130" spans="1:11" x14ac:dyDescent="0.25">
      <c r="A2130" s="310"/>
      <c r="B2130" s="310"/>
      <c r="C2130" s="333"/>
      <c r="D2130" s="319"/>
      <c r="E2130" s="319"/>
      <c r="F2130" s="331"/>
      <c r="G2130" s="310"/>
      <c r="H2130" s="87" t="s">
        <v>69</v>
      </c>
      <c r="I2130" s="223">
        <v>18362.8</v>
      </c>
      <c r="J2130" s="223">
        <f>I2130/D2128</f>
        <v>58</v>
      </c>
      <c r="K2130" s="223">
        <v>62</v>
      </c>
    </row>
    <row r="2131" spans="1:11" x14ac:dyDescent="0.25">
      <c r="A2131" s="310"/>
      <c r="B2131" s="310"/>
      <c r="C2131" s="333"/>
      <c r="D2131" s="319"/>
      <c r="E2131" s="319"/>
      <c r="F2131" s="331"/>
      <c r="G2131" s="310" t="s">
        <v>71</v>
      </c>
      <c r="H2131" s="87" t="s">
        <v>67</v>
      </c>
      <c r="I2131" s="226">
        <v>77206.25</v>
      </c>
      <c r="J2131" s="223">
        <f>I2131/D2128</f>
        <v>243.86</v>
      </c>
      <c r="K2131" s="223">
        <v>513</v>
      </c>
    </row>
    <row r="2132" spans="1:11" x14ac:dyDescent="0.25">
      <c r="A2132" s="310"/>
      <c r="B2132" s="310"/>
      <c r="C2132" s="333"/>
      <c r="D2132" s="329"/>
      <c r="E2132" s="329"/>
      <c r="F2132" s="332"/>
      <c r="G2132" s="310"/>
      <c r="H2132" s="87" t="s">
        <v>69</v>
      </c>
      <c r="I2132" s="226">
        <f>I2131*0.0214</f>
        <v>1652.21</v>
      </c>
      <c r="J2132" s="223">
        <f>I2132/D2128</f>
        <v>5.22</v>
      </c>
      <c r="K2132" s="223">
        <v>11</v>
      </c>
    </row>
    <row r="2133" spans="1:11" s="118" customFormat="1" ht="15.75" customHeight="1" x14ac:dyDescent="0.25">
      <c r="A2133" s="320">
        <f>A2128+1</f>
        <v>3</v>
      </c>
      <c r="B2133" s="320">
        <v>6723</v>
      </c>
      <c r="C2133" s="321" t="s">
        <v>693</v>
      </c>
      <c r="D2133" s="322">
        <v>900.4</v>
      </c>
      <c r="E2133" s="322" t="s">
        <v>68</v>
      </c>
      <c r="F2133" s="324">
        <v>2</v>
      </c>
      <c r="G2133" s="116"/>
      <c r="H2133" s="117" t="s">
        <v>66</v>
      </c>
      <c r="I2133" s="226">
        <f>I2134</f>
        <v>2033193.24</v>
      </c>
      <c r="J2133" s="226">
        <f>J2134</f>
        <v>2258.1</v>
      </c>
      <c r="K2133" s="226">
        <f>K2134</f>
        <v>7527</v>
      </c>
    </row>
    <row r="2134" spans="1:11" s="118" customFormat="1" ht="15.75" customHeight="1" x14ac:dyDescent="0.25">
      <c r="A2134" s="320"/>
      <c r="B2134" s="320"/>
      <c r="C2134" s="321"/>
      <c r="D2134" s="323"/>
      <c r="E2134" s="323"/>
      <c r="F2134" s="325"/>
      <c r="G2134" s="155" t="s">
        <v>65</v>
      </c>
      <c r="H2134" s="117" t="s">
        <v>67</v>
      </c>
      <c r="I2134" s="226">
        <f>D2133*K2134*0.3</f>
        <v>2033193.24</v>
      </c>
      <c r="J2134" s="226">
        <f>I2134/D2133</f>
        <v>2258.1</v>
      </c>
      <c r="K2134" s="226">
        <v>7527</v>
      </c>
    </row>
    <row r="2135" spans="1:11" x14ac:dyDescent="0.25">
      <c r="A2135" s="310">
        <f>A2133+1</f>
        <v>4</v>
      </c>
      <c r="B2135" s="310">
        <v>6733</v>
      </c>
      <c r="C2135" s="333" t="s">
        <v>294</v>
      </c>
      <c r="D2135" s="318">
        <v>273.3</v>
      </c>
      <c r="E2135" s="318" t="s">
        <v>68</v>
      </c>
      <c r="F2135" s="330">
        <v>2</v>
      </c>
      <c r="G2135" s="161"/>
      <c r="H2135" s="87" t="s">
        <v>66</v>
      </c>
      <c r="I2135" s="223">
        <f>I2137+I2136+I2138+I2139</f>
        <v>955630.35</v>
      </c>
      <c r="J2135" s="223">
        <f>J2137+J2136+J2138+J2139</f>
        <v>3496.64</v>
      </c>
      <c r="K2135" s="223">
        <f>K2137+K2136+K2138+K2139</f>
        <v>3497</v>
      </c>
    </row>
    <row r="2136" spans="1:11" x14ac:dyDescent="0.25">
      <c r="A2136" s="310"/>
      <c r="B2136" s="310"/>
      <c r="C2136" s="333"/>
      <c r="D2136" s="319"/>
      <c r="E2136" s="319"/>
      <c r="F2136" s="331"/>
      <c r="G2136" s="310" t="s">
        <v>70</v>
      </c>
      <c r="H2136" s="87" t="s">
        <v>67</v>
      </c>
      <c r="I2136" s="223">
        <f>D2135*K2136</f>
        <v>795576.3</v>
      </c>
      <c r="J2136" s="223">
        <f>I2136/D2135</f>
        <v>2911</v>
      </c>
      <c r="K2136" s="223">
        <v>2911</v>
      </c>
    </row>
    <row r="2137" spans="1:11" x14ac:dyDescent="0.25">
      <c r="A2137" s="310"/>
      <c r="B2137" s="310"/>
      <c r="C2137" s="333"/>
      <c r="D2137" s="319"/>
      <c r="E2137" s="319"/>
      <c r="F2137" s="331"/>
      <c r="G2137" s="310"/>
      <c r="H2137" s="87" t="s">
        <v>69</v>
      </c>
      <c r="I2137" s="226">
        <v>16859.88</v>
      </c>
      <c r="J2137" s="223">
        <f>I2137/D2135</f>
        <v>61.69</v>
      </c>
      <c r="K2137" s="223">
        <v>62</v>
      </c>
    </row>
    <row r="2138" spans="1:11" x14ac:dyDescent="0.25">
      <c r="A2138" s="310"/>
      <c r="B2138" s="310"/>
      <c r="C2138" s="333"/>
      <c r="D2138" s="319"/>
      <c r="E2138" s="319"/>
      <c r="F2138" s="331"/>
      <c r="G2138" s="310" t="s">
        <v>71</v>
      </c>
      <c r="H2138" s="87" t="s">
        <v>67</v>
      </c>
      <c r="I2138" s="226">
        <f>D2135*K2138</f>
        <v>140202.9</v>
      </c>
      <c r="J2138" s="223">
        <f>I2138/D2135</f>
        <v>513</v>
      </c>
      <c r="K2138" s="223">
        <v>513</v>
      </c>
    </row>
    <row r="2139" spans="1:11" x14ac:dyDescent="0.25">
      <c r="A2139" s="310"/>
      <c r="B2139" s="310"/>
      <c r="C2139" s="333"/>
      <c r="D2139" s="329"/>
      <c r="E2139" s="329"/>
      <c r="F2139" s="332"/>
      <c r="G2139" s="310"/>
      <c r="H2139" s="87" t="s">
        <v>69</v>
      </c>
      <c r="I2139" s="226">
        <v>2991.27</v>
      </c>
      <c r="J2139" s="223">
        <f>I2139/D2135</f>
        <v>10.95</v>
      </c>
      <c r="K2139" s="223">
        <v>11</v>
      </c>
    </row>
    <row r="2140" spans="1:11" x14ac:dyDescent="0.25">
      <c r="A2140" s="81" t="s">
        <v>35</v>
      </c>
      <c r="B2140" s="81"/>
      <c r="C2140" s="124"/>
      <c r="D2140" s="80">
        <f>D2141+D2144+D2147+D2152+D2154+D2157+D2159+D2162+D2165+D2167+D2170+D2172+D2177+D2180+D2183+D2186+D2189+D2192+D2195+D2197+D2199+D2202+D2204+D2207+D2210+D2213+D2215+D2217+D2220+D2222+D2224</f>
        <v>16827.099999999999</v>
      </c>
      <c r="E2140" s="80"/>
      <c r="F2140" s="80"/>
      <c r="G2140" s="151"/>
      <c r="H2140" s="92"/>
      <c r="I2140" s="223">
        <f>I2141+I2144+I2147+I2152+I2154+I2157+I2159+I2162+I2165+I2167+I2170+I2172+I2177+I2180+I2183+I2186+I2189+I2192+I2195+I2197+I2199+I2202+I2204+I2207+I2210+I2213+I2215+I2217+I2220+I2222+I2224</f>
        <v>44077789.009999998</v>
      </c>
      <c r="J2140" s="223"/>
      <c r="K2140" s="223"/>
    </row>
    <row r="2141" spans="1:11" x14ac:dyDescent="0.25">
      <c r="A2141" s="307">
        <v>1</v>
      </c>
      <c r="B2141" s="310">
        <v>5379</v>
      </c>
      <c r="C2141" s="333" t="s">
        <v>517</v>
      </c>
      <c r="D2141" s="312">
        <v>327.39999999999998</v>
      </c>
      <c r="E2141" s="312" t="s">
        <v>68</v>
      </c>
      <c r="F2141" s="313">
        <v>2</v>
      </c>
      <c r="G2141" s="121"/>
      <c r="H2141" s="87" t="s">
        <v>66</v>
      </c>
      <c r="I2141" s="223">
        <f>SUM(I2142:I2143)</f>
        <v>60896.4</v>
      </c>
      <c r="J2141" s="223">
        <f>SUM(J2142:J2143)</f>
        <v>186</v>
      </c>
      <c r="K2141" s="223">
        <f>SUM(K2142:K2143)</f>
        <v>186</v>
      </c>
    </row>
    <row r="2142" spans="1:11" ht="63" x14ac:dyDescent="0.25">
      <c r="A2142" s="308"/>
      <c r="B2142" s="310"/>
      <c r="C2142" s="333"/>
      <c r="D2142" s="312"/>
      <c r="E2142" s="312"/>
      <c r="F2142" s="313"/>
      <c r="G2142" s="145" t="s">
        <v>70</v>
      </c>
      <c r="H2142" s="87" t="s">
        <v>168</v>
      </c>
      <c r="I2142" s="223">
        <f>D2141*K2142</f>
        <v>45836</v>
      </c>
      <c r="J2142" s="223">
        <f>I2142/D2141</f>
        <v>140</v>
      </c>
      <c r="K2142" s="223">
        <f>119+21</f>
        <v>140</v>
      </c>
    </row>
    <row r="2143" spans="1:11" ht="63" x14ac:dyDescent="0.25">
      <c r="A2143" s="308"/>
      <c r="B2143" s="310"/>
      <c r="C2143" s="333"/>
      <c r="D2143" s="312"/>
      <c r="E2143" s="312"/>
      <c r="F2143" s="313"/>
      <c r="G2143" s="145" t="s">
        <v>71</v>
      </c>
      <c r="H2143" s="87" t="s">
        <v>168</v>
      </c>
      <c r="I2143" s="223">
        <f>D2141*K2143</f>
        <v>15060.4</v>
      </c>
      <c r="J2143" s="223">
        <f>I2143/D2141</f>
        <v>46</v>
      </c>
      <c r="K2143" s="223">
        <f>25+21</f>
        <v>46</v>
      </c>
    </row>
    <row r="2144" spans="1:11" x14ac:dyDescent="0.25">
      <c r="A2144" s="307">
        <f>A2141+1</f>
        <v>2</v>
      </c>
      <c r="B2144" s="307">
        <v>5672</v>
      </c>
      <c r="C2144" s="315" t="s">
        <v>492</v>
      </c>
      <c r="D2144" s="318">
        <v>327.60000000000002</v>
      </c>
      <c r="E2144" s="318" t="s">
        <v>167</v>
      </c>
      <c r="F2144" s="330">
        <v>2</v>
      </c>
      <c r="G2144" s="121"/>
      <c r="H2144" s="87" t="s">
        <v>66</v>
      </c>
      <c r="I2144" s="223">
        <f>SUM(I2145:I2146)</f>
        <v>1753971.61</v>
      </c>
      <c r="J2144" s="223">
        <f>SUM(J2145:J2146)</f>
        <v>5354</v>
      </c>
      <c r="K2144" s="223">
        <f>SUM(K2145:K2146)</f>
        <v>6299</v>
      </c>
    </row>
    <row r="2145" spans="1:11" x14ac:dyDescent="0.25">
      <c r="A2145" s="308"/>
      <c r="B2145" s="308"/>
      <c r="C2145" s="317"/>
      <c r="D2145" s="319"/>
      <c r="E2145" s="319"/>
      <c r="F2145" s="331"/>
      <c r="G2145" s="307" t="s">
        <v>473</v>
      </c>
      <c r="H2145" s="93" t="s">
        <v>67</v>
      </c>
      <c r="I2145" s="223">
        <v>1717223.04</v>
      </c>
      <c r="J2145" s="223">
        <f>I2145/D2144-0.01</f>
        <v>5241.82</v>
      </c>
      <c r="K2145" s="223">
        <v>6167</v>
      </c>
    </row>
    <row r="2146" spans="1:11" x14ac:dyDescent="0.25">
      <c r="A2146" s="309"/>
      <c r="B2146" s="309"/>
      <c r="C2146" s="316"/>
      <c r="D2146" s="329"/>
      <c r="E2146" s="329"/>
      <c r="F2146" s="332"/>
      <c r="G2146" s="309"/>
      <c r="H2146" s="93" t="s">
        <v>69</v>
      </c>
      <c r="I2146" s="223">
        <v>36748.57</v>
      </c>
      <c r="J2146" s="223">
        <f>I2146/D2144</f>
        <v>112.18</v>
      </c>
      <c r="K2146" s="223">
        <v>132</v>
      </c>
    </row>
    <row r="2147" spans="1:11" x14ac:dyDescent="0.25">
      <c r="A2147" s="307">
        <f>A2144+1</f>
        <v>3</v>
      </c>
      <c r="B2147" s="307">
        <v>5674</v>
      </c>
      <c r="C2147" s="315" t="s">
        <v>493</v>
      </c>
      <c r="D2147" s="318">
        <v>519.4</v>
      </c>
      <c r="E2147" s="318" t="s">
        <v>167</v>
      </c>
      <c r="F2147" s="330">
        <v>2</v>
      </c>
      <c r="G2147" s="121"/>
      <c r="H2147" s="87" t="s">
        <v>66</v>
      </c>
      <c r="I2147" s="223">
        <f>SUM(I2148:I2151)</f>
        <v>1901523.4</v>
      </c>
      <c r="J2147" s="223">
        <f>SUM(J2148:J2151)</f>
        <v>3661</v>
      </c>
      <c r="K2147" s="223">
        <f>SUM(K2148:K2151)</f>
        <v>3661</v>
      </c>
    </row>
    <row r="2148" spans="1:11" x14ac:dyDescent="0.25">
      <c r="A2148" s="308"/>
      <c r="B2148" s="308"/>
      <c r="C2148" s="317"/>
      <c r="D2148" s="319"/>
      <c r="E2148" s="319"/>
      <c r="F2148" s="331"/>
      <c r="G2148" s="307" t="s">
        <v>70</v>
      </c>
      <c r="H2148" s="93" t="s">
        <v>67</v>
      </c>
      <c r="I2148" s="223">
        <f>D2147*K2148</f>
        <v>1541059.8</v>
      </c>
      <c r="J2148" s="223">
        <f>I2148/D2147</f>
        <v>2967</v>
      </c>
      <c r="K2148" s="223">
        <v>2967</v>
      </c>
    </row>
    <row r="2149" spans="1:11" x14ac:dyDescent="0.25">
      <c r="A2149" s="308"/>
      <c r="B2149" s="308"/>
      <c r="C2149" s="317"/>
      <c r="D2149" s="319"/>
      <c r="E2149" s="319"/>
      <c r="F2149" s="331"/>
      <c r="G2149" s="309"/>
      <c r="H2149" s="93" t="s">
        <v>69</v>
      </c>
      <c r="I2149" s="223">
        <f>D2147*K2149</f>
        <v>32722.2</v>
      </c>
      <c r="J2149" s="223">
        <f>I2149/D2147</f>
        <v>63</v>
      </c>
      <c r="K2149" s="223">
        <v>63</v>
      </c>
    </row>
    <row r="2150" spans="1:11" x14ac:dyDescent="0.25">
      <c r="A2150" s="308"/>
      <c r="B2150" s="308"/>
      <c r="C2150" s="317"/>
      <c r="D2150" s="319"/>
      <c r="E2150" s="319"/>
      <c r="F2150" s="331"/>
      <c r="G2150" s="307" t="s">
        <v>71</v>
      </c>
      <c r="H2150" s="87" t="s">
        <v>67</v>
      </c>
      <c r="I2150" s="223">
        <f>D2147*K2150</f>
        <v>320989.2</v>
      </c>
      <c r="J2150" s="223">
        <f>I2150/D2147</f>
        <v>618</v>
      </c>
      <c r="K2150" s="223">
        <v>618</v>
      </c>
    </row>
    <row r="2151" spans="1:11" x14ac:dyDescent="0.25">
      <c r="A2151" s="309"/>
      <c r="B2151" s="309"/>
      <c r="C2151" s="316"/>
      <c r="D2151" s="329"/>
      <c r="E2151" s="329"/>
      <c r="F2151" s="332"/>
      <c r="G2151" s="309"/>
      <c r="H2151" s="87" t="s">
        <v>69</v>
      </c>
      <c r="I2151" s="223">
        <f>D2147*K2151</f>
        <v>6752.2</v>
      </c>
      <c r="J2151" s="223">
        <f>I2151/D2147</f>
        <v>13</v>
      </c>
      <c r="K2151" s="223">
        <v>13</v>
      </c>
    </row>
    <row r="2152" spans="1:11" x14ac:dyDescent="0.25">
      <c r="A2152" s="307">
        <f>A2147+1</f>
        <v>4</v>
      </c>
      <c r="B2152" s="307">
        <v>5584</v>
      </c>
      <c r="C2152" s="315" t="s">
        <v>518</v>
      </c>
      <c r="D2152" s="318">
        <v>293.39999999999998</v>
      </c>
      <c r="E2152" s="318" t="s">
        <v>167</v>
      </c>
      <c r="F2152" s="330">
        <v>2</v>
      </c>
      <c r="G2152" s="121"/>
      <c r="H2152" s="87" t="s">
        <v>66</v>
      </c>
      <c r="I2152" s="223">
        <f>SUM(I2153:I2153)</f>
        <v>75990.600000000006</v>
      </c>
      <c r="J2152" s="223">
        <f>SUM(J2153:J2153)</f>
        <v>259</v>
      </c>
      <c r="K2152" s="223">
        <f>SUM(K2153:K2153)</f>
        <v>259</v>
      </c>
    </row>
    <row r="2153" spans="1:11" ht="63" x14ac:dyDescent="0.25">
      <c r="A2153" s="308"/>
      <c r="B2153" s="308"/>
      <c r="C2153" s="317"/>
      <c r="D2153" s="319"/>
      <c r="E2153" s="319"/>
      <c r="F2153" s="331"/>
      <c r="G2153" s="159" t="s">
        <v>65</v>
      </c>
      <c r="H2153" s="87" t="s">
        <v>168</v>
      </c>
      <c r="I2153" s="223">
        <f>D2152*K2153</f>
        <v>75990.600000000006</v>
      </c>
      <c r="J2153" s="223">
        <f>I2153/D2152</f>
        <v>259</v>
      </c>
      <c r="K2153" s="223">
        <f>163+96</f>
        <v>259</v>
      </c>
    </row>
    <row r="2154" spans="1:11" x14ac:dyDescent="0.25">
      <c r="A2154" s="307">
        <f>A2152+1</f>
        <v>5</v>
      </c>
      <c r="B2154" s="307">
        <v>5406</v>
      </c>
      <c r="C2154" s="315" t="s">
        <v>494</v>
      </c>
      <c r="D2154" s="318">
        <v>380.2</v>
      </c>
      <c r="E2154" s="318" t="s">
        <v>167</v>
      </c>
      <c r="F2154" s="330">
        <v>2</v>
      </c>
      <c r="G2154" s="121"/>
      <c r="H2154" s="87" t="s">
        <v>66</v>
      </c>
      <c r="I2154" s="223">
        <f>SUM(I2155:I2156)</f>
        <v>176412.79999999999</v>
      </c>
      <c r="J2154" s="223">
        <f>SUM(J2155:J2156)</f>
        <v>464</v>
      </c>
      <c r="K2154" s="223">
        <f>SUM(K2155:K2156)</f>
        <v>464</v>
      </c>
    </row>
    <row r="2155" spans="1:11" ht="63" x14ac:dyDescent="0.25">
      <c r="A2155" s="308"/>
      <c r="B2155" s="308"/>
      <c r="C2155" s="317"/>
      <c r="D2155" s="319"/>
      <c r="E2155" s="319"/>
      <c r="F2155" s="331"/>
      <c r="G2155" s="307" t="s">
        <v>75</v>
      </c>
      <c r="H2155" s="93" t="s">
        <v>178</v>
      </c>
      <c r="I2155" s="223">
        <f>D2154*K2155</f>
        <v>98471.8</v>
      </c>
      <c r="J2155" s="223">
        <f>I2155/D2154</f>
        <v>259</v>
      </c>
      <c r="K2155" s="223">
        <f>232+27</f>
        <v>259</v>
      </c>
    </row>
    <row r="2156" spans="1:11" ht="63" x14ac:dyDescent="0.25">
      <c r="A2156" s="309"/>
      <c r="B2156" s="309"/>
      <c r="C2156" s="316"/>
      <c r="D2156" s="329"/>
      <c r="E2156" s="329"/>
      <c r="F2156" s="332"/>
      <c r="G2156" s="309"/>
      <c r="H2156" s="93" t="s">
        <v>488</v>
      </c>
      <c r="I2156" s="223">
        <f>D2154*K2156</f>
        <v>77941</v>
      </c>
      <c r="J2156" s="223">
        <f>I2156/D2154</f>
        <v>205</v>
      </c>
      <c r="K2156" s="223">
        <f>177+28</f>
        <v>205</v>
      </c>
    </row>
    <row r="2157" spans="1:11" x14ac:dyDescent="0.25">
      <c r="A2157" s="307">
        <f>A2154+1</f>
        <v>6</v>
      </c>
      <c r="B2157" s="307">
        <v>5590</v>
      </c>
      <c r="C2157" s="315" t="s">
        <v>495</v>
      </c>
      <c r="D2157" s="318">
        <v>542.9</v>
      </c>
      <c r="E2157" s="318" t="s">
        <v>167</v>
      </c>
      <c r="F2157" s="330">
        <v>2</v>
      </c>
      <c r="G2157" s="121"/>
      <c r="H2157" s="87" t="s">
        <v>66</v>
      </c>
      <c r="I2157" s="223">
        <f>SUM(I2158:I2158)</f>
        <v>138489.95000000001</v>
      </c>
      <c r="J2157" s="223">
        <f>SUM(J2158:J2158)</f>
        <v>255.09</v>
      </c>
      <c r="K2157" s="223">
        <f>SUM(K2158:K2158)</f>
        <v>259</v>
      </c>
    </row>
    <row r="2158" spans="1:11" ht="63" x14ac:dyDescent="0.25">
      <c r="A2158" s="308"/>
      <c r="B2158" s="308"/>
      <c r="C2158" s="317"/>
      <c r="D2158" s="319"/>
      <c r="E2158" s="319"/>
      <c r="F2158" s="331"/>
      <c r="G2158" s="145" t="s">
        <v>65</v>
      </c>
      <c r="H2158" s="93" t="s">
        <v>178</v>
      </c>
      <c r="I2158" s="223">
        <f>86371.55+52118.4</f>
        <v>138489.95000000001</v>
      </c>
      <c r="J2158" s="223">
        <f>I2158/D2157</f>
        <v>255.09</v>
      </c>
      <c r="K2158" s="223">
        <f>163+96</f>
        <v>259</v>
      </c>
    </row>
    <row r="2159" spans="1:11" s="143" customFormat="1" ht="15.75" customHeight="1" x14ac:dyDescent="0.25">
      <c r="A2159" s="307">
        <f>A2157+1</f>
        <v>7</v>
      </c>
      <c r="B2159" s="310">
        <v>5595</v>
      </c>
      <c r="C2159" s="333" t="s">
        <v>725</v>
      </c>
      <c r="D2159" s="312">
        <v>344</v>
      </c>
      <c r="E2159" s="312" t="s">
        <v>167</v>
      </c>
      <c r="F2159" s="313">
        <v>2</v>
      </c>
      <c r="G2159" s="121"/>
      <c r="H2159" s="87" t="s">
        <v>66</v>
      </c>
      <c r="I2159" s="223">
        <f>SUM(I2160:I2161)</f>
        <v>63984</v>
      </c>
      <c r="J2159" s="223">
        <f>SUM(J2160:J2161)</f>
        <v>186</v>
      </c>
      <c r="K2159" s="223">
        <f>SUM(K2160:K2161)</f>
        <v>186</v>
      </c>
    </row>
    <row r="2160" spans="1:11" s="143" customFormat="1" ht="47.25" customHeight="1" x14ac:dyDescent="0.25">
      <c r="A2160" s="308"/>
      <c r="B2160" s="310"/>
      <c r="C2160" s="333"/>
      <c r="D2160" s="312"/>
      <c r="E2160" s="312"/>
      <c r="F2160" s="313"/>
      <c r="G2160" s="145" t="s">
        <v>70</v>
      </c>
      <c r="H2160" s="87" t="s">
        <v>168</v>
      </c>
      <c r="I2160" s="223">
        <f>D2159*K2160</f>
        <v>48160</v>
      </c>
      <c r="J2160" s="223">
        <f>I2160/D2159</f>
        <v>140</v>
      </c>
      <c r="K2160" s="223">
        <f>119+21</f>
        <v>140</v>
      </c>
    </row>
    <row r="2161" spans="1:11" s="143" customFormat="1" ht="47.25" customHeight="1" x14ac:dyDescent="0.25">
      <c r="A2161" s="308"/>
      <c r="B2161" s="310"/>
      <c r="C2161" s="333"/>
      <c r="D2161" s="312"/>
      <c r="E2161" s="312"/>
      <c r="F2161" s="313"/>
      <c r="G2161" s="145" t="s">
        <v>71</v>
      </c>
      <c r="H2161" s="87" t="s">
        <v>168</v>
      </c>
      <c r="I2161" s="223">
        <f>D2159*K2161</f>
        <v>15824</v>
      </c>
      <c r="J2161" s="223">
        <f>I2161/D2159</f>
        <v>46</v>
      </c>
      <c r="K2161" s="223">
        <f>25+21</f>
        <v>46</v>
      </c>
    </row>
    <row r="2162" spans="1:11" x14ac:dyDescent="0.25">
      <c r="A2162" s="307">
        <f>A2159+1</f>
        <v>8</v>
      </c>
      <c r="B2162" s="307">
        <v>5397</v>
      </c>
      <c r="C2162" s="315" t="s">
        <v>570</v>
      </c>
      <c r="D2162" s="318">
        <v>524.29999999999995</v>
      </c>
      <c r="E2162" s="318" t="s">
        <v>167</v>
      </c>
      <c r="F2162" s="330">
        <v>2</v>
      </c>
      <c r="G2162" s="307" t="s">
        <v>65</v>
      </c>
      <c r="H2162" s="87" t="s">
        <v>66</v>
      </c>
      <c r="I2162" s="223">
        <f>I2163+I2164</f>
        <v>2715732.01</v>
      </c>
      <c r="J2162" s="223">
        <f>J2163+J2164</f>
        <v>5179.7299999999996</v>
      </c>
      <c r="K2162" s="223">
        <f>K2163+K2164</f>
        <v>8203</v>
      </c>
    </row>
    <row r="2163" spans="1:11" x14ac:dyDescent="0.25">
      <c r="A2163" s="308"/>
      <c r="B2163" s="308"/>
      <c r="C2163" s="317"/>
      <c r="D2163" s="319"/>
      <c r="E2163" s="319"/>
      <c r="F2163" s="331"/>
      <c r="G2163" s="308"/>
      <c r="H2163" s="87" t="s">
        <v>67</v>
      </c>
      <c r="I2163" s="223">
        <v>2658832.98</v>
      </c>
      <c r="J2163" s="223">
        <f>I2163/D2162</f>
        <v>5071.21</v>
      </c>
      <c r="K2163" s="223">
        <v>8031</v>
      </c>
    </row>
    <row r="2164" spans="1:11" x14ac:dyDescent="0.25">
      <c r="A2164" s="308"/>
      <c r="B2164" s="308"/>
      <c r="C2164" s="317"/>
      <c r="D2164" s="319"/>
      <c r="E2164" s="319"/>
      <c r="F2164" s="331"/>
      <c r="G2164" s="309"/>
      <c r="H2164" s="87" t="s">
        <v>69</v>
      </c>
      <c r="I2164" s="223">
        <f>I2163*0.0214</f>
        <v>56899.03</v>
      </c>
      <c r="J2164" s="223">
        <f>I2164/D2162</f>
        <v>108.52</v>
      </c>
      <c r="K2164" s="223">
        <v>172</v>
      </c>
    </row>
    <row r="2165" spans="1:11" ht="15.75" customHeight="1" x14ac:dyDescent="0.25">
      <c r="A2165" s="307">
        <f>A2162+1</f>
        <v>9</v>
      </c>
      <c r="B2165" s="307">
        <v>5608</v>
      </c>
      <c r="C2165" s="315" t="s">
        <v>523</v>
      </c>
      <c r="D2165" s="318">
        <v>689.9</v>
      </c>
      <c r="E2165" s="318" t="s">
        <v>68</v>
      </c>
      <c r="F2165" s="330">
        <v>2</v>
      </c>
      <c r="G2165" s="121"/>
      <c r="H2165" s="87" t="s">
        <v>66</v>
      </c>
      <c r="I2165" s="223">
        <f>SUM(I2166:I2166)</f>
        <v>162752.63</v>
      </c>
      <c r="J2165" s="223">
        <f>SUM(J2166:J2166)</f>
        <v>235.91</v>
      </c>
      <c r="K2165" s="223">
        <f>SUM(K2166:K2166)</f>
        <v>250</v>
      </c>
    </row>
    <row r="2166" spans="1:11" ht="63" x14ac:dyDescent="0.25">
      <c r="A2166" s="308"/>
      <c r="B2166" s="308"/>
      <c r="C2166" s="317"/>
      <c r="D2166" s="319"/>
      <c r="E2166" s="319"/>
      <c r="F2166" s="331"/>
      <c r="G2166" s="148" t="s">
        <v>65</v>
      </c>
      <c r="H2166" s="93" t="s">
        <v>178</v>
      </c>
      <c r="I2166" s="223">
        <f>96522.23+66230.4</f>
        <v>162752.63</v>
      </c>
      <c r="J2166" s="223">
        <f>I2166/D2165</f>
        <v>235.91</v>
      </c>
      <c r="K2166" s="223">
        <f>154+96</f>
        <v>250</v>
      </c>
    </row>
    <row r="2167" spans="1:11" x14ac:dyDescent="0.25">
      <c r="A2167" s="307">
        <f>A2165+1</f>
        <v>10</v>
      </c>
      <c r="B2167" s="307">
        <v>5623</v>
      </c>
      <c r="C2167" s="315" t="s">
        <v>496</v>
      </c>
      <c r="D2167" s="318">
        <v>705.5</v>
      </c>
      <c r="E2167" s="318" t="s">
        <v>167</v>
      </c>
      <c r="F2167" s="330">
        <v>2</v>
      </c>
      <c r="G2167" s="121"/>
      <c r="H2167" s="87" t="s">
        <v>66</v>
      </c>
      <c r="I2167" s="223">
        <f>SUM(I2168:I2169)</f>
        <v>3009285.75</v>
      </c>
      <c r="J2167" s="223">
        <f>SUM(J2168:J2169)</f>
        <v>4265.47</v>
      </c>
      <c r="K2167" s="223">
        <f>SUM(K2168:K2169)</f>
        <v>6299</v>
      </c>
    </row>
    <row r="2168" spans="1:11" x14ac:dyDescent="0.25">
      <c r="A2168" s="308"/>
      <c r="B2168" s="308"/>
      <c r="C2168" s="317"/>
      <c r="D2168" s="319"/>
      <c r="E2168" s="319"/>
      <c r="F2168" s="331"/>
      <c r="G2168" s="307" t="s">
        <v>473</v>
      </c>
      <c r="H2168" s="93" t="s">
        <v>67</v>
      </c>
      <c r="I2168" s="223">
        <v>2946236.29</v>
      </c>
      <c r="J2168" s="223">
        <f>I2168/D2167</f>
        <v>4176.1000000000004</v>
      </c>
      <c r="K2168" s="223">
        <v>6167</v>
      </c>
    </row>
    <row r="2169" spans="1:11" x14ac:dyDescent="0.25">
      <c r="A2169" s="309"/>
      <c r="B2169" s="309"/>
      <c r="C2169" s="316"/>
      <c r="D2169" s="329"/>
      <c r="E2169" s="329"/>
      <c r="F2169" s="332"/>
      <c r="G2169" s="309"/>
      <c r="H2169" s="93" t="s">
        <v>69</v>
      </c>
      <c r="I2169" s="223">
        <v>63049.46</v>
      </c>
      <c r="J2169" s="223">
        <f>I2169/D2167</f>
        <v>89.37</v>
      </c>
      <c r="K2169" s="223">
        <v>132</v>
      </c>
    </row>
    <row r="2170" spans="1:11" x14ac:dyDescent="0.25">
      <c r="A2170" s="307">
        <f>A2167+1</f>
        <v>11</v>
      </c>
      <c r="B2170" s="307">
        <v>5627</v>
      </c>
      <c r="C2170" s="315" t="s">
        <v>519</v>
      </c>
      <c r="D2170" s="318">
        <v>695.7</v>
      </c>
      <c r="E2170" s="318" t="s">
        <v>167</v>
      </c>
      <c r="F2170" s="330">
        <v>2</v>
      </c>
      <c r="G2170" s="121"/>
      <c r="H2170" s="87" t="s">
        <v>66</v>
      </c>
      <c r="I2170" s="223">
        <f>SUM(I2171:I2171)</f>
        <v>158909.75</v>
      </c>
      <c r="J2170" s="223">
        <f>SUM(J2171:J2171)</f>
        <v>228.42</v>
      </c>
      <c r="K2170" s="223">
        <f>SUM(K2171:K2171)</f>
        <v>259</v>
      </c>
    </row>
    <row r="2171" spans="1:11" ht="63" x14ac:dyDescent="0.25">
      <c r="A2171" s="308"/>
      <c r="B2171" s="308"/>
      <c r="C2171" s="317"/>
      <c r="D2171" s="319"/>
      <c r="E2171" s="319"/>
      <c r="F2171" s="331"/>
      <c r="G2171" s="148" t="s">
        <v>65</v>
      </c>
      <c r="H2171" s="94" t="s">
        <v>178</v>
      </c>
      <c r="I2171" s="225">
        <f>92122.55+66787.2</f>
        <v>158909.75</v>
      </c>
      <c r="J2171" s="225">
        <f>I2171/D2170</f>
        <v>228.42</v>
      </c>
      <c r="K2171" s="225">
        <f>163+96</f>
        <v>259</v>
      </c>
    </row>
    <row r="2172" spans="1:11" x14ac:dyDescent="0.25">
      <c r="A2172" s="307">
        <f>A2170+1</f>
        <v>12</v>
      </c>
      <c r="B2172" s="307">
        <v>5468</v>
      </c>
      <c r="C2172" s="315" t="s">
        <v>420</v>
      </c>
      <c r="D2172" s="318">
        <v>404</v>
      </c>
      <c r="E2172" s="318" t="s">
        <v>167</v>
      </c>
      <c r="F2172" s="330">
        <v>2</v>
      </c>
      <c r="G2172" s="307" t="s">
        <v>75</v>
      </c>
      <c r="H2172" s="87" t="s">
        <v>66</v>
      </c>
      <c r="I2172" s="223">
        <f>I2173+I2174+I2175+I2176</f>
        <v>2141184.0699999998</v>
      </c>
      <c r="J2172" s="223">
        <f>J2173+J2174+J2175+J2176</f>
        <v>5299.96</v>
      </c>
      <c r="K2172" s="223">
        <f>K2173+K2174+K2175+K2176</f>
        <v>10447</v>
      </c>
    </row>
    <row r="2173" spans="1:11" x14ac:dyDescent="0.25">
      <c r="A2173" s="308"/>
      <c r="B2173" s="308"/>
      <c r="C2173" s="317"/>
      <c r="D2173" s="319"/>
      <c r="E2173" s="319"/>
      <c r="F2173" s="331"/>
      <c r="G2173" s="308"/>
      <c r="H2173" s="87" t="s">
        <v>67</v>
      </c>
      <c r="I2173" s="223">
        <v>789667.83</v>
      </c>
      <c r="J2173" s="223">
        <f>I2173/D2172</f>
        <v>1954.62</v>
      </c>
      <c r="K2173" s="223">
        <v>5807</v>
      </c>
    </row>
    <row r="2174" spans="1:11" x14ac:dyDescent="0.25">
      <c r="A2174" s="308"/>
      <c r="B2174" s="308"/>
      <c r="C2174" s="317"/>
      <c r="D2174" s="319"/>
      <c r="E2174" s="319"/>
      <c r="F2174" s="331"/>
      <c r="G2174" s="308"/>
      <c r="H2174" s="87" t="s">
        <v>69</v>
      </c>
      <c r="I2174" s="223">
        <f>I2173*0.0214</f>
        <v>16898.89</v>
      </c>
      <c r="J2174" s="223">
        <f>I2174/D2172</f>
        <v>41.83</v>
      </c>
      <c r="K2174" s="223">
        <v>124</v>
      </c>
    </row>
    <row r="2175" spans="1:11" x14ac:dyDescent="0.25">
      <c r="A2175" s="308"/>
      <c r="B2175" s="308"/>
      <c r="C2175" s="317"/>
      <c r="D2175" s="319"/>
      <c r="E2175" s="319"/>
      <c r="F2175" s="331"/>
      <c r="G2175" s="308"/>
      <c r="H2175" s="87" t="s">
        <v>179</v>
      </c>
      <c r="I2175" s="223">
        <v>1306654.93</v>
      </c>
      <c r="J2175" s="223">
        <f>I2175/D2172+0.01</f>
        <v>3234.3</v>
      </c>
      <c r="K2175" s="223">
        <v>4421</v>
      </c>
    </row>
    <row r="2176" spans="1:11" x14ac:dyDescent="0.25">
      <c r="A2176" s="309"/>
      <c r="B2176" s="309"/>
      <c r="C2176" s="316"/>
      <c r="D2176" s="329"/>
      <c r="E2176" s="329"/>
      <c r="F2176" s="332"/>
      <c r="G2176" s="309"/>
      <c r="H2176" s="87" t="s">
        <v>69</v>
      </c>
      <c r="I2176" s="223">
        <f>I2175*0.0214</f>
        <v>27962.42</v>
      </c>
      <c r="J2176" s="223">
        <f>I2176/D2172</f>
        <v>69.209999999999994</v>
      </c>
      <c r="K2176" s="223">
        <v>95</v>
      </c>
    </row>
    <row r="2177" spans="1:11" x14ac:dyDescent="0.25">
      <c r="A2177" s="307">
        <f>A2172+1</f>
        <v>13</v>
      </c>
      <c r="B2177" s="307">
        <v>5469</v>
      </c>
      <c r="C2177" s="315" t="s">
        <v>421</v>
      </c>
      <c r="D2177" s="318">
        <v>327.9</v>
      </c>
      <c r="E2177" s="318" t="s">
        <v>167</v>
      </c>
      <c r="F2177" s="330">
        <v>2</v>
      </c>
      <c r="G2177" s="307" t="s">
        <v>473</v>
      </c>
      <c r="H2177" s="87" t="s">
        <v>66</v>
      </c>
      <c r="I2177" s="223">
        <f>I2178+I2179</f>
        <v>1807361.29</v>
      </c>
      <c r="J2177" s="223">
        <f>J2178+J2179</f>
        <v>5511.93</v>
      </c>
      <c r="K2177" s="223">
        <f>K2178+K2179</f>
        <v>6299</v>
      </c>
    </row>
    <row r="2178" spans="1:11" x14ac:dyDescent="0.25">
      <c r="A2178" s="308"/>
      <c r="B2178" s="308"/>
      <c r="C2178" s="317"/>
      <c r="D2178" s="319"/>
      <c r="E2178" s="319"/>
      <c r="F2178" s="331"/>
      <c r="G2178" s="308"/>
      <c r="H2178" s="87" t="s">
        <v>67</v>
      </c>
      <c r="I2178" s="223">
        <v>1769494.12</v>
      </c>
      <c r="J2178" s="223">
        <f>I2178/D2177+0.01</f>
        <v>5396.45</v>
      </c>
      <c r="K2178" s="223">
        <v>6167</v>
      </c>
    </row>
    <row r="2179" spans="1:11" x14ac:dyDescent="0.25">
      <c r="A2179" s="308"/>
      <c r="B2179" s="308"/>
      <c r="C2179" s="317"/>
      <c r="D2179" s="319"/>
      <c r="E2179" s="319"/>
      <c r="F2179" s="331"/>
      <c r="G2179" s="309"/>
      <c r="H2179" s="87" t="s">
        <v>69</v>
      </c>
      <c r="I2179" s="223">
        <f>I2178*0.0214</f>
        <v>37867.17</v>
      </c>
      <c r="J2179" s="223">
        <f>I2179/D2177</f>
        <v>115.48</v>
      </c>
      <c r="K2179" s="223">
        <v>132</v>
      </c>
    </row>
    <row r="2180" spans="1:11" x14ac:dyDescent="0.25">
      <c r="A2180" s="307">
        <f>A2177+1</f>
        <v>14</v>
      </c>
      <c r="B2180" s="307">
        <v>5470</v>
      </c>
      <c r="C2180" s="315" t="s">
        <v>422</v>
      </c>
      <c r="D2180" s="318">
        <v>321.39999999999998</v>
      </c>
      <c r="E2180" s="318" t="s">
        <v>167</v>
      </c>
      <c r="F2180" s="330">
        <v>2</v>
      </c>
      <c r="G2180" s="307" t="s">
        <v>65</v>
      </c>
      <c r="H2180" s="87" t="s">
        <v>66</v>
      </c>
      <c r="I2180" s="223">
        <f>I2181+I2182</f>
        <v>2126789.35</v>
      </c>
      <c r="J2180" s="223">
        <f>J2181+J2182</f>
        <v>6617.27</v>
      </c>
      <c r="K2180" s="223">
        <f>K2181+K2182</f>
        <v>8203</v>
      </c>
    </row>
    <row r="2181" spans="1:11" x14ac:dyDescent="0.25">
      <c r="A2181" s="308"/>
      <c r="B2181" s="308"/>
      <c r="C2181" s="317"/>
      <c r="D2181" s="319"/>
      <c r="E2181" s="319"/>
      <c r="F2181" s="331"/>
      <c r="G2181" s="308"/>
      <c r="H2181" s="87" t="s">
        <v>67</v>
      </c>
      <c r="I2181" s="223">
        <v>2082229.64</v>
      </c>
      <c r="J2181" s="223">
        <f>I2181/D2180+0.01</f>
        <v>6478.63</v>
      </c>
      <c r="K2181" s="223">
        <v>8031</v>
      </c>
    </row>
    <row r="2182" spans="1:11" x14ac:dyDescent="0.25">
      <c r="A2182" s="308"/>
      <c r="B2182" s="308"/>
      <c r="C2182" s="317"/>
      <c r="D2182" s="319"/>
      <c r="E2182" s="319"/>
      <c r="F2182" s="331"/>
      <c r="G2182" s="309"/>
      <c r="H2182" s="87" t="s">
        <v>69</v>
      </c>
      <c r="I2182" s="223">
        <f>I2181*0.0214</f>
        <v>44559.71</v>
      </c>
      <c r="J2182" s="223">
        <f>I2182/D2180</f>
        <v>138.63999999999999</v>
      </c>
      <c r="K2182" s="223">
        <v>172</v>
      </c>
    </row>
    <row r="2183" spans="1:11" x14ac:dyDescent="0.25">
      <c r="A2183" s="307">
        <f>A2180+1</f>
        <v>15</v>
      </c>
      <c r="B2183" s="307">
        <v>5473</v>
      </c>
      <c r="C2183" s="315" t="s">
        <v>423</v>
      </c>
      <c r="D2183" s="318">
        <v>403.1</v>
      </c>
      <c r="E2183" s="318" t="s">
        <v>167</v>
      </c>
      <c r="F2183" s="330">
        <v>2</v>
      </c>
      <c r="G2183" s="307" t="s">
        <v>65</v>
      </c>
      <c r="H2183" s="87" t="s">
        <v>66</v>
      </c>
      <c r="I2183" s="223">
        <f>I2184+I2185</f>
        <v>2244592.9300000002</v>
      </c>
      <c r="J2183" s="223">
        <f>J2184+J2185</f>
        <v>5568.33</v>
      </c>
      <c r="K2183" s="223">
        <f>K2184+K2185</f>
        <v>8203</v>
      </c>
    </row>
    <row r="2184" spans="1:11" x14ac:dyDescent="0.25">
      <c r="A2184" s="308"/>
      <c r="B2184" s="308"/>
      <c r="C2184" s="317"/>
      <c r="D2184" s="319"/>
      <c r="E2184" s="319"/>
      <c r="F2184" s="331"/>
      <c r="G2184" s="308"/>
      <c r="H2184" s="87" t="s">
        <v>67</v>
      </c>
      <c r="I2184" s="223">
        <v>2197565.04</v>
      </c>
      <c r="J2184" s="223">
        <f>I2184/D2183</f>
        <v>5451.66</v>
      </c>
      <c r="K2184" s="223">
        <v>8031</v>
      </c>
    </row>
    <row r="2185" spans="1:11" x14ac:dyDescent="0.25">
      <c r="A2185" s="309"/>
      <c r="B2185" s="309"/>
      <c r="C2185" s="316"/>
      <c r="D2185" s="329"/>
      <c r="E2185" s="329"/>
      <c r="F2185" s="332"/>
      <c r="G2185" s="309"/>
      <c r="H2185" s="87" t="s">
        <v>69</v>
      </c>
      <c r="I2185" s="223">
        <f>I2184*0.0214</f>
        <v>47027.89</v>
      </c>
      <c r="J2185" s="223">
        <f>I2185/D2183</f>
        <v>116.67</v>
      </c>
      <c r="K2185" s="223">
        <v>172</v>
      </c>
    </row>
    <row r="2186" spans="1:11" x14ac:dyDescent="0.25">
      <c r="A2186" s="307">
        <f>A2183+1</f>
        <v>16</v>
      </c>
      <c r="B2186" s="307">
        <v>5491</v>
      </c>
      <c r="C2186" s="315" t="s">
        <v>504</v>
      </c>
      <c r="D2186" s="318">
        <v>639.5</v>
      </c>
      <c r="E2186" s="318" t="s">
        <v>68</v>
      </c>
      <c r="F2186" s="330">
        <v>2</v>
      </c>
      <c r="G2186" s="307" t="s">
        <v>65</v>
      </c>
      <c r="H2186" s="87" t="s">
        <v>66</v>
      </c>
      <c r="I2186" s="223">
        <f>I2187+I2188</f>
        <v>3633419.55</v>
      </c>
      <c r="J2186" s="223">
        <f>J2187+J2188</f>
        <v>5681.66</v>
      </c>
      <c r="K2186" s="223">
        <f>K2187+K2188</f>
        <v>8203</v>
      </c>
    </row>
    <row r="2187" spans="1:11" x14ac:dyDescent="0.25">
      <c r="A2187" s="308"/>
      <c r="B2187" s="308"/>
      <c r="C2187" s="317"/>
      <c r="D2187" s="319"/>
      <c r="E2187" s="319"/>
      <c r="F2187" s="331"/>
      <c r="G2187" s="308"/>
      <c r="H2187" s="93" t="s">
        <v>67</v>
      </c>
      <c r="I2187" s="223">
        <v>3557293.47</v>
      </c>
      <c r="J2187" s="223">
        <f>I2187/D2186</f>
        <v>5562.62</v>
      </c>
      <c r="K2187" s="223">
        <v>8031</v>
      </c>
    </row>
    <row r="2188" spans="1:11" x14ac:dyDescent="0.25">
      <c r="A2188" s="309"/>
      <c r="B2188" s="309"/>
      <c r="C2188" s="316"/>
      <c r="D2188" s="329"/>
      <c r="E2188" s="329"/>
      <c r="F2188" s="332"/>
      <c r="G2188" s="309"/>
      <c r="H2188" s="93" t="s">
        <v>69</v>
      </c>
      <c r="I2188" s="223">
        <f>I2187*0.0214</f>
        <v>76126.080000000002</v>
      </c>
      <c r="J2188" s="223">
        <f>I2188/D2186</f>
        <v>119.04</v>
      </c>
      <c r="K2188" s="223">
        <v>172</v>
      </c>
    </row>
    <row r="2189" spans="1:11" x14ac:dyDescent="0.25">
      <c r="A2189" s="310">
        <f>A2186+1</f>
        <v>17</v>
      </c>
      <c r="B2189" s="310">
        <v>5493</v>
      </c>
      <c r="C2189" s="333" t="s">
        <v>424</v>
      </c>
      <c r="D2189" s="312">
        <v>1503.6</v>
      </c>
      <c r="E2189" s="318" t="s">
        <v>68</v>
      </c>
      <c r="F2189" s="330">
        <v>3</v>
      </c>
      <c r="G2189" s="307" t="s">
        <v>65</v>
      </c>
      <c r="H2189" s="87" t="s">
        <v>66</v>
      </c>
      <c r="I2189" s="223">
        <f>I2190+I2191</f>
        <v>6993319.4000000004</v>
      </c>
      <c r="J2189" s="223">
        <f>J2190+J2191</f>
        <v>4651.05</v>
      </c>
      <c r="K2189" s="223">
        <f>K2190+K2191</f>
        <v>5826</v>
      </c>
    </row>
    <row r="2190" spans="1:11" x14ac:dyDescent="0.25">
      <c r="A2190" s="310"/>
      <c r="B2190" s="310"/>
      <c r="C2190" s="333"/>
      <c r="D2190" s="312"/>
      <c r="E2190" s="319"/>
      <c r="F2190" s="331"/>
      <c r="G2190" s="308"/>
      <c r="H2190" s="87" t="s">
        <v>67</v>
      </c>
      <c r="I2190" s="223">
        <v>6846797.9199999999</v>
      </c>
      <c r="J2190" s="223">
        <f>I2190/D2189</f>
        <v>4553.6000000000004</v>
      </c>
      <c r="K2190" s="223">
        <v>5704</v>
      </c>
    </row>
    <row r="2191" spans="1:11" x14ac:dyDescent="0.25">
      <c r="A2191" s="310"/>
      <c r="B2191" s="310"/>
      <c r="C2191" s="333"/>
      <c r="D2191" s="312"/>
      <c r="E2191" s="319"/>
      <c r="F2191" s="331"/>
      <c r="G2191" s="309"/>
      <c r="H2191" s="87" t="s">
        <v>69</v>
      </c>
      <c r="I2191" s="223">
        <f>I2190*0.0214</f>
        <v>146521.48000000001</v>
      </c>
      <c r="J2191" s="223">
        <f>I2191/D2189</f>
        <v>97.45</v>
      </c>
      <c r="K2191" s="223">
        <v>122</v>
      </c>
    </row>
    <row r="2192" spans="1:11" x14ac:dyDescent="0.25">
      <c r="A2192" s="307">
        <f>A2189+1</f>
        <v>18</v>
      </c>
      <c r="B2192" s="307">
        <v>5494</v>
      </c>
      <c r="C2192" s="315" t="s">
        <v>500</v>
      </c>
      <c r="D2192" s="318">
        <v>1504.3</v>
      </c>
      <c r="E2192" s="318" t="s">
        <v>68</v>
      </c>
      <c r="F2192" s="330">
        <v>3</v>
      </c>
      <c r="G2192" s="307" t="s">
        <v>65</v>
      </c>
      <c r="H2192" s="87" t="s">
        <v>66</v>
      </c>
      <c r="I2192" s="223">
        <f>SUM(I2193:I2194)</f>
        <v>6885120.21</v>
      </c>
      <c r="J2192" s="223">
        <f>SUM(J2193:J2194)</f>
        <v>4576.96</v>
      </c>
      <c r="K2192" s="223">
        <f>SUM(K2193:K2194)</f>
        <v>5826</v>
      </c>
    </row>
    <row r="2193" spans="1:11" x14ac:dyDescent="0.25">
      <c r="A2193" s="308"/>
      <c r="B2193" s="308"/>
      <c r="C2193" s="317"/>
      <c r="D2193" s="319"/>
      <c r="E2193" s="319"/>
      <c r="F2193" s="331"/>
      <c r="G2193" s="308"/>
      <c r="H2193" s="93" t="s">
        <v>67</v>
      </c>
      <c r="I2193" s="223">
        <v>6740865.6799999997</v>
      </c>
      <c r="J2193" s="223">
        <f>I2193/D2192+0.01</f>
        <v>4481.07</v>
      </c>
      <c r="K2193" s="223">
        <v>5704</v>
      </c>
    </row>
    <row r="2194" spans="1:11" x14ac:dyDescent="0.25">
      <c r="A2194" s="308"/>
      <c r="B2194" s="308"/>
      <c r="C2194" s="317"/>
      <c r="D2194" s="319"/>
      <c r="E2194" s="319"/>
      <c r="F2194" s="331"/>
      <c r="G2194" s="309"/>
      <c r="H2194" s="93" t="s">
        <v>69</v>
      </c>
      <c r="I2194" s="223">
        <f>I2193*0.0214</f>
        <v>144254.53</v>
      </c>
      <c r="J2194" s="223">
        <f>I2194/D2192</f>
        <v>95.89</v>
      </c>
      <c r="K2194" s="223">
        <v>122</v>
      </c>
    </row>
    <row r="2195" spans="1:11" x14ac:dyDescent="0.25">
      <c r="A2195" s="307">
        <f>A2192+1</f>
        <v>19</v>
      </c>
      <c r="B2195" s="307">
        <v>5495</v>
      </c>
      <c r="C2195" s="315" t="s">
        <v>524</v>
      </c>
      <c r="D2195" s="318">
        <v>1511.2</v>
      </c>
      <c r="E2195" s="318" t="s">
        <v>68</v>
      </c>
      <c r="F2195" s="330">
        <v>3</v>
      </c>
      <c r="G2195" s="307" t="s">
        <v>65</v>
      </c>
      <c r="H2195" s="87" t="s">
        <v>66</v>
      </c>
      <c r="I2195" s="223">
        <f>SUM(I2196:I2196)</f>
        <v>241021.53</v>
      </c>
      <c r="J2195" s="223">
        <f>SUM(J2196:J2196)</f>
        <v>159.49</v>
      </c>
      <c r="K2195" s="223">
        <f>SUM(K2196:K2196)</f>
        <v>242</v>
      </c>
    </row>
    <row r="2196" spans="1:11" ht="31.5" customHeight="1" x14ac:dyDescent="0.25">
      <c r="A2196" s="308"/>
      <c r="B2196" s="308"/>
      <c r="C2196" s="317"/>
      <c r="D2196" s="319"/>
      <c r="E2196" s="319"/>
      <c r="F2196" s="331"/>
      <c r="G2196" s="308"/>
      <c r="H2196" s="93" t="s">
        <v>168</v>
      </c>
      <c r="I2196" s="223">
        <f>108035.93+132985.6</f>
        <v>241021.53</v>
      </c>
      <c r="J2196" s="223">
        <f>I2196/D2195</f>
        <v>159.49</v>
      </c>
      <c r="K2196" s="223">
        <f>154+88</f>
        <v>242</v>
      </c>
    </row>
    <row r="2197" spans="1:11" x14ac:dyDescent="0.25">
      <c r="A2197" s="307">
        <f>A2195+1</f>
        <v>20</v>
      </c>
      <c r="B2197" s="307">
        <v>5474</v>
      </c>
      <c r="C2197" s="315" t="s">
        <v>501</v>
      </c>
      <c r="D2197" s="318">
        <v>751.5</v>
      </c>
      <c r="E2197" s="318" t="s">
        <v>68</v>
      </c>
      <c r="F2197" s="330">
        <v>2</v>
      </c>
      <c r="G2197" s="121"/>
      <c r="H2197" s="87" t="s">
        <v>66</v>
      </c>
      <c r="I2197" s="223">
        <f>SUM(I2198:I2198)</f>
        <v>177119.41</v>
      </c>
      <c r="J2197" s="223">
        <f>SUM(J2198:J2198)</f>
        <v>235.69</v>
      </c>
      <c r="K2197" s="223">
        <f>SUM(K2198:K2198)</f>
        <v>250</v>
      </c>
    </row>
    <row r="2198" spans="1:11" ht="63" x14ac:dyDescent="0.25">
      <c r="A2198" s="308"/>
      <c r="B2198" s="308"/>
      <c r="C2198" s="317"/>
      <c r="D2198" s="319"/>
      <c r="E2198" s="319"/>
      <c r="F2198" s="331"/>
      <c r="G2198" s="145" t="s">
        <v>65</v>
      </c>
      <c r="H2198" s="93" t="s">
        <v>178</v>
      </c>
      <c r="I2198" s="223">
        <f>104975.41+72144</f>
        <v>177119.41</v>
      </c>
      <c r="J2198" s="223">
        <f>I2198/D2197</f>
        <v>235.69</v>
      </c>
      <c r="K2198" s="223">
        <f>154+96</f>
        <v>250</v>
      </c>
    </row>
    <row r="2199" spans="1:11" x14ac:dyDescent="0.25">
      <c r="A2199" s="307">
        <f>A2197+1</f>
        <v>21</v>
      </c>
      <c r="B2199" s="307">
        <v>5482</v>
      </c>
      <c r="C2199" s="315" t="s">
        <v>425</v>
      </c>
      <c r="D2199" s="318">
        <v>323.60000000000002</v>
      </c>
      <c r="E2199" s="318" t="s">
        <v>167</v>
      </c>
      <c r="F2199" s="330">
        <v>2</v>
      </c>
      <c r="G2199" s="307" t="s">
        <v>65</v>
      </c>
      <c r="H2199" s="87" t="s">
        <v>66</v>
      </c>
      <c r="I2199" s="223">
        <f>I2200+I2201</f>
        <v>2038228.13</v>
      </c>
      <c r="J2199" s="223">
        <f>J2200+J2201</f>
        <v>6298.6</v>
      </c>
      <c r="K2199" s="223">
        <f>K2200+K2201</f>
        <v>8203</v>
      </c>
    </row>
    <row r="2200" spans="1:11" x14ac:dyDescent="0.25">
      <c r="A2200" s="308"/>
      <c r="B2200" s="308"/>
      <c r="C2200" s="317"/>
      <c r="D2200" s="319"/>
      <c r="E2200" s="319"/>
      <c r="F2200" s="331"/>
      <c r="G2200" s="308"/>
      <c r="H2200" s="87" t="s">
        <v>67</v>
      </c>
      <c r="I2200" s="223">
        <v>1995523.92</v>
      </c>
      <c r="J2200" s="223">
        <f>I2200/D2199-0.01</f>
        <v>6166.63</v>
      </c>
      <c r="K2200" s="223">
        <v>8031</v>
      </c>
    </row>
    <row r="2201" spans="1:11" x14ac:dyDescent="0.25">
      <c r="A2201" s="308"/>
      <c r="B2201" s="308"/>
      <c r="C2201" s="317"/>
      <c r="D2201" s="319"/>
      <c r="E2201" s="319"/>
      <c r="F2201" s="331"/>
      <c r="G2201" s="309"/>
      <c r="H2201" s="87" t="s">
        <v>69</v>
      </c>
      <c r="I2201" s="223">
        <v>42704.21</v>
      </c>
      <c r="J2201" s="223">
        <f>I2201/D2199</f>
        <v>131.97</v>
      </c>
      <c r="K2201" s="223">
        <v>172</v>
      </c>
    </row>
    <row r="2202" spans="1:11" x14ac:dyDescent="0.25">
      <c r="A2202" s="307">
        <f>A2199+1</f>
        <v>22</v>
      </c>
      <c r="B2202" s="307">
        <v>5483</v>
      </c>
      <c r="C2202" s="315" t="s">
        <v>502</v>
      </c>
      <c r="D2202" s="318">
        <v>323</v>
      </c>
      <c r="E2202" s="318" t="s">
        <v>167</v>
      </c>
      <c r="F2202" s="330">
        <v>2</v>
      </c>
      <c r="G2202" s="121"/>
      <c r="H2202" s="87" t="s">
        <v>66</v>
      </c>
      <c r="I2202" s="223">
        <f>SUM(I2203:I2203)</f>
        <v>83656.990000000005</v>
      </c>
      <c r="J2202" s="223">
        <f>SUM(J2203:J2203)</f>
        <v>259</v>
      </c>
      <c r="K2202" s="223">
        <f>SUM(K2203:K2203)</f>
        <v>259</v>
      </c>
    </row>
    <row r="2203" spans="1:11" ht="63" x14ac:dyDescent="0.25">
      <c r="A2203" s="308"/>
      <c r="B2203" s="308"/>
      <c r="C2203" s="317"/>
      <c r="D2203" s="319"/>
      <c r="E2203" s="319"/>
      <c r="F2203" s="331"/>
      <c r="G2203" s="145" t="s">
        <v>65</v>
      </c>
      <c r="H2203" s="93" t="s">
        <v>178</v>
      </c>
      <c r="I2203" s="223">
        <f>52648.99+31008</f>
        <v>83656.990000000005</v>
      </c>
      <c r="J2203" s="223">
        <f>I2203/D2202</f>
        <v>259</v>
      </c>
      <c r="K2203" s="223">
        <f>163+96</f>
        <v>259</v>
      </c>
    </row>
    <row r="2204" spans="1:11" x14ac:dyDescent="0.25">
      <c r="A2204" s="307">
        <f>A2202+1</f>
        <v>23</v>
      </c>
      <c r="B2204" s="307">
        <v>5485</v>
      </c>
      <c r="C2204" s="315" t="s">
        <v>503</v>
      </c>
      <c r="D2204" s="318">
        <v>394.2</v>
      </c>
      <c r="E2204" s="318" t="s">
        <v>167</v>
      </c>
      <c r="F2204" s="330">
        <v>2</v>
      </c>
      <c r="G2204" s="121"/>
      <c r="H2204" s="87" t="s">
        <v>66</v>
      </c>
      <c r="I2204" s="223">
        <f>SUM(I2205:I2206)</f>
        <v>248740.2</v>
      </c>
      <c r="J2204" s="223">
        <f>SUM(J2205:J2206)</f>
        <v>631</v>
      </c>
      <c r="K2204" s="223">
        <f>SUM(K2205:K2206)</f>
        <v>631</v>
      </c>
    </row>
    <row r="2205" spans="1:11" x14ac:dyDescent="0.25">
      <c r="A2205" s="308"/>
      <c r="B2205" s="308"/>
      <c r="C2205" s="317"/>
      <c r="D2205" s="319"/>
      <c r="E2205" s="319"/>
      <c r="F2205" s="331"/>
      <c r="G2205" s="307" t="s">
        <v>71</v>
      </c>
      <c r="H2205" s="93" t="s">
        <v>67</v>
      </c>
      <c r="I2205" s="223">
        <f>D2204*K2205</f>
        <v>243615.6</v>
      </c>
      <c r="J2205" s="223">
        <f>I2205/D2204</f>
        <v>618</v>
      </c>
      <c r="K2205" s="223">
        <v>618</v>
      </c>
    </row>
    <row r="2206" spans="1:11" x14ac:dyDescent="0.25">
      <c r="A2206" s="309"/>
      <c r="B2206" s="309"/>
      <c r="C2206" s="316"/>
      <c r="D2206" s="329"/>
      <c r="E2206" s="329"/>
      <c r="F2206" s="332"/>
      <c r="G2206" s="309"/>
      <c r="H2206" s="93" t="s">
        <v>69</v>
      </c>
      <c r="I2206" s="223">
        <f>D2204*K2206</f>
        <v>5124.6000000000004</v>
      </c>
      <c r="J2206" s="223">
        <f>I2206/D2204</f>
        <v>13</v>
      </c>
      <c r="K2206" s="223">
        <v>13</v>
      </c>
    </row>
    <row r="2207" spans="1:11" x14ac:dyDescent="0.25">
      <c r="A2207" s="310">
        <f>A2204+1</f>
        <v>24</v>
      </c>
      <c r="B2207" s="310">
        <v>5545</v>
      </c>
      <c r="C2207" s="400" t="s">
        <v>497</v>
      </c>
      <c r="D2207" s="318">
        <v>356.8</v>
      </c>
      <c r="E2207" s="318" t="s">
        <v>68</v>
      </c>
      <c r="F2207" s="330">
        <v>2</v>
      </c>
      <c r="G2207" s="307" t="s">
        <v>65</v>
      </c>
      <c r="H2207" s="87" t="s">
        <v>66</v>
      </c>
      <c r="I2207" s="223">
        <f>I2208+I2209</f>
        <v>2179676.59</v>
      </c>
      <c r="J2207" s="223">
        <f>J2208+J2209</f>
        <v>6108.96</v>
      </c>
      <c r="K2207" s="223">
        <f>K2208+K2209</f>
        <v>8203</v>
      </c>
    </row>
    <row r="2208" spans="1:11" x14ac:dyDescent="0.25">
      <c r="A2208" s="310"/>
      <c r="B2208" s="310"/>
      <c r="C2208" s="401"/>
      <c r="D2208" s="319"/>
      <c r="E2208" s="319"/>
      <c r="F2208" s="331"/>
      <c r="G2208" s="308"/>
      <c r="H2208" s="93" t="s">
        <v>67</v>
      </c>
      <c r="I2208" s="223">
        <v>2134008.7999999998</v>
      </c>
      <c r="J2208" s="223">
        <f>I2208/D2207</f>
        <v>5980.97</v>
      </c>
      <c r="K2208" s="223">
        <v>8031</v>
      </c>
    </row>
    <row r="2209" spans="1:11" x14ac:dyDescent="0.25">
      <c r="A2209" s="310"/>
      <c r="B2209" s="310"/>
      <c r="C2209" s="402"/>
      <c r="D2209" s="329"/>
      <c r="E2209" s="329"/>
      <c r="F2209" s="332"/>
      <c r="G2209" s="309"/>
      <c r="H2209" s="93" t="s">
        <v>69</v>
      </c>
      <c r="I2209" s="223">
        <f>I2208*0.0214</f>
        <v>45667.79</v>
      </c>
      <c r="J2209" s="223">
        <f>I2209/D2207</f>
        <v>127.99</v>
      </c>
      <c r="K2209" s="223">
        <v>172</v>
      </c>
    </row>
    <row r="2210" spans="1:11" s="143" customFormat="1" ht="15.75" customHeight="1" x14ac:dyDescent="0.25">
      <c r="A2210" s="307">
        <f>A2207+1</f>
        <v>25</v>
      </c>
      <c r="B2210" s="307">
        <v>8311</v>
      </c>
      <c r="C2210" s="315" t="s">
        <v>726</v>
      </c>
      <c r="D2210" s="318">
        <v>497.1</v>
      </c>
      <c r="E2210" s="318" t="s">
        <v>167</v>
      </c>
      <c r="F2210" s="330">
        <v>2</v>
      </c>
      <c r="G2210" s="121"/>
      <c r="H2210" s="87" t="s">
        <v>66</v>
      </c>
      <c r="I2210" s="223">
        <f>SUM(I2211:I2212)</f>
        <v>230654.4</v>
      </c>
      <c r="J2210" s="223">
        <f>SUM(J2211:J2212)</f>
        <v>464</v>
      </c>
      <c r="K2210" s="223">
        <f>SUM(K2211:K2212)</f>
        <v>464</v>
      </c>
    </row>
    <row r="2211" spans="1:11" s="143" customFormat="1" ht="47.25" customHeight="1" x14ac:dyDescent="0.25">
      <c r="A2211" s="308"/>
      <c r="B2211" s="308"/>
      <c r="C2211" s="317"/>
      <c r="D2211" s="319"/>
      <c r="E2211" s="319"/>
      <c r="F2211" s="331"/>
      <c r="G2211" s="307" t="s">
        <v>75</v>
      </c>
      <c r="H2211" s="93" t="s">
        <v>178</v>
      </c>
      <c r="I2211" s="223">
        <f>D2210*K2211</f>
        <v>128748.9</v>
      </c>
      <c r="J2211" s="223">
        <f>I2211/D2210</f>
        <v>259</v>
      </c>
      <c r="K2211" s="223">
        <f>232+27</f>
        <v>259</v>
      </c>
    </row>
    <row r="2212" spans="1:11" s="143" customFormat="1" ht="47.25" customHeight="1" x14ac:dyDescent="0.25">
      <c r="A2212" s="308"/>
      <c r="B2212" s="308"/>
      <c r="C2212" s="317"/>
      <c r="D2212" s="319"/>
      <c r="E2212" s="319"/>
      <c r="F2212" s="331"/>
      <c r="G2212" s="309"/>
      <c r="H2212" s="87" t="s">
        <v>488</v>
      </c>
      <c r="I2212" s="223">
        <f>D2210*K2212</f>
        <v>101905.5</v>
      </c>
      <c r="J2212" s="223">
        <f>I2212/D2210</f>
        <v>205</v>
      </c>
      <c r="K2212" s="223">
        <f>177+28</f>
        <v>205</v>
      </c>
    </row>
    <row r="2213" spans="1:11" x14ac:dyDescent="0.25">
      <c r="A2213" s="310">
        <f>A2210+1</f>
        <v>26</v>
      </c>
      <c r="B2213" s="310">
        <v>5716</v>
      </c>
      <c r="C2213" s="333" t="s">
        <v>520</v>
      </c>
      <c r="D2213" s="312">
        <v>380.8</v>
      </c>
      <c r="E2213" s="318" t="s">
        <v>68</v>
      </c>
      <c r="F2213" s="330">
        <v>2</v>
      </c>
      <c r="G2213" s="307" t="s">
        <v>65</v>
      </c>
      <c r="H2213" s="87" t="s">
        <v>66</v>
      </c>
      <c r="I2213" s="223">
        <f>I2214</f>
        <v>95200</v>
      </c>
      <c r="J2213" s="223">
        <f>J2214</f>
        <v>250</v>
      </c>
      <c r="K2213" s="223">
        <f>K2214</f>
        <v>250</v>
      </c>
    </row>
    <row r="2214" spans="1:11" ht="63" x14ac:dyDescent="0.25">
      <c r="A2214" s="310"/>
      <c r="B2214" s="310"/>
      <c r="C2214" s="333"/>
      <c r="D2214" s="312"/>
      <c r="E2214" s="319"/>
      <c r="F2214" s="331"/>
      <c r="G2214" s="309"/>
      <c r="H2214" s="93" t="s">
        <v>168</v>
      </c>
      <c r="I2214" s="223">
        <f>D2213*K2214</f>
        <v>95200</v>
      </c>
      <c r="J2214" s="223">
        <f>I2214/D2213</f>
        <v>250</v>
      </c>
      <c r="K2214" s="223">
        <f>154+96</f>
        <v>250</v>
      </c>
    </row>
    <row r="2215" spans="1:11" x14ac:dyDescent="0.25">
      <c r="A2215" s="307">
        <f>A2213+1</f>
        <v>27</v>
      </c>
      <c r="B2215" s="307">
        <v>5718</v>
      </c>
      <c r="C2215" s="315" t="s">
        <v>521</v>
      </c>
      <c r="D2215" s="318">
        <v>376.5</v>
      </c>
      <c r="E2215" s="318" t="s">
        <v>68</v>
      </c>
      <c r="F2215" s="330">
        <v>2</v>
      </c>
      <c r="G2215" s="121"/>
      <c r="H2215" s="87" t="s">
        <v>66</v>
      </c>
      <c r="I2215" s="223">
        <f>SUM(I2216:I2216)</f>
        <v>94125</v>
      </c>
      <c r="J2215" s="223">
        <f>SUM(J2216:J2216)</f>
        <v>250</v>
      </c>
      <c r="K2215" s="223">
        <f>SUM(K2216:K2216)</f>
        <v>250</v>
      </c>
    </row>
    <row r="2216" spans="1:11" ht="63" x14ac:dyDescent="0.25">
      <c r="A2216" s="308"/>
      <c r="B2216" s="308"/>
      <c r="C2216" s="317"/>
      <c r="D2216" s="319"/>
      <c r="E2216" s="319"/>
      <c r="F2216" s="331"/>
      <c r="G2216" s="145" t="s">
        <v>65</v>
      </c>
      <c r="H2216" s="93" t="s">
        <v>178</v>
      </c>
      <c r="I2216" s="223">
        <f>D2215*K2216</f>
        <v>94125</v>
      </c>
      <c r="J2216" s="223">
        <f>I2216/D2215</f>
        <v>250</v>
      </c>
      <c r="K2216" s="223">
        <f>154+96</f>
        <v>250</v>
      </c>
    </row>
    <row r="2217" spans="1:11" s="143" customFormat="1" ht="15.75" customHeight="1" x14ac:dyDescent="0.25">
      <c r="A2217" s="307">
        <f>A2215+1</f>
        <v>28</v>
      </c>
      <c r="B2217" s="307">
        <v>5719</v>
      </c>
      <c r="C2217" s="315" t="s">
        <v>727</v>
      </c>
      <c r="D2217" s="318">
        <v>372.8</v>
      </c>
      <c r="E2217" s="318" t="s">
        <v>68</v>
      </c>
      <c r="F2217" s="330">
        <v>2</v>
      </c>
      <c r="G2217" s="121"/>
      <c r="H2217" s="87" t="s">
        <v>66</v>
      </c>
      <c r="I2217" s="223">
        <f>SUM(I2218:I2219)</f>
        <v>69340.800000000003</v>
      </c>
      <c r="J2217" s="223">
        <f>SUM(J2218:J2219)</f>
        <v>186</v>
      </c>
      <c r="K2217" s="223">
        <f>SUM(K2218:K2219)</f>
        <v>186</v>
      </c>
    </row>
    <row r="2218" spans="1:11" s="143" customFormat="1" ht="47.25" customHeight="1" x14ac:dyDescent="0.25">
      <c r="A2218" s="308"/>
      <c r="B2218" s="308"/>
      <c r="C2218" s="317"/>
      <c r="D2218" s="319"/>
      <c r="E2218" s="319"/>
      <c r="F2218" s="331"/>
      <c r="G2218" s="145" t="s">
        <v>70</v>
      </c>
      <c r="H2218" s="93" t="s">
        <v>168</v>
      </c>
      <c r="I2218" s="223">
        <f>D2217*K2218</f>
        <v>52192</v>
      </c>
      <c r="J2218" s="223">
        <f>I2218/D2217</f>
        <v>140</v>
      </c>
      <c r="K2218" s="223">
        <f>119+21</f>
        <v>140</v>
      </c>
    </row>
    <row r="2219" spans="1:11" s="143" customFormat="1" ht="47.25" customHeight="1" x14ac:dyDescent="0.25">
      <c r="A2219" s="308"/>
      <c r="B2219" s="308"/>
      <c r="C2219" s="317"/>
      <c r="D2219" s="319"/>
      <c r="E2219" s="319"/>
      <c r="F2219" s="331"/>
      <c r="G2219" s="145" t="s">
        <v>71</v>
      </c>
      <c r="H2219" s="87" t="s">
        <v>168</v>
      </c>
      <c r="I2219" s="223">
        <f>D2217*K2219</f>
        <v>17148.8</v>
      </c>
      <c r="J2219" s="223">
        <f>I2219/D2217</f>
        <v>46</v>
      </c>
      <c r="K2219" s="223">
        <f>25+21</f>
        <v>46</v>
      </c>
    </row>
    <row r="2220" spans="1:11" x14ac:dyDescent="0.25">
      <c r="A2220" s="307">
        <f>A2217+1</f>
        <v>29</v>
      </c>
      <c r="B2220" s="310">
        <v>5795</v>
      </c>
      <c r="C2220" s="333" t="s">
        <v>522</v>
      </c>
      <c r="D2220" s="312">
        <v>379.2</v>
      </c>
      <c r="E2220" s="318" t="s">
        <v>68</v>
      </c>
      <c r="F2220" s="330">
        <v>2</v>
      </c>
      <c r="G2220" s="307" t="s">
        <v>65</v>
      </c>
      <c r="H2220" s="87" t="s">
        <v>66</v>
      </c>
      <c r="I2220" s="223">
        <f>I2221</f>
        <v>88763.199999999997</v>
      </c>
      <c r="J2220" s="223">
        <f>J2221</f>
        <v>234.08</v>
      </c>
      <c r="K2220" s="223">
        <f>K2221</f>
        <v>250</v>
      </c>
    </row>
    <row r="2221" spans="1:11" ht="63" x14ac:dyDescent="0.25">
      <c r="A2221" s="309"/>
      <c r="B2221" s="310"/>
      <c r="C2221" s="333"/>
      <c r="D2221" s="312"/>
      <c r="E2221" s="319"/>
      <c r="F2221" s="331"/>
      <c r="G2221" s="309"/>
      <c r="H2221" s="93" t="s">
        <v>168</v>
      </c>
      <c r="I2221" s="223">
        <f>52360+36403.2</f>
        <v>88763.199999999997</v>
      </c>
      <c r="J2221" s="223">
        <f>I2221/D2220</f>
        <v>234.08</v>
      </c>
      <c r="K2221" s="223">
        <f>154+96</f>
        <v>250</v>
      </c>
    </row>
    <row r="2222" spans="1:11" x14ac:dyDescent="0.25">
      <c r="A2222" s="307">
        <f>A2220+1</f>
        <v>30</v>
      </c>
      <c r="B2222" s="307">
        <v>5797</v>
      </c>
      <c r="C2222" s="315" t="s">
        <v>498</v>
      </c>
      <c r="D2222" s="318">
        <v>353.9</v>
      </c>
      <c r="E2222" s="318" t="s">
        <v>68</v>
      </c>
      <c r="F2222" s="330">
        <v>2</v>
      </c>
      <c r="G2222" s="121"/>
      <c r="H2222" s="87" t="s">
        <v>66</v>
      </c>
      <c r="I2222" s="223">
        <f>SUM(I2223:I2223)</f>
        <v>88475</v>
      </c>
      <c r="J2222" s="223">
        <f>SUM(J2223:J2223)</f>
        <v>250</v>
      </c>
      <c r="K2222" s="223">
        <f>SUM(K2223:K2223)</f>
        <v>250</v>
      </c>
    </row>
    <row r="2223" spans="1:11" ht="63" x14ac:dyDescent="0.25">
      <c r="A2223" s="308"/>
      <c r="B2223" s="308"/>
      <c r="C2223" s="317"/>
      <c r="D2223" s="319"/>
      <c r="E2223" s="319"/>
      <c r="F2223" s="331"/>
      <c r="G2223" s="145" t="s">
        <v>65</v>
      </c>
      <c r="H2223" s="93" t="s">
        <v>178</v>
      </c>
      <c r="I2223" s="223">
        <f>D2222*K2223</f>
        <v>88475</v>
      </c>
      <c r="J2223" s="223">
        <f>I2223/D2222</f>
        <v>250</v>
      </c>
      <c r="K2223" s="223">
        <f>154+96</f>
        <v>250</v>
      </c>
    </row>
    <row r="2224" spans="1:11" x14ac:dyDescent="0.25">
      <c r="A2224" s="307">
        <f>A2222+1</f>
        <v>31</v>
      </c>
      <c r="B2224" s="307">
        <v>5799</v>
      </c>
      <c r="C2224" s="315" t="s">
        <v>499</v>
      </c>
      <c r="D2224" s="318">
        <v>352.4</v>
      </c>
      <c r="E2224" s="318" t="s">
        <v>68</v>
      </c>
      <c r="F2224" s="330">
        <v>2</v>
      </c>
      <c r="G2224" s="307" t="s">
        <v>65</v>
      </c>
      <c r="H2224" s="87" t="s">
        <v>66</v>
      </c>
      <c r="I2224" s="223">
        <f>I2225+I2226</f>
        <v>2393052.06</v>
      </c>
      <c r="J2224" s="223">
        <f>J2225+J2226</f>
        <v>6790.73</v>
      </c>
      <c r="K2224" s="223">
        <f>K2225+K2226</f>
        <v>8203</v>
      </c>
    </row>
    <row r="2225" spans="1:11" x14ac:dyDescent="0.25">
      <c r="A2225" s="308"/>
      <c r="B2225" s="308"/>
      <c r="C2225" s="317"/>
      <c r="D2225" s="319"/>
      <c r="E2225" s="319"/>
      <c r="F2225" s="331"/>
      <c r="G2225" s="308"/>
      <c r="H2225" s="93" t="s">
        <v>67</v>
      </c>
      <c r="I2225" s="223">
        <v>2342913.71</v>
      </c>
      <c r="J2225" s="223">
        <f>I2225/D2224</f>
        <v>6648.45</v>
      </c>
      <c r="K2225" s="223">
        <v>8031</v>
      </c>
    </row>
    <row r="2226" spans="1:11" x14ac:dyDescent="0.25">
      <c r="A2226" s="309"/>
      <c r="B2226" s="309"/>
      <c r="C2226" s="316"/>
      <c r="D2226" s="329"/>
      <c r="E2226" s="329"/>
      <c r="F2226" s="332"/>
      <c r="G2226" s="309"/>
      <c r="H2226" s="93" t="s">
        <v>69</v>
      </c>
      <c r="I2226" s="223">
        <f>I2225*0.0214</f>
        <v>50138.35</v>
      </c>
      <c r="J2226" s="223">
        <f>I2226/D2224</f>
        <v>142.28</v>
      </c>
      <c r="K2226" s="223">
        <v>172</v>
      </c>
    </row>
    <row r="2227" spans="1:11" x14ac:dyDescent="0.25">
      <c r="A2227" s="81" t="s">
        <v>36</v>
      </c>
      <c r="B2227" s="81"/>
      <c r="C2227" s="124"/>
      <c r="D2227" s="151">
        <f>D2228+D2233+D2235</f>
        <v>1772.3</v>
      </c>
      <c r="E2227" s="150"/>
      <c r="F2227" s="150"/>
      <c r="G2227" s="151"/>
      <c r="H2227" s="92"/>
      <c r="I2227" s="223">
        <f>I2228+I2233+I2235</f>
        <v>2389135.5</v>
      </c>
      <c r="J2227" s="223"/>
      <c r="K2227" s="223"/>
    </row>
    <row r="2228" spans="1:11" x14ac:dyDescent="0.25">
      <c r="A2228" s="310">
        <v>1</v>
      </c>
      <c r="B2228" s="310">
        <v>4905</v>
      </c>
      <c r="C2228" s="333" t="s">
        <v>296</v>
      </c>
      <c r="D2228" s="312">
        <v>1060.7</v>
      </c>
      <c r="E2228" s="313" t="s">
        <v>68</v>
      </c>
      <c r="F2228" s="313">
        <v>3</v>
      </c>
      <c r="G2228" s="161"/>
      <c r="H2228" s="87" t="s">
        <v>66</v>
      </c>
      <c r="I2228" s="223">
        <f>I2229+I2230+I2231+I2232</f>
        <v>2211235.5</v>
      </c>
      <c r="J2228" s="223">
        <f>J2229+J2230+J2231+J2232</f>
        <v>2084.69</v>
      </c>
      <c r="K2228" s="223">
        <f>K2229+K2230+K2231+K2232</f>
        <v>3814</v>
      </c>
    </row>
    <row r="2229" spans="1:11" x14ac:dyDescent="0.25">
      <c r="A2229" s="310"/>
      <c r="B2229" s="310"/>
      <c r="C2229" s="333"/>
      <c r="D2229" s="312"/>
      <c r="E2229" s="313"/>
      <c r="F2229" s="313"/>
      <c r="G2229" s="307" t="s">
        <v>70</v>
      </c>
      <c r="H2229" s="87" t="s">
        <v>67</v>
      </c>
      <c r="I2229" s="226">
        <v>1974168.66</v>
      </c>
      <c r="J2229" s="223">
        <f>I2229/D2228</f>
        <v>1861.19</v>
      </c>
      <c r="K2229" s="223">
        <v>2967</v>
      </c>
    </row>
    <row r="2230" spans="1:11" x14ac:dyDescent="0.25">
      <c r="A2230" s="310"/>
      <c r="B2230" s="310"/>
      <c r="C2230" s="333"/>
      <c r="D2230" s="312"/>
      <c r="E2230" s="313"/>
      <c r="F2230" s="313"/>
      <c r="G2230" s="309"/>
      <c r="H2230" s="87" t="s">
        <v>69</v>
      </c>
      <c r="I2230" s="226">
        <f>I2229*0.0214</f>
        <v>42247.21</v>
      </c>
      <c r="J2230" s="223">
        <f>I2230/D2228</f>
        <v>39.83</v>
      </c>
      <c r="K2230" s="223">
        <v>63</v>
      </c>
    </row>
    <row r="2231" spans="1:11" x14ac:dyDescent="0.25">
      <c r="A2231" s="310"/>
      <c r="B2231" s="310"/>
      <c r="C2231" s="333"/>
      <c r="D2231" s="312"/>
      <c r="E2231" s="313"/>
      <c r="F2231" s="313"/>
      <c r="G2231" s="308" t="s">
        <v>71</v>
      </c>
      <c r="H2231" s="87" t="s">
        <v>67</v>
      </c>
      <c r="I2231" s="226">
        <v>190737.84</v>
      </c>
      <c r="J2231" s="223">
        <f>I2231/D2228</f>
        <v>179.82</v>
      </c>
      <c r="K2231" s="223">
        <v>768</v>
      </c>
    </row>
    <row r="2232" spans="1:11" x14ac:dyDescent="0.25">
      <c r="A2232" s="310"/>
      <c r="B2232" s="310"/>
      <c r="C2232" s="333"/>
      <c r="D2232" s="312"/>
      <c r="E2232" s="313"/>
      <c r="F2232" s="313"/>
      <c r="G2232" s="309"/>
      <c r="H2232" s="87" t="s">
        <v>69</v>
      </c>
      <c r="I2232" s="226">
        <f>I2231*0.0214</f>
        <v>4081.79</v>
      </c>
      <c r="J2232" s="223">
        <f>I2232/D2228</f>
        <v>3.85</v>
      </c>
      <c r="K2232" s="223">
        <v>16</v>
      </c>
    </row>
    <row r="2233" spans="1:11" s="118" customFormat="1" ht="15.75" customHeight="1" x14ac:dyDescent="0.25">
      <c r="A2233" s="320">
        <f>A2228+1</f>
        <v>2</v>
      </c>
      <c r="B2233" s="320">
        <v>4930</v>
      </c>
      <c r="C2233" s="321" t="s">
        <v>695</v>
      </c>
      <c r="D2233" s="327">
        <v>353.7</v>
      </c>
      <c r="E2233" s="328" t="s">
        <v>68</v>
      </c>
      <c r="F2233" s="328">
        <v>2</v>
      </c>
      <c r="G2233" s="155"/>
      <c r="H2233" s="117" t="s">
        <v>66</v>
      </c>
      <c r="I2233" s="226">
        <f>I2234</f>
        <v>88425</v>
      </c>
      <c r="J2233" s="226">
        <f>J2234</f>
        <v>250</v>
      </c>
      <c r="K2233" s="226">
        <f>K2234</f>
        <v>250</v>
      </c>
    </row>
    <row r="2234" spans="1:11" s="139" customFormat="1" ht="63" x14ac:dyDescent="0.25">
      <c r="A2234" s="320"/>
      <c r="B2234" s="320"/>
      <c r="C2234" s="321"/>
      <c r="D2234" s="327"/>
      <c r="E2234" s="328"/>
      <c r="F2234" s="328"/>
      <c r="G2234" s="155" t="s">
        <v>65</v>
      </c>
      <c r="H2234" s="117" t="s">
        <v>178</v>
      </c>
      <c r="I2234" s="226">
        <f>D2233*K2234</f>
        <v>88425</v>
      </c>
      <c r="J2234" s="226">
        <f>I2234/D2233</f>
        <v>250</v>
      </c>
      <c r="K2234" s="226">
        <f>154+96</f>
        <v>250</v>
      </c>
    </row>
    <row r="2235" spans="1:11" x14ac:dyDescent="0.25">
      <c r="A2235" s="310">
        <f>A2228+1</f>
        <v>2</v>
      </c>
      <c r="B2235" s="310">
        <v>4933</v>
      </c>
      <c r="C2235" s="333" t="s">
        <v>568</v>
      </c>
      <c r="D2235" s="312">
        <v>357.9</v>
      </c>
      <c r="E2235" s="313" t="s">
        <v>68</v>
      </c>
      <c r="F2235" s="313">
        <v>2</v>
      </c>
      <c r="G2235" s="145"/>
      <c r="H2235" s="87" t="s">
        <v>66</v>
      </c>
      <c r="I2235" s="223">
        <f>I2236</f>
        <v>89475</v>
      </c>
      <c r="J2235" s="223">
        <f>J2236</f>
        <v>250</v>
      </c>
      <c r="K2235" s="223">
        <f>K2236</f>
        <v>250</v>
      </c>
    </row>
    <row r="2236" spans="1:11" ht="63" x14ac:dyDescent="0.25">
      <c r="A2236" s="310"/>
      <c r="B2236" s="310"/>
      <c r="C2236" s="333"/>
      <c r="D2236" s="312"/>
      <c r="E2236" s="313"/>
      <c r="F2236" s="313"/>
      <c r="G2236" s="145" t="s">
        <v>65</v>
      </c>
      <c r="H2236" s="87" t="s">
        <v>178</v>
      </c>
      <c r="I2236" s="223">
        <f>D2235*K2236</f>
        <v>89475</v>
      </c>
      <c r="J2236" s="223">
        <f>I2236/D2235</f>
        <v>250</v>
      </c>
      <c r="K2236" s="223">
        <f>154+96</f>
        <v>250</v>
      </c>
    </row>
    <row r="2237" spans="1:11" x14ac:dyDescent="0.25">
      <c r="A2237" s="81" t="s">
        <v>37</v>
      </c>
      <c r="B2237" s="81"/>
      <c r="C2237" s="124"/>
      <c r="D2237" s="80">
        <f>D2238+D2243+D2245</f>
        <v>1043.0999999999999</v>
      </c>
      <c r="E2237" s="95"/>
      <c r="F2237" s="95"/>
      <c r="G2237" s="99"/>
      <c r="H2237" s="100"/>
      <c r="I2237" s="223">
        <f>I2238+I2243+I2245</f>
        <v>1902624.76</v>
      </c>
      <c r="J2237" s="223"/>
      <c r="K2237" s="223"/>
    </row>
    <row r="2238" spans="1:11" x14ac:dyDescent="0.25">
      <c r="A2238" s="307">
        <v>1</v>
      </c>
      <c r="B2238" s="307">
        <v>6786</v>
      </c>
      <c r="C2238" s="315" t="s">
        <v>299</v>
      </c>
      <c r="D2238" s="318">
        <v>229.4</v>
      </c>
      <c r="E2238" s="330" t="s">
        <v>68</v>
      </c>
      <c r="F2238" s="330">
        <v>2</v>
      </c>
      <c r="G2238" s="161"/>
      <c r="H2238" s="87" t="s">
        <v>66</v>
      </c>
      <c r="I2238" s="223">
        <f>I2239+I2240+I2241+I2242</f>
        <v>520723.76</v>
      </c>
      <c r="J2238" s="223">
        <f>J2239+J2240+J2241+J2242</f>
        <v>2269.94</v>
      </c>
      <c r="K2238" s="223">
        <f>K2239+K2240+K2241+K2242</f>
        <v>3661</v>
      </c>
    </row>
    <row r="2239" spans="1:11" ht="31.5" customHeight="1" x14ac:dyDescent="0.25">
      <c r="A2239" s="308"/>
      <c r="B2239" s="308"/>
      <c r="C2239" s="317"/>
      <c r="D2239" s="319"/>
      <c r="E2239" s="331"/>
      <c r="F2239" s="331"/>
      <c r="G2239" s="307" t="s">
        <v>70</v>
      </c>
      <c r="H2239" s="87" t="s">
        <v>67</v>
      </c>
      <c r="I2239" s="223">
        <v>448900.09</v>
      </c>
      <c r="J2239" s="223">
        <f>I2239/D2238+0.01</f>
        <v>1956.85</v>
      </c>
      <c r="K2239" s="223">
        <v>2967</v>
      </c>
    </row>
    <row r="2240" spans="1:11" x14ac:dyDescent="0.25">
      <c r="A2240" s="308"/>
      <c r="B2240" s="308"/>
      <c r="C2240" s="317"/>
      <c r="D2240" s="319"/>
      <c r="E2240" s="331"/>
      <c r="F2240" s="331"/>
      <c r="G2240" s="309"/>
      <c r="H2240" s="87" t="s">
        <v>69</v>
      </c>
      <c r="I2240" s="223">
        <f>I2239*0.0214</f>
        <v>9606.4599999999991</v>
      </c>
      <c r="J2240" s="223">
        <f>I2240/D2238</f>
        <v>41.88</v>
      </c>
      <c r="K2240" s="223">
        <v>63</v>
      </c>
    </row>
    <row r="2241" spans="1:145" ht="24.75" customHeight="1" x14ac:dyDescent="0.25">
      <c r="A2241" s="308"/>
      <c r="B2241" s="308"/>
      <c r="C2241" s="317"/>
      <c r="D2241" s="319"/>
      <c r="E2241" s="331"/>
      <c r="F2241" s="331"/>
      <c r="G2241" s="307" t="s">
        <v>71</v>
      </c>
      <c r="H2241" s="87" t="s">
        <v>67</v>
      </c>
      <c r="I2241" s="223">
        <v>60913.66</v>
      </c>
      <c r="J2241" s="223">
        <f>I2241/D2238</f>
        <v>265.52999999999997</v>
      </c>
      <c r="K2241" s="223">
        <v>618</v>
      </c>
    </row>
    <row r="2242" spans="1:145" ht="24.75" customHeight="1" x14ac:dyDescent="0.25">
      <c r="A2242" s="308"/>
      <c r="B2242" s="308"/>
      <c r="C2242" s="317"/>
      <c r="D2242" s="329"/>
      <c r="E2242" s="331"/>
      <c r="F2242" s="331"/>
      <c r="G2242" s="309"/>
      <c r="H2242" s="87" t="s">
        <v>69</v>
      </c>
      <c r="I2242" s="223">
        <f>I2241*0.0214</f>
        <v>1303.55</v>
      </c>
      <c r="J2242" s="223">
        <f>I2242/D2238</f>
        <v>5.68</v>
      </c>
      <c r="K2242" s="223">
        <v>13</v>
      </c>
    </row>
    <row r="2243" spans="1:145" s="143" customFormat="1" ht="15.75" customHeight="1" x14ac:dyDescent="0.25">
      <c r="A2243" s="307">
        <v>2</v>
      </c>
      <c r="B2243" s="307">
        <v>6791</v>
      </c>
      <c r="C2243" s="315" t="s">
        <v>699</v>
      </c>
      <c r="D2243" s="318">
        <v>467.7</v>
      </c>
      <c r="E2243" s="330" t="s">
        <v>68</v>
      </c>
      <c r="F2243" s="330">
        <v>2</v>
      </c>
      <c r="G2243" s="307" t="s">
        <v>65</v>
      </c>
      <c r="H2243" s="87" t="s">
        <v>66</v>
      </c>
      <c r="I2243" s="223">
        <f>I2244</f>
        <v>116925</v>
      </c>
      <c r="J2243" s="223">
        <f>J2244</f>
        <v>250</v>
      </c>
      <c r="K2243" s="223">
        <f>K2244</f>
        <v>250</v>
      </c>
    </row>
    <row r="2244" spans="1:145" s="143" customFormat="1" ht="63" x14ac:dyDescent="0.25">
      <c r="A2244" s="308"/>
      <c r="B2244" s="308"/>
      <c r="C2244" s="317"/>
      <c r="D2244" s="319"/>
      <c r="E2244" s="331"/>
      <c r="F2244" s="331"/>
      <c r="G2244" s="308"/>
      <c r="H2244" s="87" t="s">
        <v>178</v>
      </c>
      <c r="I2244" s="223">
        <f>D2243*K2244</f>
        <v>116925</v>
      </c>
      <c r="J2244" s="223">
        <f>I2244/D2243</f>
        <v>250</v>
      </c>
      <c r="K2244" s="223">
        <f>154+96</f>
        <v>250</v>
      </c>
    </row>
    <row r="2245" spans="1:145" x14ac:dyDescent="0.25">
      <c r="A2245" s="307">
        <f>A2243+1</f>
        <v>3</v>
      </c>
      <c r="B2245" s="307">
        <v>6770</v>
      </c>
      <c r="C2245" s="315" t="s">
        <v>298</v>
      </c>
      <c r="D2245" s="318">
        <v>346</v>
      </c>
      <c r="E2245" s="330" t="s">
        <v>68</v>
      </c>
      <c r="F2245" s="330">
        <v>2</v>
      </c>
      <c r="G2245" s="161"/>
      <c r="H2245" s="87" t="s">
        <v>66</v>
      </c>
      <c r="I2245" s="223">
        <f>I2246+I2247+I2248+I2249</f>
        <v>1264976</v>
      </c>
      <c r="J2245" s="223">
        <f>J2246+J2247+J2248+J2249</f>
        <v>3656</v>
      </c>
      <c r="K2245" s="223">
        <f>K2246+K2247+K2248+K2249</f>
        <v>3661</v>
      </c>
    </row>
    <row r="2246" spans="1:145" x14ac:dyDescent="0.25">
      <c r="A2246" s="308"/>
      <c r="B2246" s="308"/>
      <c r="C2246" s="317"/>
      <c r="D2246" s="319"/>
      <c r="E2246" s="331"/>
      <c r="F2246" s="331"/>
      <c r="G2246" s="310" t="s">
        <v>70</v>
      </c>
      <c r="H2246" s="87" t="s">
        <v>67</v>
      </c>
      <c r="I2246" s="223">
        <f>D2245*K2246</f>
        <v>1026582</v>
      </c>
      <c r="J2246" s="223">
        <f>I2246/D2245</f>
        <v>2967</v>
      </c>
      <c r="K2246" s="223">
        <v>2967</v>
      </c>
    </row>
    <row r="2247" spans="1:145" x14ac:dyDescent="0.25">
      <c r="A2247" s="308"/>
      <c r="B2247" s="308"/>
      <c r="C2247" s="317"/>
      <c r="D2247" s="319"/>
      <c r="E2247" s="331"/>
      <c r="F2247" s="331"/>
      <c r="G2247" s="310"/>
      <c r="H2247" s="87" t="s">
        <v>69</v>
      </c>
      <c r="I2247" s="223">
        <v>20414</v>
      </c>
      <c r="J2247" s="223">
        <f>I2247/D2245</f>
        <v>59</v>
      </c>
      <c r="K2247" s="223">
        <v>63</v>
      </c>
    </row>
    <row r="2248" spans="1:145" x14ac:dyDescent="0.25">
      <c r="A2248" s="308"/>
      <c r="B2248" s="308"/>
      <c r="C2248" s="317"/>
      <c r="D2248" s="319"/>
      <c r="E2248" s="331"/>
      <c r="F2248" s="331"/>
      <c r="G2248" s="310" t="s">
        <v>71</v>
      </c>
      <c r="H2248" s="87" t="s">
        <v>67</v>
      </c>
      <c r="I2248" s="223">
        <f>D2245*K2248</f>
        <v>213828</v>
      </c>
      <c r="J2248" s="223">
        <f>I2248/D2245</f>
        <v>618</v>
      </c>
      <c r="K2248" s="223">
        <v>618</v>
      </c>
    </row>
    <row r="2249" spans="1:145" x14ac:dyDescent="0.25">
      <c r="A2249" s="309"/>
      <c r="B2249" s="309"/>
      <c r="C2249" s="316"/>
      <c r="D2249" s="329"/>
      <c r="E2249" s="332"/>
      <c r="F2249" s="332"/>
      <c r="G2249" s="310"/>
      <c r="H2249" s="87" t="s">
        <v>69</v>
      </c>
      <c r="I2249" s="223">
        <v>4152</v>
      </c>
      <c r="J2249" s="223">
        <f>I2249/D2245</f>
        <v>12</v>
      </c>
      <c r="K2249" s="223">
        <v>13</v>
      </c>
      <c r="EN2249" s="71"/>
      <c r="EO2249" s="71"/>
    </row>
    <row r="2250" spans="1:145" s="71" customFormat="1" x14ac:dyDescent="0.25">
      <c r="A2250" s="81" t="s">
        <v>38</v>
      </c>
      <c r="B2250" s="81"/>
      <c r="C2250" s="124"/>
      <c r="D2250" s="80">
        <f>D2251+D2253+D2258</f>
        <v>1609.9</v>
      </c>
      <c r="E2250" s="80"/>
      <c r="F2250" s="80"/>
      <c r="G2250" s="151"/>
      <c r="H2250" s="92"/>
      <c r="I2250" s="223">
        <f>I2251+I2253+I2258</f>
        <v>4987155.43</v>
      </c>
      <c r="J2250" s="223"/>
      <c r="K2250" s="223"/>
      <c r="L2250" s="72"/>
      <c r="M2250" s="72"/>
      <c r="N2250" s="72"/>
      <c r="O2250" s="72"/>
      <c r="P2250" s="72"/>
      <c r="Q2250" s="72"/>
      <c r="R2250" s="72"/>
      <c r="S2250" s="72"/>
      <c r="T2250" s="72"/>
      <c r="U2250" s="72"/>
      <c r="V2250" s="72"/>
      <c r="W2250" s="72"/>
      <c r="X2250" s="72"/>
      <c r="Y2250" s="72"/>
      <c r="Z2250" s="72"/>
      <c r="AA2250" s="72"/>
      <c r="AB2250" s="72"/>
      <c r="AC2250" s="72"/>
      <c r="AD2250" s="72"/>
      <c r="AE2250" s="72"/>
      <c r="AF2250" s="72"/>
      <c r="AG2250" s="72"/>
      <c r="AH2250" s="72"/>
      <c r="AI2250" s="72"/>
      <c r="AJ2250" s="72"/>
      <c r="AK2250" s="72"/>
      <c r="AL2250" s="72"/>
      <c r="AM2250" s="72"/>
      <c r="AN2250" s="72"/>
      <c r="AO2250" s="72"/>
      <c r="AP2250" s="72"/>
      <c r="AQ2250" s="72"/>
      <c r="AR2250" s="72"/>
      <c r="AS2250" s="72"/>
      <c r="AT2250" s="72"/>
      <c r="AU2250" s="72"/>
      <c r="AV2250" s="72"/>
      <c r="AW2250" s="72"/>
      <c r="AX2250" s="72"/>
      <c r="AY2250" s="72"/>
      <c r="AZ2250" s="72"/>
      <c r="BA2250" s="72"/>
      <c r="BB2250" s="72"/>
      <c r="BC2250" s="72"/>
      <c r="BD2250" s="72"/>
      <c r="BE2250" s="72"/>
      <c r="BF2250" s="72"/>
      <c r="BG2250" s="72"/>
      <c r="BH2250" s="72"/>
      <c r="BI2250" s="72"/>
      <c r="BJ2250" s="72"/>
      <c r="BK2250" s="72"/>
      <c r="BL2250" s="72"/>
      <c r="BM2250" s="72"/>
      <c r="BN2250" s="72"/>
      <c r="BO2250" s="72"/>
      <c r="BP2250" s="72"/>
      <c r="BQ2250" s="72"/>
      <c r="BR2250" s="72"/>
      <c r="BS2250" s="72"/>
      <c r="BT2250" s="72"/>
      <c r="BU2250" s="72"/>
      <c r="BV2250" s="72"/>
      <c r="BW2250" s="72"/>
      <c r="BX2250" s="72"/>
      <c r="BY2250" s="72"/>
      <c r="BZ2250" s="72"/>
      <c r="CA2250" s="72"/>
      <c r="CB2250" s="72"/>
      <c r="CC2250" s="72"/>
      <c r="CD2250" s="72"/>
      <c r="CE2250" s="72"/>
      <c r="CF2250" s="72"/>
      <c r="CG2250" s="72"/>
      <c r="CH2250" s="72"/>
      <c r="CI2250" s="72"/>
      <c r="CJ2250" s="72"/>
      <c r="CK2250" s="72"/>
      <c r="CL2250" s="72"/>
      <c r="CM2250" s="72"/>
      <c r="CN2250" s="72"/>
      <c r="CO2250" s="72"/>
      <c r="CP2250" s="72"/>
      <c r="CQ2250" s="72"/>
      <c r="CR2250" s="72"/>
      <c r="CS2250" s="72"/>
      <c r="CT2250" s="72"/>
      <c r="CU2250" s="72"/>
      <c r="CV2250" s="72"/>
      <c r="CW2250" s="72"/>
      <c r="CX2250" s="72"/>
      <c r="CY2250" s="72"/>
      <c r="CZ2250" s="72"/>
      <c r="DA2250" s="72"/>
      <c r="DB2250" s="72"/>
      <c r="DC2250" s="72"/>
      <c r="DD2250" s="72"/>
      <c r="DE2250" s="72"/>
      <c r="DF2250" s="72"/>
      <c r="DG2250" s="72"/>
      <c r="DH2250" s="72"/>
      <c r="DI2250" s="72"/>
      <c r="DJ2250" s="72"/>
      <c r="DK2250" s="72"/>
      <c r="DL2250" s="72"/>
      <c r="DM2250" s="72"/>
      <c r="DN2250" s="72"/>
      <c r="DO2250" s="72"/>
      <c r="DP2250" s="72"/>
      <c r="DQ2250" s="72"/>
      <c r="DR2250" s="72"/>
      <c r="DS2250" s="72"/>
      <c r="DT2250" s="72"/>
      <c r="DU2250" s="72"/>
      <c r="DV2250" s="72"/>
      <c r="DW2250" s="72"/>
      <c r="DX2250" s="72"/>
      <c r="DY2250" s="72"/>
      <c r="DZ2250" s="72"/>
      <c r="EA2250" s="72"/>
      <c r="EB2250" s="72"/>
      <c r="EC2250" s="72"/>
      <c r="ED2250" s="72"/>
      <c r="EE2250" s="72"/>
      <c r="EF2250" s="72"/>
      <c r="EG2250" s="72"/>
      <c r="EH2250" s="72"/>
      <c r="EI2250" s="72"/>
      <c r="EJ2250" s="72"/>
      <c r="EK2250" s="72"/>
      <c r="EL2250" s="72"/>
      <c r="EM2250" s="72"/>
    </row>
    <row r="2251" spans="1:145" s="143" customFormat="1" ht="15.75" customHeight="1" x14ac:dyDescent="0.25">
      <c r="A2251" s="310">
        <v>1</v>
      </c>
      <c r="B2251" s="310">
        <v>4966</v>
      </c>
      <c r="C2251" s="333" t="s">
        <v>700</v>
      </c>
      <c r="D2251" s="318">
        <v>376.3</v>
      </c>
      <c r="E2251" s="330" t="s">
        <v>68</v>
      </c>
      <c r="F2251" s="330">
        <v>2</v>
      </c>
      <c r="G2251" s="307" t="s">
        <v>65</v>
      </c>
      <c r="H2251" s="87" t="s">
        <v>66</v>
      </c>
      <c r="I2251" s="223">
        <f>I2252</f>
        <v>94075</v>
      </c>
      <c r="J2251" s="223">
        <f t="shared" ref="J2251:K2251" si="74">J2252</f>
        <v>250</v>
      </c>
      <c r="K2251" s="223">
        <f t="shared" si="74"/>
        <v>250</v>
      </c>
    </row>
    <row r="2252" spans="1:145" s="143" customFormat="1" ht="62.25" customHeight="1" x14ac:dyDescent="0.25">
      <c r="A2252" s="310"/>
      <c r="B2252" s="310"/>
      <c r="C2252" s="333"/>
      <c r="D2252" s="319"/>
      <c r="E2252" s="331"/>
      <c r="F2252" s="331"/>
      <c r="G2252" s="308"/>
      <c r="H2252" s="87" t="s">
        <v>509</v>
      </c>
      <c r="I2252" s="223">
        <f>D2251*K2252</f>
        <v>94075</v>
      </c>
      <c r="J2252" s="223">
        <f>I2252/D2251</f>
        <v>250</v>
      </c>
      <c r="K2252" s="223">
        <f>154+96</f>
        <v>250</v>
      </c>
    </row>
    <row r="2253" spans="1:145" x14ac:dyDescent="0.25">
      <c r="A2253" s="307">
        <f>A2251+1</f>
        <v>2</v>
      </c>
      <c r="B2253" s="310">
        <v>4976</v>
      </c>
      <c r="C2253" s="333" t="s">
        <v>508</v>
      </c>
      <c r="D2253" s="318">
        <v>719.4</v>
      </c>
      <c r="E2253" s="330" t="s">
        <v>68</v>
      </c>
      <c r="F2253" s="330">
        <v>2</v>
      </c>
      <c r="G2253" s="307" t="s">
        <v>75</v>
      </c>
      <c r="H2253" s="87" t="s">
        <v>66</v>
      </c>
      <c r="I2253" s="223">
        <f>I2254+I2255+I2256+I2257</f>
        <v>2920962.53</v>
      </c>
      <c r="J2253" s="223">
        <f t="shared" ref="J2253:K2253" si="75">J2254+J2255+J2256+J2257</f>
        <v>4060.28</v>
      </c>
      <c r="K2253" s="223">
        <f t="shared" si="75"/>
        <v>7493</v>
      </c>
    </row>
    <row r="2254" spans="1:145" x14ac:dyDescent="0.25">
      <c r="A2254" s="308"/>
      <c r="B2254" s="310"/>
      <c r="C2254" s="333"/>
      <c r="D2254" s="319"/>
      <c r="E2254" s="331"/>
      <c r="F2254" s="331"/>
      <c r="G2254" s="308"/>
      <c r="H2254" s="87" t="s">
        <v>67</v>
      </c>
      <c r="I2254" s="223">
        <v>763786.82</v>
      </c>
      <c r="J2254" s="223">
        <f>I2254/D2253</f>
        <v>1061.7</v>
      </c>
      <c r="K2254" s="223">
        <v>2915</v>
      </c>
    </row>
    <row r="2255" spans="1:145" x14ac:dyDescent="0.25">
      <c r="A2255" s="308"/>
      <c r="B2255" s="310"/>
      <c r="C2255" s="333"/>
      <c r="D2255" s="319"/>
      <c r="E2255" s="331"/>
      <c r="F2255" s="331"/>
      <c r="G2255" s="308"/>
      <c r="H2255" s="87" t="s">
        <v>69</v>
      </c>
      <c r="I2255" s="223">
        <v>16345.04</v>
      </c>
      <c r="J2255" s="223">
        <f>I2255/D2253</f>
        <v>22.72</v>
      </c>
      <c r="K2255" s="223">
        <v>62</v>
      </c>
    </row>
    <row r="2256" spans="1:145" x14ac:dyDescent="0.25">
      <c r="A2256" s="308"/>
      <c r="B2256" s="310"/>
      <c r="C2256" s="333"/>
      <c r="D2256" s="319"/>
      <c r="E2256" s="331"/>
      <c r="F2256" s="331"/>
      <c r="G2256" s="308"/>
      <c r="H2256" s="87" t="s">
        <v>179</v>
      </c>
      <c r="I2256" s="223">
        <v>2095976.77</v>
      </c>
      <c r="J2256" s="223">
        <f>I2256/D2253</f>
        <v>2913.51</v>
      </c>
      <c r="K2256" s="223">
        <v>4421</v>
      </c>
    </row>
    <row r="2257" spans="1:11" x14ac:dyDescent="0.25">
      <c r="A2257" s="309"/>
      <c r="B2257" s="310"/>
      <c r="C2257" s="333"/>
      <c r="D2257" s="329"/>
      <c r="E2257" s="332"/>
      <c r="F2257" s="332"/>
      <c r="G2257" s="309"/>
      <c r="H2257" s="87" t="s">
        <v>69</v>
      </c>
      <c r="I2257" s="223">
        <v>44853.9</v>
      </c>
      <c r="J2257" s="223">
        <f>I2257/D2253</f>
        <v>62.35</v>
      </c>
      <c r="K2257" s="223">
        <v>95</v>
      </c>
    </row>
    <row r="2258" spans="1:11" x14ac:dyDescent="0.25">
      <c r="A2258" s="307">
        <f>A2253+1</f>
        <v>3</v>
      </c>
      <c r="B2258" s="310">
        <v>4978</v>
      </c>
      <c r="C2258" s="333" t="s">
        <v>511</v>
      </c>
      <c r="D2258" s="318">
        <v>514.20000000000005</v>
      </c>
      <c r="E2258" s="330" t="s">
        <v>167</v>
      </c>
      <c r="F2258" s="330">
        <v>2</v>
      </c>
      <c r="G2258" s="307" t="s">
        <v>75</v>
      </c>
      <c r="H2258" s="87" t="s">
        <v>66</v>
      </c>
      <c r="I2258" s="223">
        <f>I2259+I2260+I2261+I2262</f>
        <v>1972117.9</v>
      </c>
      <c r="J2258" s="223">
        <f t="shared" ref="J2258:K2258" si="76">J2259+J2260+J2261+J2262</f>
        <v>3835.31</v>
      </c>
      <c r="K2258" s="223">
        <f t="shared" si="76"/>
        <v>7493</v>
      </c>
    </row>
    <row r="2259" spans="1:11" x14ac:dyDescent="0.25">
      <c r="A2259" s="308"/>
      <c r="B2259" s="310"/>
      <c r="C2259" s="333"/>
      <c r="D2259" s="319"/>
      <c r="E2259" s="331"/>
      <c r="F2259" s="331"/>
      <c r="G2259" s="308"/>
      <c r="H2259" s="87" t="s">
        <v>67</v>
      </c>
      <c r="I2259" s="223">
        <v>478637.18</v>
      </c>
      <c r="J2259" s="223">
        <f>I2259/D2258</f>
        <v>930.84</v>
      </c>
      <c r="K2259" s="223">
        <v>2915</v>
      </c>
    </row>
    <row r="2260" spans="1:11" x14ac:dyDescent="0.25">
      <c r="A2260" s="308"/>
      <c r="B2260" s="310"/>
      <c r="C2260" s="333"/>
      <c r="D2260" s="319"/>
      <c r="E2260" s="331"/>
      <c r="F2260" s="331"/>
      <c r="G2260" s="308"/>
      <c r="H2260" s="87" t="s">
        <v>69</v>
      </c>
      <c r="I2260" s="223">
        <f>I2259*0.0214</f>
        <v>10242.84</v>
      </c>
      <c r="J2260" s="223">
        <f>I2260/D2258</f>
        <v>19.920000000000002</v>
      </c>
      <c r="K2260" s="223">
        <v>62</v>
      </c>
    </row>
    <row r="2261" spans="1:11" x14ac:dyDescent="0.25">
      <c r="A2261" s="308"/>
      <c r="B2261" s="310"/>
      <c r="C2261" s="333"/>
      <c r="D2261" s="319"/>
      <c r="E2261" s="331"/>
      <c r="F2261" s="331"/>
      <c r="G2261" s="308"/>
      <c r="H2261" s="87" t="s">
        <v>179</v>
      </c>
      <c r="I2261" s="223">
        <v>1452161.62</v>
      </c>
      <c r="J2261" s="223">
        <f>I2261/D2258-0.01</f>
        <v>2824.11</v>
      </c>
      <c r="K2261" s="223">
        <v>4421</v>
      </c>
    </row>
    <row r="2262" spans="1:11" x14ac:dyDescent="0.25">
      <c r="A2262" s="309"/>
      <c r="B2262" s="310"/>
      <c r="C2262" s="333"/>
      <c r="D2262" s="329"/>
      <c r="E2262" s="332"/>
      <c r="F2262" s="332"/>
      <c r="G2262" s="309"/>
      <c r="H2262" s="87" t="s">
        <v>69</v>
      </c>
      <c r="I2262" s="223">
        <v>31076.26</v>
      </c>
      <c r="J2262" s="223">
        <f>I2262/D2258</f>
        <v>60.44</v>
      </c>
      <c r="K2262" s="223">
        <v>95</v>
      </c>
    </row>
    <row r="2263" spans="1:11" x14ac:dyDescent="0.25">
      <c r="A2263" s="216" t="s">
        <v>39</v>
      </c>
      <c r="B2263" s="216"/>
      <c r="C2263" s="81"/>
      <c r="D2263" s="151">
        <f>D2264+D2267+D2269+D2272+D2275</f>
        <v>1488.3</v>
      </c>
      <c r="E2263" s="150"/>
      <c r="F2263" s="150"/>
      <c r="G2263" s="151"/>
      <c r="H2263" s="92"/>
      <c r="I2263" s="223">
        <f>I2264+I2267+I2269+I2272+I2275</f>
        <v>2637951.81</v>
      </c>
      <c r="J2263" s="223"/>
      <c r="K2263" s="223"/>
    </row>
    <row r="2264" spans="1:11" x14ac:dyDescent="0.25">
      <c r="A2264" s="310">
        <v>1</v>
      </c>
      <c r="B2264" s="307">
        <v>7422</v>
      </c>
      <c r="C2264" s="333" t="s">
        <v>332</v>
      </c>
      <c r="D2264" s="312">
        <v>358.5</v>
      </c>
      <c r="E2264" s="313" t="s">
        <v>68</v>
      </c>
      <c r="F2264" s="313">
        <v>2</v>
      </c>
      <c r="G2264" s="310" t="s">
        <v>65</v>
      </c>
      <c r="H2264" s="87" t="s">
        <v>66</v>
      </c>
      <c r="I2264" s="223">
        <f>I2265+I2266</f>
        <v>2394891.5299999998</v>
      </c>
      <c r="J2264" s="223">
        <f t="shared" ref="J2264:K2264" si="77">J2265+J2266</f>
        <v>6680.31</v>
      </c>
      <c r="K2264" s="223">
        <f t="shared" si="77"/>
        <v>7688</v>
      </c>
    </row>
    <row r="2265" spans="1:11" x14ac:dyDescent="0.25">
      <c r="A2265" s="310">
        <v>1146</v>
      </c>
      <c r="B2265" s="308"/>
      <c r="C2265" s="333"/>
      <c r="D2265" s="312"/>
      <c r="E2265" s="313"/>
      <c r="F2265" s="313"/>
      <c r="G2265" s="310"/>
      <c r="H2265" s="87" t="s">
        <v>67</v>
      </c>
      <c r="I2265" s="229">
        <v>2362657.13</v>
      </c>
      <c r="J2265" s="223">
        <f>I2265/D2264</f>
        <v>6590.4</v>
      </c>
      <c r="K2265" s="229">
        <v>7527</v>
      </c>
    </row>
    <row r="2266" spans="1:11" x14ac:dyDescent="0.25">
      <c r="A2266" s="310">
        <v>1147</v>
      </c>
      <c r="B2266" s="309"/>
      <c r="C2266" s="333"/>
      <c r="D2266" s="312"/>
      <c r="E2266" s="313"/>
      <c r="F2266" s="313"/>
      <c r="G2266" s="310"/>
      <c r="H2266" s="87" t="s">
        <v>69</v>
      </c>
      <c r="I2266" s="229">
        <v>32234.400000000001</v>
      </c>
      <c r="J2266" s="223">
        <f>I2266/D2264</f>
        <v>89.91</v>
      </c>
      <c r="K2266" s="229">
        <v>161</v>
      </c>
    </row>
    <row r="2267" spans="1:11" s="118" customFormat="1" ht="15.75" customHeight="1" x14ac:dyDescent="0.25">
      <c r="A2267" s="320">
        <f>A2264+1</f>
        <v>2</v>
      </c>
      <c r="B2267" s="340">
        <v>7399</v>
      </c>
      <c r="C2267" s="321" t="s">
        <v>703</v>
      </c>
      <c r="D2267" s="327">
        <v>221.12</v>
      </c>
      <c r="E2267" s="328" t="s">
        <v>167</v>
      </c>
      <c r="F2267" s="328">
        <v>2</v>
      </c>
      <c r="G2267" s="125"/>
      <c r="H2267" s="117" t="s">
        <v>66</v>
      </c>
      <c r="I2267" s="226">
        <f>I2268</f>
        <v>57491.199999999997</v>
      </c>
      <c r="J2267" s="226">
        <f>J2268</f>
        <v>260</v>
      </c>
      <c r="K2267" s="226">
        <f>K2268</f>
        <v>260</v>
      </c>
    </row>
    <row r="2268" spans="1:11" s="118" customFormat="1" ht="63" x14ac:dyDescent="0.25">
      <c r="A2268" s="320"/>
      <c r="B2268" s="341"/>
      <c r="C2268" s="321"/>
      <c r="D2268" s="327"/>
      <c r="E2268" s="328"/>
      <c r="F2268" s="328"/>
      <c r="G2268" s="155" t="s">
        <v>65</v>
      </c>
      <c r="H2268" s="117" t="s">
        <v>178</v>
      </c>
      <c r="I2268" s="226">
        <f>D2267*K2268</f>
        <v>57491.199999999997</v>
      </c>
      <c r="J2268" s="226">
        <f>I2268/D2267</f>
        <v>260</v>
      </c>
      <c r="K2268" s="226">
        <f>164+96</f>
        <v>260</v>
      </c>
    </row>
    <row r="2269" spans="1:11" s="118" customFormat="1" ht="15.75" customHeight="1" x14ac:dyDescent="0.25">
      <c r="A2269" s="340">
        <f>A2267+1</f>
        <v>3</v>
      </c>
      <c r="B2269" s="340">
        <v>7376</v>
      </c>
      <c r="C2269" s="352" t="s">
        <v>704</v>
      </c>
      <c r="D2269" s="322">
        <v>329.8</v>
      </c>
      <c r="E2269" s="324" t="s">
        <v>167</v>
      </c>
      <c r="F2269" s="324">
        <v>2</v>
      </c>
      <c r="G2269" s="125"/>
      <c r="H2269" s="117" t="s">
        <v>66</v>
      </c>
      <c r="I2269" s="226">
        <f>I2270+I2271</f>
        <v>59034.2</v>
      </c>
      <c r="J2269" s="226">
        <f>J2270+J2271</f>
        <v>179</v>
      </c>
      <c r="K2269" s="226">
        <f>K2270+K2271</f>
        <v>179</v>
      </c>
    </row>
    <row r="2270" spans="1:11" s="118" customFormat="1" ht="63" customHeight="1" x14ac:dyDescent="0.25">
      <c r="A2270" s="341"/>
      <c r="B2270" s="341"/>
      <c r="C2270" s="353"/>
      <c r="D2270" s="323"/>
      <c r="E2270" s="325"/>
      <c r="F2270" s="325"/>
      <c r="G2270" s="166" t="s">
        <v>70</v>
      </c>
      <c r="H2270" s="117" t="s">
        <v>231</v>
      </c>
      <c r="I2270" s="226">
        <f>D2269*K2270</f>
        <v>45182.6</v>
      </c>
      <c r="J2270" s="226">
        <f>I2270/D2269</f>
        <v>137</v>
      </c>
      <c r="K2270" s="226">
        <f>116+21</f>
        <v>137</v>
      </c>
    </row>
    <row r="2271" spans="1:11" s="118" customFormat="1" ht="67.5" customHeight="1" x14ac:dyDescent="0.25">
      <c r="A2271" s="341"/>
      <c r="B2271" s="341"/>
      <c r="C2271" s="353"/>
      <c r="D2271" s="323"/>
      <c r="E2271" s="325"/>
      <c r="F2271" s="325"/>
      <c r="G2271" s="166" t="s">
        <v>71</v>
      </c>
      <c r="H2271" s="117" t="s">
        <v>231</v>
      </c>
      <c r="I2271" s="226">
        <f>D2269*K2271</f>
        <v>13851.6</v>
      </c>
      <c r="J2271" s="226">
        <f>I2271/D2269</f>
        <v>42</v>
      </c>
      <c r="K2271" s="226">
        <f>21+21</f>
        <v>42</v>
      </c>
    </row>
    <row r="2272" spans="1:11" s="118" customFormat="1" ht="15.75" customHeight="1" x14ac:dyDescent="0.25">
      <c r="A2272" s="340">
        <f>A2269+1</f>
        <v>4</v>
      </c>
      <c r="B2272" s="340">
        <v>7377</v>
      </c>
      <c r="C2272" s="352" t="s">
        <v>705</v>
      </c>
      <c r="D2272" s="322">
        <v>329.8</v>
      </c>
      <c r="E2272" s="324" t="s">
        <v>167</v>
      </c>
      <c r="F2272" s="324">
        <v>2</v>
      </c>
      <c r="G2272" s="155"/>
      <c r="H2272" s="117" t="s">
        <v>66</v>
      </c>
      <c r="I2272" s="226">
        <f>I2273+I2274</f>
        <v>59034.2</v>
      </c>
      <c r="J2272" s="226">
        <f>J2273+J2274</f>
        <v>179</v>
      </c>
      <c r="K2272" s="226">
        <f>K2273+K2274</f>
        <v>179</v>
      </c>
    </row>
    <row r="2273" spans="1:11" s="118" customFormat="1" ht="63" customHeight="1" x14ac:dyDescent="0.25">
      <c r="A2273" s="341"/>
      <c r="B2273" s="341"/>
      <c r="C2273" s="353"/>
      <c r="D2273" s="323"/>
      <c r="E2273" s="325"/>
      <c r="F2273" s="325"/>
      <c r="G2273" s="166" t="s">
        <v>70</v>
      </c>
      <c r="H2273" s="117" t="s">
        <v>231</v>
      </c>
      <c r="I2273" s="226">
        <f>D2272*K2273</f>
        <v>45182.6</v>
      </c>
      <c r="J2273" s="226">
        <f>I2273/D2272</f>
        <v>137</v>
      </c>
      <c r="K2273" s="226">
        <f>116+21</f>
        <v>137</v>
      </c>
    </row>
    <row r="2274" spans="1:11" s="118" customFormat="1" ht="67.5" customHeight="1" x14ac:dyDescent="0.25">
      <c r="A2274" s="341"/>
      <c r="B2274" s="341"/>
      <c r="C2274" s="353"/>
      <c r="D2274" s="323"/>
      <c r="E2274" s="325"/>
      <c r="F2274" s="325"/>
      <c r="G2274" s="166" t="s">
        <v>71</v>
      </c>
      <c r="H2274" s="117" t="s">
        <v>231</v>
      </c>
      <c r="I2274" s="226">
        <f>D2272*K2274</f>
        <v>13851.6</v>
      </c>
      <c r="J2274" s="226">
        <f>I2274/D2272</f>
        <v>42</v>
      </c>
      <c r="K2274" s="226">
        <f>21+21</f>
        <v>42</v>
      </c>
    </row>
    <row r="2275" spans="1:11" s="118" customFormat="1" ht="15.75" customHeight="1" x14ac:dyDescent="0.25">
      <c r="A2275" s="340">
        <f>A2272+1</f>
        <v>5</v>
      </c>
      <c r="B2275" s="340">
        <v>7384</v>
      </c>
      <c r="C2275" s="352" t="s">
        <v>572</v>
      </c>
      <c r="D2275" s="322">
        <v>249.08</v>
      </c>
      <c r="E2275" s="324" t="s">
        <v>68</v>
      </c>
      <c r="F2275" s="324">
        <v>2</v>
      </c>
      <c r="G2275" s="125"/>
      <c r="H2275" s="117" t="s">
        <v>66</v>
      </c>
      <c r="I2275" s="226">
        <f>I2276+I2277</f>
        <v>67500.679999999993</v>
      </c>
      <c r="J2275" s="226">
        <f>J2276+J2277</f>
        <v>271</v>
      </c>
      <c r="K2275" s="226">
        <f>K2276+K2277</f>
        <v>271</v>
      </c>
    </row>
    <row r="2276" spans="1:11" s="118" customFormat="1" ht="63" customHeight="1" x14ac:dyDescent="0.25">
      <c r="A2276" s="341"/>
      <c r="B2276" s="341"/>
      <c r="C2276" s="353"/>
      <c r="D2276" s="323"/>
      <c r="E2276" s="325"/>
      <c r="F2276" s="325"/>
      <c r="G2276" s="340" t="s">
        <v>75</v>
      </c>
      <c r="H2276" s="117" t="s">
        <v>509</v>
      </c>
      <c r="I2276" s="226">
        <f>D2275*K2276</f>
        <v>17933.759999999998</v>
      </c>
      <c r="J2276" s="226">
        <f>I2276/D2275</f>
        <v>72</v>
      </c>
      <c r="K2276" s="226">
        <f>45+27</f>
        <v>72</v>
      </c>
    </row>
    <row r="2277" spans="1:11" s="118" customFormat="1" ht="67.5" customHeight="1" x14ac:dyDescent="0.25">
      <c r="A2277" s="341"/>
      <c r="B2277" s="341"/>
      <c r="C2277" s="353"/>
      <c r="D2277" s="323"/>
      <c r="E2277" s="325"/>
      <c r="F2277" s="325"/>
      <c r="G2277" s="342"/>
      <c r="H2277" s="117" t="s">
        <v>488</v>
      </c>
      <c r="I2277" s="266">
        <f>D2275*K2277</f>
        <v>49566.92</v>
      </c>
      <c r="J2277" s="226">
        <f>I2277/D2275</f>
        <v>199</v>
      </c>
      <c r="K2277" s="226">
        <f>171+28</f>
        <v>199</v>
      </c>
    </row>
    <row r="2278" spans="1:11" x14ac:dyDescent="0.25">
      <c r="A2278" s="81" t="s">
        <v>43</v>
      </c>
      <c r="B2278" s="165"/>
      <c r="C2278" s="124"/>
      <c r="D2278" s="80">
        <f>D2279+D2281+D2283+D2285+D2292+D2299+D2303+D2307+D2314+D2324+D2328+D2332+D2336+D2343+D2350+D2352+D2356+D2360+D2363+D2366+D2368+D2371+D2376+D2381+D2388+D2395+D2399</f>
        <v>22695.91</v>
      </c>
      <c r="E2278" s="80"/>
      <c r="F2278" s="95"/>
      <c r="G2278" s="151"/>
      <c r="H2278" s="92"/>
      <c r="I2278" s="223">
        <f>I2279+I2281+I2283+I2285+I2292+I2299+I2303+I2307+I2314+I2324+I2328+I2332+I2336+I2343+I2350+I2352+I2356+I2360+I2363+I2366+I2368+I2371+I2376+I2381+I2388+I2395+I2399</f>
        <v>36850031.07</v>
      </c>
      <c r="J2278" s="223"/>
      <c r="K2278" s="223"/>
    </row>
    <row r="2279" spans="1:11" x14ac:dyDescent="0.25">
      <c r="A2279" s="346">
        <v>1</v>
      </c>
      <c r="B2279" s="346">
        <v>6855</v>
      </c>
      <c r="C2279" s="348" t="s">
        <v>304</v>
      </c>
      <c r="D2279" s="312">
        <v>396.5</v>
      </c>
      <c r="E2279" s="312" t="s">
        <v>68</v>
      </c>
      <c r="F2279" s="330">
        <v>2</v>
      </c>
      <c r="G2279" s="161"/>
      <c r="H2279" s="87" t="s">
        <v>66</v>
      </c>
      <c r="I2279" s="223">
        <f>SUM(I2280:I2280)</f>
        <v>16653</v>
      </c>
      <c r="J2279" s="223">
        <f>SUM(J2280:J2280)</f>
        <v>42</v>
      </c>
      <c r="K2279" s="223">
        <f>SUM(K2280:K2280)</f>
        <v>42</v>
      </c>
    </row>
    <row r="2280" spans="1:11" ht="63" x14ac:dyDescent="0.25">
      <c r="A2280" s="347"/>
      <c r="B2280" s="347"/>
      <c r="C2280" s="349"/>
      <c r="D2280" s="329"/>
      <c r="E2280" s="329"/>
      <c r="F2280" s="331"/>
      <c r="G2280" s="148" t="s">
        <v>71</v>
      </c>
      <c r="H2280" s="87" t="s">
        <v>168</v>
      </c>
      <c r="I2280" s="223">
        <f>D2279*K2280</f>
        <v>16653</v>
      </c>
      <c r="J2280" s="223">
        <f>I2280/D2279</f>
        <v>42</v>
      </c>
      <c r="K2280" s="223">
        <f>21+21</f>
        <v>42</v>
      </c>
    </row>
    <row r="2281" spans="1:11" x14ac:dyDescent="0.25">
      <c r="A2281" s="346">
        <f>A2279+1</f>
        <v>2</v>
      </c>
      <c r="B2281" s="346">
        <v>7023</v>
      </c>
      <c r="C2281" s="348" t="s">
        <v>305</v>
      </c>
      <c r="D2281" s="312">
        <v>1276.9000000000001</v>
      </c>
      <c r="E2281" s="312" t="s">
        <v>68</v>
      </c>
      <c r="F2281" s="330">
        <v>4</v>
      </c>
      <c r="G2281" s="161"/>
      <c r="H2281" s="87" t="s">
        <v>66</v>
      </c>
      <c r="I2281" s="223">
        <f>SUM(I2282:I2282)</f>
        <v>60014.3</v>
      </c>
      <c r="J2281" s="223">
        <f>SUM(J2282:J2282)</f>
        <v>47</v>
      </c>
      <c r="K2281" s="223">
        <f>SUM(K2282:K2282)</f>
        <v>47</v>
      </c>
    </row>
    <row r="2282" spans="1:11" ht="63" x14ac:dyDescent="0.25">
      <c r="A2282" s="347"/>
      <c r="B2282" s="347"/>
      <c r="C2282" s="349"/>
      <c r="D2282" s="329"/>
      <c r="E2282" s="329"/>
      <c r="F2282" s="331"/>
      <c r="G2282" s="148" t="s">
        <v>74</v>
      </c>
      <c r="H2282" s="87" t="s">
        <v>168</v>
      </c>
      <c r="I2282" s="223">
        <f>D2281*K2282</f>
        <v>60014.3</v>
      </c>
      <c r="J2282" s="223">
        <f>I2282/D2281</f>
        <v>47</v>
      </c>
      <c r="K2282" s="223">
        <f>34+13</f>
        <v>47</v>
      </c>
    </row>
    <row r="2283" spans="1:11" x14ac:dyDescent="0.25">
      <c r="A2283" s="346">
        <f>A2281+1</f>
        <v>3</v>
      </c>
      <c r="B2283" s="346">
        <v>7024</v>
      </c>
      <c r="C2283" s="348" t="s">
        <v>306</v>
      </c>
      <c r="D2283" s="312">
        <v>1249.5999999999999</v>
      </c>
      <c r="E2283" s="312" t="s">
        <v>68</v>
      </c>
      <c r="F2283" s="330">
        <v>4</v>
      </c>
      <c r="G2283" s="161"/>
      <c r="H2283" s="87" t="s">
        <v>66</v>
      </c>
      <c r="I2283" s="223">
        <f>SUM(I2284:I2284)</f>
        <v>58731.199999999997</v>
      </c>
      <c r="J2283" s="223">
        <f>SUM(J2284:J2284)</f>
        <v>47</v>
      </c>
      <c r="K2283" s="223">
        <f>SUM(K2284:K2284)</f>
        <v>47</v>
      </c>
    </row>
    <row r="2284" spans="1:11" ht="63" x14ac:dyDescent="0.25">
      <c r="A2284" s="347"/>
      <c r="B2284" s="347"/>
      <c r="C2284" s="349"/>
      <c r="D2284" s="329"/>
      <c r="E2284" s="329"/>
      <c r="F2284" s="331"/>
      <c r="G2284" s="148" t="s">
        <v>74</v>
      </c>
      <c r="H2284" s="87" t="s">
        <v>168</v>
      </c>
      <c r="I2284" s="223">
        <f>D2283*K2284</f>
        <v>58731.199999999997</v>
      </c>
      <c r="J2284" s="223">
        <f>I2284/D2283</f>
        <v>47</v>
      </c>
      <c r="K2284" s="223">
        <f>34+13</f>
        <v>47</v>
      </c>
    </row>
    <row r="2285" spans="1:11" x14ac:dyDescent="0.25">
      <c r="A2285" s="346">
        <f>A2283+1</f>
        <v>4</v>
      </c>
      <c r="B2285" s="346">
        <v>6966</v>
      </c>
      <c r="C2285" s="348" t="s">
        <v>308</v>
      </c>
      <c r="D2285" s="312">
        <v>376.1</v>
      </c>
      <c r="E2285" s="312" t="s">
        <v>167</v>
      </c>
      <c r="F2285" s="330">
        <v>2</v>
      </c>
      <c r="G2285" s="161"/>
      <c r="H2285" s="87" t="s">
        <v>66</v>
      </c>
      <c r="I2285" s="223">
        <f>SUM(I2286:I2291)</f>
        <v>864998.82</v>
      </c>
      <c r="J2285" s="223">
        <f>SUM(J2286:J2291)</f>
        <v>2299.92</v>
      </c>
      <c r="K2285" s="223">
        <f>SUM(K2286:K2291)</f>
        <v>4051</v>
      </c>
    </row>
    <row r="2286" spans="1:11" ht="31.5" customHeight="1" x14ac:dyDescent="0.25">
      <c r="A2286" s="347"/>
      <c r="B2286" s="347"/>
      <c r="C2286" s="349"/>
      <c r="D2286" s="329"/>
      <c r="E2286" s="329"/>
      <c r="F2286" s="331"/>
      <c r="G2286" s="307" t="s">
        <v>70</v>
      </c>
      <c r="H2286" s="96" t="s">
        <v>67</v>
      </c>
      <c r="I2286" s="226">
        <v>713031.26</v>
      </c>
      <c r="J2286" s="223">
        <f>I2286/D2285</f>
        <v>1895.86</v>
      </c>
      <c r="K2286" s="223">
        <v>2911</v>
      </c>
    </row>
    <row r="2287" spans="1:11" x14ac:dyDescent="0.25">
      <c r="A2287" s="347"/>
      <c r="B2287" s="347"/>
      <c r="C2287" s="349"/>
      <c r="D2287" s="329"/>
      <c r="E2287" s="329"/>
      <c r="F2287" s="331"/>
      <c r="G2287" s="309"/>
      <c r="H2287" s="96" t="s">
        <v>69</v>
      </c>
      <c r="I2287" s="226">
        <f>I2286*0.0214</f>
        <v>15258.87</v>
      </c>
      <c r="J2287" s="223">
        <f>I2287/D2285</f>
        <v>40.57</v>
      </c>
      <c r="K2287" s="223">
        <v>62</v>
      </c>
    </row>
    <row r="2288" spans="1:11" ht="30" customHeight="1" x14ac:dyDescent="0.25">
      <c r="A2288" s="347"/>
      <c r="B2288" s="347"/>
      <c r="C2288" s="349"/>
      <c r="D2288" s="329"/>
      <c r="E2288" s="329"/>
      <c r="F2288" s="331"/>
      <c r="G2288" s="307" t="s">
        <v>71</v>
      </c>
      <c r="H2288" s="96" t="s">
        <v>67</v>
      </c>
      <c r="I2288" s="226">
        <v>105783</v>
      </c>
      <c r="J2288" s="223">
        <f>I2288/D2285</f>
        <v>281.26</v>
      </c>
      <c r="K2288" s="223">
        <v>513</v>
      </c>
    </row>
    <row r="2289" spans="1:11" ht="30" customHeight="1" x14ac:dyDescent="0.25">
      <c r="A2289" s="347"/>
      <c r="B2289" s="347"/>
      <c r="C2289" s="349"/>
      <c r="D2289" s="329"/>
      <c r="E2289" s="329"/>
      <c r="F2289" s="331"/>
      <c r="G2289" s="309"/>
      <c r="H2289" s="96" t="s">
        <v>69</v>
      </c>
      <c r="I2289" s="226">
        <f>I2288*0.0214</f>
        <v>2263.7600000000002</v>
      </c>
      <c r="J2289" s="223">
        <f>I2289/D2285</f>
        <v>6.02</v>
      </c>
      <c r="K2289" s="223">
        <v>11</v>
      </c>
    </row>
    <row r="2290" spans="1:11" ht="30" customHeight="1" x14ac:dyDescent="0.25">
      <c r="A2290" s="347"/>
      <c r="B2290" s="347"/>
      <c r="C2290" s="349"/>
      <c r="D2290" s="329"/>
      <c r="E2290" s="329"/>
      <c r="F2290" s="331"/>
      <c r="G2290" s="307" t="s">
        <v>72</v>
      </c>
      <c r="H2290" s="96" t="s">
        <v>67</v>
      </c>
      <c r="I2290" s="226">
        <v>28061.42</v>
      </c>
      <c r="J2290" s="223">
        <f>I2290/D2285</f>
        <v>74.61</v>
      </c>
      <c r="K2290" s="223">
        <v>542</v>
      </c>
    </row>
    <row r="2291" spans="1:11" ht="30" customHeight="1" x14ac:dyDescent="0.25">
      <c r="A2291" s="347"/>
      <c r="B2291" s="347"/>
      <c r="C2291" s="350"/>
      <c r="D2291" s="329"/>
      <c r="E2291" s="329"/>
      <c r="F2291" s="332"/>
      <c r="G2291" s="309"/>
      <c r="H2291" s="96" t="s">
        <v>69</v>
      </c>
      <c r="I2291" s="226">
        <f>I2290*0.0214</f>
        <v>600.51</v>
      </c>
      <c r="J2291" s="223">
        <f>I2291/D2285</f>
        <v>1.6</v>
      </c>
      <c r="K2291" s="223">
        <v>12</v>
      </c>
    </row>
    <row r="2292" spans="1:11" x14ac:dyDescent="0.25">
      <c r="A2292" s="346">
        <f>A2285+1</f>
        <v>5</v>
      </c>
      <c r="B2292" s="346">
        <v>6968</v>
      </c>
      <c r="C2292" s="348" t="s">
        <v>309</v>
      </c>
      <c r="D2292" s="312">
        <v>393.8</v>
      </c>
      <c r="E2292" s="312" t="s">
        <v>167</v>
      </c>
      <c r="F2292" s="330">
        <v>2</v>
      </c>
      <c r="G2292" s="161"/>
      <c r="H2292" s="87" t="s">
        <v>66</v>
      </c>
      <c r="I2292" s="226">
        <f>SUM(I2293:I2298)</f>
        <v>870033.34</v>
      </c>
      <c r="J2292" s="223">
        <f>SUM(J2293:J2298)</f>
        <v>2209.33</v>
      </c>
      <c r="K2292" s="223">
        <f>SUM(K2293:K2298)</f>
        <v>4051</v>
      </c>
    </row>
    <row r="2293" spans="1:11" x14ac:dyDescent="0.25">
      <c r="A2293" s="347"/>
      <c r="B2293" s="347"/>
      <c r="C2293" s="349"/>
      <c r="D2293" s="329"/>
      <c r="E2293" s="329"/>
      <c r="F2293" s="331"/>
      <c r="G2293" s="307" t="s">
        <v>70</v>
      </c>
      <c r="H2293" s="96" t="s">
        <v>67</v>
      </c>
      <c r="I2293" s="226">
        <v>713031.26</v>
      </c>
      <c r="J2293" s="223">
        <f>I2293/D2292</f>
        <v>1810.64</v>
      </c>
      <c r="K2293" s="223">
        <v>2911</v>
      </c>
    </row>
    <row r="2294" spans="1:11" x14ac:dyDescent="0.25">
      <c r="A2294" s="347"/>
      <c r="B2294" s="347"/>
      <c r="C2294" s="349"/>
      <c r="D2294" s="329"/>
      <c r="E2294" s="329"/>
      <c r="F2294" s="331"/>
      <c r="G2294" s="309"/>
      <c r="H2294" s="96" t="s">
        <v>69</v>
      </c>
      <c r="I2294" s="226">
        <f>I2293*0.0214</f>
        <v>15258.87</v>
      </c>
      <c r="J2294" s="223">
        <f>I2294/D2292</f>
        <v>38.75</v>
      </c>
      <c r="K2294" s="223">
        <v>62</v>
      </c>
    </row>
    <row r="2295" spans="1:11" ht="23.25" customHeight="1" x14ac:dyDescent="0.25">
      <c r="A2295" s="347"/>
      <c r="B2295" s="347"/>
      <c r="C2295" s="349"/>
      <c r="D2295" s="329"/>
      <c r="E2295" s="329"/>
      <c r="F2295" s="331"/>
      <c r="G2295" s="307" t="s">
        <v>71</v>
      </c>
      <c r="H2295" s="96" t="s">
        <v>67</v>
      </c>
      <c r="I2295" s="226">
        <v>29990.45</v>
      </c>
      <c r="J2295" s="223">
        <f>I2295/D2292</f>
        <v>76.16</v>
      </c>
      <c r="K2295" s="223">
        <v>513</v>
      </c>
    </row>
    <row r="2296" spans="1:11" ht="23.25" customHeight="1" x14ac:dyDescent="0.25">
      <c r="A2296" s="347"/>
      <c r="B2296" s="347"/>
      <c r="C2296" s="349"/>
      <c r="D2296" s="329"/>
      <c r="E2296" s="329"/>
      <c r="F2296" s="331"/>
      <c r="G2296" s="309"/>
      <c r="H2296" s="96" t="s">
        <v>69</v>
      </c>
      <c r="I2296" s="226">
        <f>I2295*0.0214</f>
        <v>641.79999999999995</v>
      </c>
      <c r="J2296" s="223">
        <f>I2296/D2292</f>
        <v>1.63</v>
      </c>
      <c r="K2296" s="223">
        <v>11</v>
      </c>
    </row>
    <row r="2297" spans="1:11" ht="23.25" customHeight="1" x14ac:dyDescent="0.25">
      <c r="A2297" s="347"/>
      <c r="B2297" s="347"/>
      <c r="C2297" s="349"/>
      <c r="D2297" s="329"/>
      <c r="E2297" s="329"/>
      <c r="F2297" s="331"/>
      <c r="G2297" s="307" t="s">
        <v>72</v>
      </c>
      <c r="H2297" s="96" t="s">
        <v>67</v>
      </c>
      <c r="I2297" s="226">
        <v>108783</v>
      </c>
      <c r="J2297" s="223">
        <f>I2297/D2292</f>
        <v>276.24</v>
      </c>
      <c r="K2297" s="223">
        <v>542</v>
      </c>
    </row>
    <row r="2298" spans="1:11" ht="23.25" customHeight="1" x14ac:dyDescent="0.25">
      <c r="A2298" s="347"/>
      <c r="B2298" s="347"/>
      <c r="C2298" s="350"/>
      <c r="D2298" s="329"/>
      <c r="E2298" s="329"/>
      <c r="F2298" s="332"/>
      <c r="G2298" s="309"/>
      <c r="H2298" s="96" t="s">
        <v>69</v>
      </c>
      <c r="I2298" s="226">
        <f>I2297*0.0214</f>
        <v>2327.96</v>
      </c>
      <c r="J2298" s="223">
        <f>I2298/D2292</f>
        <v>5.91</v>
      </c>
      <c r="K2298" s="223">
        <v>12</v>
      </c>
    </row>
    <row r="2299" spans="1:11" x14ac:dyDescent="0.25">
      <c r="A2299" s="346">
        <f>A2292+1</f>
        <v>6</v>
      </c>
      <c r="B2299" s="346">
        <v>6974</v>
      </c>
      <c r="C2299" s="348" t="s">
        <v>310</v>
      </c>
      <c r="D2299" s="312">
        <v>629.72</v>
      </c>
      <c r="E2299" s="312" t="s">
        <v>167</v>
      </c>
      <c r="F2299" s="330">
        <v>2</v>
      </c>
      <c r="G2299" s="161"/>
      <c r="H2299" s="87" t="s">
        <v>66</v>
      </c>
      <c r="I2299" s="223">
        <f>SUM(I2300:I2302)</f>
        <v>136649.24</v>
      </c>
      <c r="J2299" s="223">
        <f>SUM(J2300:J2302)</f>
        <v>217</v>
      </c>
      <c r="K2299" s="223">
        <f>SUM(K2300:K2302)</f>
        <v>217</v>
      </c>
    </row>
    <row r="2300" spans="1:11" ht="63" x14ac:dyDescent="0.25">
      <c r="A2300" s="347"/>
      <c r="B2300" s="347"/>
      <c r="C2300" s="349"/>
      <c r="D2300" s="329"/>
      <c r="E2300" s="329"/>
      <c r="F2300" s="331"/>
      <c r="G2300" s="148" t="s">
        <v>70</v>
      </c>
      <c r="H2300" s="87" t="s">
        <v>168</v>
      </c>
      <c r="I2300" s="223">
        <f>D2299*K2300</f>
        <v>86271.64</v>
      </c>
      <c r="J2300" s="223">
        <f>I2300/D2299</f>
        <v>137</v>
      </c>
      <c r="K2300" s="223">
        <f>116+21</f>
        <v>137</v>
      </c>
    </row>
    <row r="2301" spans="1:11" ht="63" x14ac:dyDescent="0.25">
      <c r="A2301" s="347"/>
      <c r="B2301" s="347"/>
      <c r="C2301" s="349"/>
      <c r="D2301" s="329"/>
      <c r="E2301" s="329"/>
      <c r="F2301" s="331"/>
      <c r="G2301" s="148" t="s">
        <v>71</v>
      </c>
      <c r="H2301" s="87" t="s">
        <v>168</v>
      </c>
      <c r="I2301" s="223">
        <f>D2299*K2301</f>
        <v>24559.08</v>
      </c>
      <c r="J2301" s="223">
        <f>I2301/D2299</f>
        <v>39</v>
      </c>
      <c r="K2301" s="223">
        <f>30+9</f>
        <v>39</v>
      </c>
    </row>
    <row r="2302" spans="1:11" ht="63" x14ac:dyDescent="0.25">
      <c r="A2302" s="347"/>
      <c r="B2302" s="347"/>
      <c r="C2302" s="350"/>
      <c r="D2302" s="329"/>
      <c r="E2302" s="329"/>
      <c r="F2302" s="332"/>
      <c r="G2302" s="148" t="s">
        <v>72</v>
      </c>
      <c r="H2302" s="87" t="s">
        <v>168</v>
      </c>
      <c r="I2302" s="223">
        <f>D2299*K2302</f>
        <v>25818.52</v>
      </c>
      <c r="J2302" s="223">
        <f>I2302/D2299</f>
        <v>41</v>
      </c>
      <c r="K2302" s="223">
        <f>22+19</f>
        <v>41</v>
      </c>
    </row>
    <row r="2303" spans="1:11" x14ac:dyDescent="0.25">
      <c r="A2303" s="346">
        <f>A2299+1</f>
        <v>7</v>
      </c>
      <c r="B2303" s="346">
        <v>6975</v>
      </c>
      <c r="C2303" s="348" t="s">
        <v>311</v>
      </c>
      <c r="D2303" s="312">
        <v>629.1</v>
      </c>
      <c r="E2303" s="312" t="s">
        <v>167</v>
      </c>
      <c r="F2303" s="330">
        <v>2</v>
      </c>
      <c r="G2303" s="161"/>
      <c r="H2303" s="87" t="s">
        <v>66</v>
      </c>
      <c r="I2303" s="223">
        <f>SUM(I2304:I2306)</f>
        <v>136514.70000000001</v>
      </c>
      <c r="J2303" s="223">
        <f>SUM(J2304:J2306)</f>
        <v>217</v>
      </c>
      <c r="K2303" s="223">
        <f>SUM(K2304:K2306)</f>
        <v>217</v>
      </c>
    </row>
    <row r="2304" spans="1:11" ht="63" x14ac:dyDescent="0.25">
      <c r="A2304" s="347"/>
      <c r="B2304" s="347"/>
      <c r="C2304" s="349"/>
      <c r="D2304" s="329"/>
      <c r="E2304" s="329"/>
      <c r="F2304" s="331"/>
      <c r="G2304" s="148" t="s">
        <v>70</v>
      </c>
      <c r="H2304" s="87" t="s">
        <v>168</v>
      </c>
      <c r="I2304" s="223">
        <f>D2303*K2304</f>
        <v>86186.7</v>
      </c>
      <c r="J2304" s="223">
        <f>I2304/D2303</f>
        <v>137</v>
      </c>
      <c r="K2304" s="223">
        <f>116+21</f>
        <v>137</v>
      </c>
    </row>
    <row r="2305" spans="1:11" ht="63" x14ac:dyDescent="0.25">
      <c r="A2305" s="347"/>
      <c r="B2305" s="347"/>
      <c r="C2305" s="349"/>
      <c r="D2305" s="329"/>
      <c r="E2305" s="329"/>
      <c r="F2305" s="331"/>
      <c r="G2305" s="148" t="s">
        <v>71</v>
      </c>
      <c r="H2305" s="87" t="s">
        <v>168</v>
      </c>
      <c r="I2305" s="223">
        <f>D2303*K2305</f>
        <v>24534.9</v>
      </c>
      <c r="J2305" s="223">
        <f>I2305/D2303</f>
        <v>39</v>
      </c>
      <c r="K2305" s="223">
        <f>30+9</f>
        <v>39</v>
      </c>
    </row>
    <row r="2306" spans="1:11" ht="63" x14ac:dyDescent="0.25">
      <c r="A2306" s="347"/>
      <c r="B2306" s="347"/>
      <c r="C2306" s="350"/>
      <c r="D2306" s="329"/>
      <c r="E2306" s="329"/>
      <c r="F2306" s="332"/>
      <c r="G2306" s="148" t="s">
        <v>72</v>
      </c>
      <c r="H2306" s="87" t="s">
        <v>168</v>
      </c>
      <c r="I2306" s="223">
        <f>D2303*K2306</f>
        <v>25793.1</v>
      </c>
      <c r="J2306" s="223">
        <f>I2306/D2303</f>
        <v>41</v>
      </c>
      <c r="K2306" s="223">
        <f>22+19</f>
        <v>41</v>
      </c>
    </row>
    <row r="2307" spans="1:11" x14ac:dyDescent="0.25">
      <c r="A2307" s="346">
        <f>A2303+1</f>
        <v>8</v>
      </c>
      <c r="B2307" s="346">
        <v>6979</v>
      </c>
      <c r="C2307" s="348" t="s">
        <v>312</v>
      </c>
      <c r="D2307" s="312">
        <v>340.5</v>
      </c>
      <c r="E2307" s="312" t="s">
        <v>167</v>
      </c>
      <c r="F2307" s="330">
        <v>2</v>
      </c>
      <c r="G2307" s="161"/>
      <c r="H2307" s="87" t="s">
        <v>66</v>
      </c>
      <c r="I2307" s="223">
        <f>SUM(I2308:I2313)</f>
        <v>868063.02</v>
      </c>
      <c r="J2307" s="223">
        <f>SUM(J2308:J2313)</f>
        <v>2549.38</v>
      </c>
      <c r="K2307" s="223">
        <f>SUM(K2308:K2313)</f>
        <v>4051</v>
      </c>
    </row>
    <row r="2308" spans="1:11" x14ac:dyDescent="0.25">
      <c r="A2308" s="347"/>
      <c r="B2308" s="347"/>
      <c r="C2308" s="349"/>
      <c r="D2308" s="312"/>
      <c r="E2308" s="329"/>
      <c r="F2308" s="331"/>
      <c r="G2308" s="307" t="s">
        <v>70</v>
      </c>
      <c r="H2308" s="96" t="s">
        <v>67</v>
      </c>
      <c r="I2308" s="226">
        <v>713031.26</v>
      </c>
      <c r="J2308" s="223">
        <f>I2308/D2307+0.01</f>
        <v>2094.08</v>
      </c>
      <c r="K2308" s="223">
        <v>2911</v>
      </c>
    </row>
    <row r="2309" spans="1:11" x14ac:dyDescent="0.25">
      <c r="A2309" s="347"/>
      <c r="B2309" s="347"/>
      <c r="C2309" s="349"/>
      <c r="D2309" s="312"/>
      <c r="E2309" s="329"/>
      <c r="F2309" s="331"/>
      <c r="G2309" s="309"/>
      <c r="H2309" s="96" t="s">
        <v>69</v>
      </c>
      <c r="I2309" s="226">
        <f>I2308*0.0214</f>
        <v>15258.87</v>
      </c>
      <c r="J2309" s="223">
        <f>I2309/D2307</f>
        <v>44.81</v>
      </c>
      <c r="K2309" s="223">
        <v>62</v>
      </c>
    </row>
    <row r="2310" spans="1:11" x14ac:dyDescent="0.25">
      <c r="A2310" s="347"/>
      <c r="B2310" s="347"/>
      <c r="C2310" s="349"/>
      <c r="D2310" s="312"/>
      <c r="E2310" s="329"/>
      <c r="F2310" s="331"/>
      <c r="G2310" s="307" t="s">
        <v>71</v>
      </c>
      <c r="H2310" s="96" t="s">
        <v>67</v>
      </c>
      <c r="I2310" s="226">
        <v>28061.42</v>
      </c>
      <c r="J2310" s="223">
        <f>I2310/D2307</f>
        <v>82.41</v>
      </c>
      <c r="K2310" s="223">
        <v>513</v>
      </c>
    </row>
    <row r="2311" spans="1:11" x14ac:dyDescent="0.25">
      <c r="A2311" s="347"/>
      <c r="B2311" s="347"/>
      <c r="C2311" s="349"/>
      <c r="D2311" s="312"/>
      <c r="E2311" s="329"/>
      <c r="F2311" s="331"/>
      <c r="G2311" s="309"/>
      <c r="H2311" s="96" t="s">
        <v>69</v>
      </c>
      <c r="I2311" s="226">
        <f>I2310*0.0214</f>
        <v>600.51</v>
      </c>
      <c r="J2311" s="223">
        <f>I2311/D2307</f>
        <v>1.76</v>
      </c>
      <c r="K2311" s="223">
        <v>11</v>
      </c>
    </row>
    <row r="2312" spans="1:11" x14ac:dyDescent="0.25">
      <c r="A2312" s="347"/>
      <c r="B2312" s="347"/>
      <c r="C2312" s="349"/>
      <c r="D2312" s="312"/>
      <c r="E2312" s="329"/>
      <c r="F2312" s="331"/>
      <c r="G2312" s="307" t="s">
        <v>72</v>
      </c>
      <c r="H2312" s="96" t="s">
        <v>67</v>
      </c>
      <c r="I2312" s="226">
        <v>108783</v>
      </c>
      <c r="J2312" s="223">
        <f>I2312/D2307</f>
        <v>319.48</v>
      </c>
      <c r="K2312" s="223">
        <v>542</v>
      </c>
    </row>
    <row r="2313" spans="1:11" x14ac:dyDescent="0.25">
      <c r="A2313" s="347"/>
      <c r="B2313" s="347"/>
      <c r="C2313" s="350"/>
      <c r="D2313" s="312"/>
      <c r="E2313" s="329"/>
      <c r="F2313" s="332"/>
      <c r="G2313" s="309"/>
      <c r="H2313" s="96" t="s">
        <v>69</v>
      </c>
      <c r="I2313" s="226">
        <f>I2312*0.0214</f>
        <v>2327.96</v>
      </c>
      <c r="J2313" s="223">
        <f>I2313/D2307</f>
        <v>6.84</v>
      </c>
      <c r="K2313" s="223">
        <v>12</v>
      </c>
    </row>
    <row r="2314" spans="1:11" x14ac:dyDescent="0.25">
      <c r="A2314" s="346">
        <f>A2307+1</f>
        <v>9</v>
      </c>
      <c r="B2314" s="346">
        <v>6980</v>
      </c>
      <c r="C2314" s="348" t="s">
        <v>313</v>
      </c>
      <c r="D2314" s="312">
        <v>645.70000000000005</v>
      </c>
      <c r="E2314" s="312" t="s">
        <v>68</v>
      </c>
      <c r="F2314" s="330">
        <v>2</v>
      </c>
      <c r="G2314" s="161"/>
      <c r="H2314" s="87" t="s">
        <v>66</v>
      </c>
      <c r="I2314" s="223">
        <f>SUM(I2315:I2323)</f>
        <v>2909233.63</v>
      </c>
      <c r="J2314" s="223">
        <f>SUM(J2315:J2323)</f>
        <v>4505.55</v>
      </c>
      <c r="K2314" s="223">
        <f>SUM(K2315:K2323)</f>
        <v>4506</v>
      </c>
    </row>
    <row r="2315" spans="1:11" ht="63" x14ac:dyDescent="0.25">
      <c r="A2315" s="347"/>
      <c r="B2315" s="347"/>
      <c r="C2315" s="349"/>
      <c r="D2315" s="329"/>
      <c r="E2315" s="329"/>
      <c r="F2315" s="331"/>
      <c r="G2315" s="307" t="s">
        <v>70</v>
      </c>
      <c r="H2315" s="87" t="s">
        <v>168</v>
      </c>
      <c r="I2315" s="223">
        <f>D2314*K2315</f>
        <v>88460.9</v>
      </c>
      <c r="J2315" s="223">
        <f>I2315/D2314</f>
        <v>137</v>
      </c>
      <c r="K2315" s="223">
        <f>116+21</f>
        <v>137</v>
      </c>
    </row>
    <row r="2316" spans="1:11" x14ac:dyDescent="0.25">
      <c r="A2316" s="347"/>
      <c r="B2316" s="347"/>
      <c r="C2316" s="349"/>
      <c r="D2316" s="329"/>
      <c r="E2316" s="329"/>
      <c r="F2316" s="331"/>
      <c r="G2316" s="308"/>
      <c r="H2316" s="87" t="s">
        <v>67</v>
      </c>
      <c r="I2316" s="223">
        <f>D2314*K2316</f>
        <v>1879632.7</v>
      </c>
      <c r="J2316" s="223">
        <f>I2316/D2314</f>
        <v>2911</v>
      </c>
      <c r="K2316" s="223">
        <v>2911</v>
      </c>
    </row>
    <row r="2317" spans="1:11" x14ac:dyDescent="0.25">
      <c r="A2317" s="347"/>
      <c r="B2317" s="347"/>
      <c r="C2317" s="349"/>
      <c r="D2317" s="329"/>
      <c r="E2317" s="329"/>
      <c r="F2317" s="331"/>
      <c r="G2317" s="309"/>
      <c r="H2317" s="87" t="s">
        <v>69</v>
      </c>
      <c r="I2317" s="226">
        <v>39833.230000000003</v>
      </c>
      <c r="J2317" s="223">
        <f>I2317/D2314</f>
        <v>61.69</v>
      </c>
      <c r="K2317" s="223">
        <v>62</v>
      </c>
    </row>
    <row r="2318" spans="1:11" ht="63" x14ac:dyDescent="0.25">
      <c r="A2318" s="347"/>
      <c r="B2318" s="347"/>
      <c r="C2318" s="349"/>
      <c r="D2318" s="329"/>
      <c r="E2318" s="329"/>
      <c r="F2318" s="331"/>
      <c r="G2318" s="307" t="s">
        <v>71</v>
      </c>
      <c r="H2318" s="87" t="s">
        <v>168</v>
      </c>
      <c r="I2318" s="223">
        <f>D2314*K2318</f>
        <v>25182.3</v>
      </c>
      <c r="J2318" s="223">
        <f>I2318/D2314</f>
        <v>39</v>
      </c>
      <c r="K2318" s="223">
        <f>30+9</f>
        <v>39</v>
      </c>
    </row>
    <row r="2319" spans="1:11" x14ac:dyDescent="0.25">
      <c r="A2319" s="347"/>
      <c r="B2319" s="347"/>
      <c r="C2319" s="349"/>
      <c r="D2319" s="329"/>
      <c r="E2319" s="329"/>
      <c r="F2319" s="331"/>
      <c r="G2319" s="308"/>
      <c r="H2319" s="87" t="s">
        <v>67</v>
      </c>
      <c r="I2319" s="223">
        <f>D2314*K2319</f>
        <v>481692.2</v>
      </c>
      <c r="J2319" s="223">
        <f>I2319/D2314</f>
        <v>746</v>
      </c>
      <c r="K2319" s="223">
        <v>746</v>
      </c>
    </row>
    <row r="2320" spans="1:11" x14ac:dyDescent="0.25">
      <c r="A2320" s="347"/>
      <c r="B2320" s="347"/>
      <c r="C2320" s="349"/>
      <c r="D2320" s="329"/>
      <c r="E2320" s="329"/>
      <c r="F2320" s="331"/>
      <c r="G2320" s="309"/>
      <c r="H2320" s="87" t="s">
        <v>69</v>
      </c>
      <c r="I2320" s="226">
        <v>10279.540000000001</v>
      </c>
      <c r="J2320" s="223">
        <f>I2320/D2314</f>
        <v>15.92</v>
      </c>
      <c r="K2320" s="223">
        <v>16</v>
      </c>
    </row>
    <row r="2321" spans="1:11" ht="63" x14ac:dyDescent="0.25">
      <c r="A2321" s="347"/>
      <c r="B2321" s="347"/>
      <c r="C2321" s="349"/>
      <c r="D2321" s="329"/>
      <c r="E2321" s="329"/>
      <c r="F2321" s="331"/>
      <c r="G2321" s="307" t="s">
        <v>72</v>
      </c>
      <c r="H2321" s="87" t="s">
        <v>168</v>
      </c>
      <c r="I2321" s="223">
        <f>D2314*K2321</f>
        <v>26473.7</v>
      </c>
      <c r="J2321" s="223">
        <f>I2321/D2314</f>
        <v>41</v>
      </c>
      <c r="K2321" s="223">
        <f>22+19</f>
        <v>41</v>
      </c>
    </row>
    <row r="2322" spans="1:11" x14ac:dyDescent="0.25">
      <c r="A2322" s="347"/>
      <c r="B2322" s="347"/>
      <c r="C2322" s="349"/>
      <c r="D2322" s="329"/>
      <c r="E2322" s="329"/>
      <c r="F2322" s="331"/>
      <c r="G2322" s="308"/>
      <c r="H2322" s="87" t="s">
        <v>67</v>
      </c>
      <c r="I2322" s="223">
        <f>D2314*K2322</f>
        <v>349969.4</v>
      </c>
      <c r="J2322" s="223">
        <f>I2322/D2314</f>
        <v>542</v>
      </c>
      <c r="K2322" s="223">
        <v>542</v>
      </c>
    </row>
    <row r="2323" spans="1:11" x14ac:dyDescent="0.25">
      <c r="A2323" s="347"/>
      <c r="B2323" s="347"/>
      <c r="C2323" s="350"/>
      <c r="D2323" s="329"/>
      <c r="E2323" s="329"/>
      <c r="F2323" s="332"/>
      <c r="G2323" s="309"/>
      <c r="H2323" s="87" t="s">
        <v>69</v>
      </c>
      <c r="I2323" s="226">
        <v>7709.66</v>
      </c>
      <c r="J2323" s="223">
        <f>I2323/D2314</f>
        <v>11.94</v>
      </c>
      <c r="K2323" s="223">
        <v>12</v>
      </c>
    </row>
    <row r="2324" spans="1:11" x14ac:dyDescent="0.25">
      <c r="A2324" s="346">
        <f>A2314+1</f>
        <v>10</v>
      </c>
      <c r="B2324" s="346">
        <v>6982</v>
      </c>
      <c r="C2324" s="348" t="s">
        <v>314</v>
      </c>
      <c r="D2324" s="312">
        <v>652.70000000000005</v>
      </c>
      <c r="E2324" s="312" t="s">
        <v>68</v>
      </c>
      <c r="F2324" s="330">
        <v>2</v>
      </c>
      <c r="G2324" s="161"/>
      <c r="H2324" s="87" t="s">
        <v>66</v>
      </c>
      <c r="I2324" s="223">
        <f>SUM(I2325:I2327)</f>
        <v>143594</v>
      </c>
      <c r="J2324" s="223">
        <f>SUM(J2325:J2327)</f>
        <v>220</v>
      </c>
      <c r="K2324" s="223">
        <f>SUM(K2325:K2327)</f>
        <v>220</v>
      </c>
    </row>
    <row r="2325" spans="1:11" ht="63" x14ac:dyDescent="0.25">
      <c r="A2325" s="347"/>
      <c r="B2325" s="347"/>
      <c r="C2325" s="349"/>
      <c r="D2325" s="329"/>
      <c r="E2325" s="329"/>
      <c r="F2325" s="331"/>
      <c r="G2325" s="148" t="s">
        <v>70</v>
      </c>
      <c r="H2325" s="87" t="s">
        <v>168</v>
      </c>
      <c r="I2325" s="223">
        <f>D2324*K2325</f>
        <v>89419.9</v>
      </c>
      <c r="J2325" s="223">
        <f>I2325/D2324</f>
        <v>137</v>
      </c>
      <c r="K2325" s="223">
        <f>116+21</f>
        <v>137</v>
      </c>
    </row>
    <row r="2326" spans="1:11" ht="63" x14ac:dyDescent="0.25">
      <c r="A2326" s="347"/>
      <c r="B2326" s="347"/>
      <c r="C2326" s="349"/>
      <c r="D2326" s="329"/>
      <c r="E2326" s="329"/>
      <c r="F2326" s="331"/>
      <c r="G2326" s="148" t="s">
        <v>71</v>
      </c>
      <c r="H2326" s="87" t="s">
        <v>168</v>
      </c>
      <c r="I2326" s="223">
        <f>D2324*K2326</f>
        <v>27413.4</v>
      </c>
      <c r="J2326" s="223">
        <f>I2326/D2324</f>
        <v>42</v>
      </c>
      <c r="K2326" s="223">
        <f>21+21</f>
        <v>42</v>
      </c>
    </row>
    <row r="2327" spans="1:11" ht="63" x14ac:dyDescent="0.25">
      <c r="A2327" s="347"/>
      <c r="B2327" s="347"/>
      <c r="C2327" s="350"/>
      <c r="D2327" s="329"/>
      <c r="E2327" s="329"/>
      <c r="F2327" s="332"/>
      <c r="G2327" s="148" t="s">
        <v>72</v>
      </c>
      <c r="H2327" s="87" t="s">
        <v>168</v>
      </c>
      <c r="I2327" s="223">
        <f>D2324*K2327</f>
        <v>26760.7</v>
      </c>
      <c r="J2327" s="223">
        <f>I2327/D2324</f>
        <v>41</v>
      </c>
      <c r="K2327" s="223">
        <f>22+19</f>
        <v>41</v>
      </c>
    </row>
    <row r="2328" spans="1:11" x14ac:dyDescent="0.25">
      <c r="A2328" s="346">
        <f>A2324+1</f>
        <v>11</v>
      </c>
      <c r="B2328" s="346">
        <v>6983</v>
      </c>
      <c r="C2328" s="348" t="s">
        <v>315</v>
      </c>
      <c r="D2328" s="312">
        <v>403.9</v>
      </c>
      <c r="E2328" s="312" t="s">
        <v>167</v>
      </c>
      <c r="F2328" s="330">
        <v>2</v>
      </c>
      <c r="G2328" s="161"/>
      <c r="H2328" s="87" t="s">
        <v>66</v>
      </c>
      <c r="I2328" s="223">
        <f>SUM(I2329:I2331)</f>
        <v>88858</v>
      </c>
      <c r="J2328" s="223">
        <f>SUM(J2329:J2331)</f>
        <v>220</v>
      </c>
      <c r="K2328" s="223">
        <f>SUM(K2329:K2331)</f>
        <v>220</v>
      </c>
    </row>
    <row r="2329" spans="1:11" ht="63" x14ac:dyDescent="0.25">
      <c r="A2329" s="347"/>
      <c r="B2329" s="347"/>
      <c r="C2329" s="349"/>
      <c r="D2329" s="329"/>
      <c r="E2329" s="329"/>
      <c r="F2329" s="331"/>
      <c r="G2329" s="148" t="s">
        <v>70</v>
      </c>
      <c r="H2329" s="87" t="s">
        <v>168</v>
      </c>
      <c r="I2329" s="223">
        <f>D2328*K2329</f>
        <v>55334.3</v>
      </c>
      <c r="J2329" s="223">
        <f>I2329/D2328</f>
        <v>137</v>
      </c>
      <c r="K2329" s="223">
        <f>116+21</f>
        <v>137</v>
      </c>
    </row>
    <row r="2330" spans="1:11" ht="63" x14ac:dyDescent="0.25">
      <c r="A2330" s="347"/>
      <c r="B2330" s="347"/>
      <c r="C2330" s="349"/>
      <c r="D2330" s="329"/>
      <c r="E2330" s="329"/>
      <c r="F2330" s="331"/>
      <c r="G2330" s="145" t="s">
        <v>71</v>
      </c>
      <c r="H2330" s="87" t="s">
        <v>168</v>
      </c>
      <c r="I2330" s="223">
        <f>D2328*K2330</f>
        <v>16963.8</v>
      </c>
      <c r="J2330" s="223">
        <f>I2330/D2328</f>
        <v>42</v>
      </c>
      <c r="K2330" s="223">
        <f>21+21</f>
        <v>42</v>
      </c>
    </row>
    <row r="2331" spans="1:11" ht="63" x14ac:dyDescent="0.25">
      <c r="A2331" s="347"/>
      <c r="B2331" s="347"/>
      <c r="C2331" s="349"/>
      <c r="D2331" s="329"/>
      <c r="E2331" s="329"/>
      <c r="F2331" s="331"/>
      <c r="G2331" s="145" t="s">
        <v>72</v>
      </c>
      <c r="H2331" s="87" t="s">
        <v>168</v>
      </c>
      <c r="I2331" s="223">
        <f>D2328*K2331</f>
        <v>16559.900000000001</v>
      </c>
      <c r="J2331" s="223">
        <f>I2331/D2328</f>
        <v>41</v>
      </c>
      <c r="K2331" s="223">
        <f>22+19</f>
        <v>41</v>
      </c>
    </row>
    <row r="2332" spans="1:11" x14ac:dyDescent="0.25">
      <c r="A2332" s="346">
        <f>A2328+1</f>
        <v>12</v>
      </c>
      <c r="B2332" s="346">
        <v>6984</v>
      </c>
      <c r="C2332" s="348" t="s">
        <v>316</v>
      </c>
      <c r="D2332" s="312">
        <v>651.1</v>
      </c>
      <c r="E2332" s="312" t="s">
        <v>68</v>
      </c>
      <c r="F2332" s="330">
        <v>2</v>
      </c>
      <c r="G2332" s="161"/>
      <c r="H2332" s="87" t="s">
        <v>66</v>
      </c>
      <c r="I2332" s="223">
        <f>SUM(I2333:I2335)</f>
        <v>141288.70000000001</v>
      </c>
      <c r="J2332" s="223">
        <f>SUM(J2333:J2335)</f>
        <v>217</v>
      </c>
      <c r="K2332" s="223">
        <f>SUM(K2333:K2335)</f>
        <v>217</v>
      </c>
    </row>
    <row r="2333" spans="1:11" ht="63" x14ac:dyDescent="0.25">
      <c r="A2333" s="347"/>
      <c r="B2333" s="347"/>
      <c r="C2333" s="349"/>
      <c r="D2333" s="329"/>
      <c r="E2333" s="329"/>
      <c r="F2333" s="331"/>
      <c r="G2333" s="148" t="s">
        <v>70</v>
      </c>
      <c r="H2333" s="87" t="s">
        <v>168</v>
      </c>
      <c r="I2333" s="223">
        <f>D2332*K2333</f>
        <v>89200.7</v>
      </c>
      <c r="J2333" s="223">
        <f>I2333/D2332</f>
        <v>137</v>
      </c>
      <c r="K2333" s="223">
        <f>116+21</f>
        <v>137</v>
      </c>
    </row>
    <row r="2334" spans="1:11" ht="63" x14ac:dyDescent="0.25">
      <c r="A2334" s="347"/>
      <c r="B2334" s="347"/>
      <c r="C2334" s="349"/>
      <c r="D2334" s="329"/>
      <c r="E2334" s="329"/>
      <c r="F2334" s="331"/>
      <c r="G2334" s="148" t="s">
        <v>71</v>
      </c>
      <c r="H2334" s="87" t="s">
        <v>168</v>
      </c>
      <c r="I2334" s="223">
        <f>D2332*K2334</f>
        <v>25392.9</v>
      </c>
      <c r="J2334" s="223">
        <f>I2334/D2332</f>
        <v>39</v>
      </c>
      <c r="K2334" s="223">
        <f>30+9</f>
        <v>39</v>
      </c>
    </row>
    <row r="2335" spans="1:11" ht="63" x14ac:dyDescent="0.25">
      <c r="A2335" s="347"/>
      <c r="B2335" s="347"/>
      <c r="C2335" s="350"/>
      <c r="D2335" s="329"/>
      <c r="E2335" s="329"/>
      <c r="F2335" s="332"/>
      <c r="G2335" s="148" t="s">
        <v>72</v>
      </c>
      <c r="H2335" s="87" t="s">
        <v>168</v>
      </c>
      <c r="I2335" s="223">
        <f>D2332*K2335</f>
        <v>26695.1</v>
      </c>
      <c r="J2335" s="223">
        <f>I2335/D2332</f>
        <v>41</v>
      </c>
      <c r="K2335" s="223">
        <f>22+19</f>
        <v>41</v>
      </c>
    </row>
    <row r="2336" spans="1:11" x14ac:dyDescent="0.25">
      <c r="A2336" s="346">
        <f>A2332+1</f>
        <v>13</v>
      </c>
      <c r="B2336" s="346">
        <v>6986</v>
      </c>
      <c r="C2336" s="348" t="s">
        <v>317</v>
      </c>
      <c r="D2336" s="312">
        <v>399.28</v>
      </c>
      <c r="E2336" s="312" t="s">
        <v>167</v>
      </c>
      <c r="F2336" s="330">
        <v>2</v>
      </c>
      <c r="G2336" s="161"/>
      <c r="H2336" s="87" t="s">
        <v>66</v>
      </c>
      <c r="I2336" s="223">
        <f>SUM(I2337:I2342)</f>
        <v>872524.96</v>
      </c>
      <c r="J2336" s="223">
        <f>SUM(J2337:J2342)</f>
        <v>2185.25</v>
      </c>
      <c r="K2336" s="223">
        <f>SUM(K2337:K2342)</f>
        <v>4051</v>
      </c>
    </row>
    <row r="2337" spans="1:144" x14ac:dyDescent="0.25">
      <c r="A2337" s="347"/>
      <c r="B2337" s="347"/>
      <c r="C2337" s="349"/>
      <c r="D2337" s="329"/>
      <c r="E2337" s="329"/>
      <c r="F2337" s="331"/>
      <c r="G2337" s="307" t="s">
        <v>70</v>
      </c>
      <c r="H2337" s="96" t="s">
        <v>67</v>
      </c>
      <c r="I2337" s="226">
        <v>713031.26</v>
      </c>
      <c r="J2337" s="223">
        <f>I2337/D2336</f>
        <v>1785.79</v>
      </c>
      <c r="K2337" s="223">
        <v>2911</v>
      </c>
    </row>
    <row r="2338" spans="1:144" x14ac:dyDescent="0.25">
      <c r="A2338" s="347"/>
      <c r="B2338" s="347"/>
      <c r="C2338" s="349"/>
      <c r="D2338" s="329"/>
      <c r="E2338" s="329"/>
      <c r="F2338" s="331"/>
      <c r="G2338" s="309"/>
      <c r="H2338" s="96" t="s">
        <v>69</v>
      </c>
      <c r="I2338" s="226">
        <f>I2337*0.0214</f>
        <v>15258.87</v>
      </c>
      <c r="J2338" s="223">
        <f>I2338/D2336</f>
        <v>38.22</v>
      </c>
      <c r="K2338" s="223">
        <v>62</v>
      </c>
    </row>
    <row r="2339" spans="1:144" ht="30" customHeight="1" x14ac:dyDescent="0.25">
      <c r="A2339" s="347"/>
      <c r="B2339" s="347"/>
      <c r="C2339" s="349"/>
      <c r="D2339" s="329"/>
      <c r="E2339" s="329"/>
      <c r="F2339" s="331"/>
      <c r="G2339" s="307" t="s">
        <v>71</v>
      </c>
      <c r="H2339" s="96" t="s">
        <v>67</v>
      </c>
      <c r="I2339" s="226">
        <v>32309.93</v>
      </c>
      <c r="J2339" s="223">
        <f>I2339/D2336</f>
        <v>80.92</v>
      </c>
      <c r="K2339" s="223">
        <v>513</v>
      </c>
    </row>
    <row r="2340" spans="1:144" ht="30" customHeight="1" x14ac:dyDescent="0.25">
      <c r="A2340" s="347"/>
      <c r="B2340" s="347"/>
      <c r="C2340" s="349"/>
      <c r="D2340" s="329"/>
      <c r="E2340" s="329"/>
      <c r="F2340" s="331"/>
      <c r="G2340" s="309"/>
      <c r="H2340" s="96" t="s">
        <v>69</v>
      </c>
      <c r="I2340" s="226">
        <f>I2339*0.0214</f>
        <v>691.43</v>
      </c>
      <c r="J2340" s="223">
        <f>I2340/D2336</f>
        <v>1.73</v>
      </c>
      <c r="K2340" s="223">
        <v>11</v>
      </c>
      <c r="L2340" s="71"/>
      <c r="M2340" s="71"/>
      <c r="N2340" s="71"/>
      <c r="O2340" s="71"/>
      <c r="P2340" s="71"/>
      <c r="Q2340" s="71"/>
      <c r="R2340" s="71"/>
      <c r="S2340" s="71"/>
      <c r="T2340" s="71"/>
      <c r="U2340" s="71"/>
      <c r="V2340" s="71"/>
      <c r="W2340" s="71"/>
      <c r="X2340" s="71"/>
      <c r="Y2340" s="71"/>
      <c r="Z2340" s="71"/>
      <c r="AA2340" s="71"/>
      <c r="AB2340" s="71"/>
      <c r="AC2340" s="71"/>
      <c r="AD2340" s="71"/>
      <c r="AE2340" s="71"/>
      <c r="AF2340" s="71"/>
      <c r="AG2340" s="71"/>
      <c r="AH2340" s="71"/>
      <c r="AI2340" s="71"/>
      <c r="AJ2340" s="71"/>
      <c r="AK2340" s="71"/>
      <c r="AL2340" s="71"/>
      <c r="AM2340" s="71"/>
      <c r="AN2340" s="71"/>
      <c r="AO2340" s="71"/>
      <c r="AP2340" s="71"/>
      <c r="AQ2340" s="71"/>
      <c r="AR2340" s="71"/>
      <c r="AS2340" s="71"/>
      <c r="AT2340" s="71"/>
      <c r="AU2340" s="71"/>
      <c r="AV2340" s="71"/>
      <c r="AW2340" s="71"/>
      <c r="AX2340" s="71"/>
      <c r="AY2340" s="71"/>
      <c r="AZ2340" s="71"/>
      <c r="BA2340" s="71"/>
      <c r="BB2340" s="71"/>
      <c r="BC2340" s="71"/>
      <c r="BD2340" s="71"/>
      <c r="BE2340" s="71"/>
      <c r="BF2340" s="71"/>
      <c r="BG2340" s="71"/>
      <c r="BH2340" s="71"/>
      <c r="BI2340" s="71"/>
      <c r="BJ2340" s="71"/>
      <c r="BK2340" s="71"/>
      <c r="BL2340" s="71"/>
      <c r="BM2340" s="71"/>
      <c r="BN2340" s="71"/>
      <c r="BO2340" s="71"/>
      <c r="BP2340" s="71"/>
      <c r="BQ2340" s="71"/>
      <c r="BR2340" s="71"/>
      <c r="BS2340" s="71"/>
      <c r="BT2340" s="71"/>
      <c r="BU2340" s="71"/>
      <c r="BV2340" s="71"/>
      <c r="BW2340" s="71"/>
      <c r="BX2340" s="71"/>
      <c r="BY2340" s="71"/>
      <c r="BZ2340" s="71"/>
      <c r="CA2340" s="71"/>
      <c r="CB2340" s="71"/>
      <c r="CC2340" s="71"/>
      <c r="CD2340" s="71"/>
      <c r="CE2340" s="71"/>
      <c r="CF2340" s="71"/>
      <c r="CG2340" s="71"/>
      <c r="CH2340" s="71"/>
      <c r="CI2340" s="71"/>
      <c r="CJ2340" s="71"/>
      <c r="CK2340" s="71"/>
      <c r="CL2340" s="71"/>
      <c r="CM2340" s="71"/>
      <c r="CN2340" s="71"/>
      <c r="CO2340" s="71"/>
      <c r="CP2340" s="71"/>
      <c r="CQ2340" s="71"/>
      <c r="CR2340" s="71"/>
      <c r="CS2340" s="71"/>
      <c r="CT2340" s="71"/>
      <c r="CU2340" s="71"/>
      <c r="CV2340" s="71"/>
      <c r="CW2340" s="71"/>
      <c r="CX2340" s="71"/>
      <c r="CY2340" s="71"/>
      <c r="CZ2340" s="71"/>
      <c r="DA2340" s="71"/>
      <c r="DB2340" s="71"/>
      <c r="DC2340" s="71"/>
      <c r="DD2340" s="71"/>
      <c r="DE2340" s="71"/>
      <c r="DF2340" s="71"/>
      <c r="DG2340" s="71"/>
      <c r="DH2340" s="71"/>
      <c r="DI2340" s="71"/>
      <c r="DJ2340" s="71"/>
      <c r="DK2340" s="71"/>
      <c r="DL2340" s="71"/>
      <c r="DM2340" s="71"/>
      <c r="DN2340" s="71"/>
      <c r="DO2340" s="71"/>
      <c r="DP2340" s="71"/>
      <c r="DQ2340" s="71"/>
      <c r="DR2340" s="71"/>
      <c r="DS2340" s="71"/>
      <c r="DT2340" s="71"/>
      <c r="DU2340" s="71"/>
      <c r="DV2340" s="71"/>
      <c r="DW2340" s="71"/>
      <c r="DX2340" s="71"/>
      <c r="DY2340" s="71"/>
      <c r="DZ2340" s="71"/>
      <c r="EA2340" s="71"/>
      <c r="EB2340" s="71"/>
      <c r="EC2340" s="71"/>
      <c r="ED2340" s="71"/>
      <c r="EE2340" s="71"/>
      <c r="EF2340" s="71"/>
      <c r="EG2340" s="71"/>
      <c r="EH2340" s="71"/>
      <c r="EI2340" s="71"/>
      <c r="EJ2340" s="71"/>
      <c r="EK2340" s="71"/>
      <c r="EL2340" s="71"/>
      <c r="EM2340" s="71"/>
      <c r="EN2340" s="71"/>
    </row>
    <row r="2341" spans="1:144" ht="30" customHeight="1" x14ac:dyDescent="0.25">
      <c r="A2341" s="347"/>
      <c r="B2341" s="347"/>
      <c r="C2341" s="349"/>
      <c r="D2341" s="329"/>
      <c r="E2341" s="329"/>
      <c r="F2341" s="331"/>
      <c r="G2341" s="307" t="s">
        <v>72</v>
      </c>
      <c r="H2341" s="96" t="s">
        <v>67</v>
      </c>
      <c r="I2341" s="226">
        <v>108902.95</v>
      </c>
      <c r="J2341" s="223">
        <f>I2341/D2336</f>
        <v>272.75</v>
      </c>
      <c r="K2341" s="223">
        <v>542</v>
      </c>
      <c r="L2341" s="71"/>
      <c r="M2341" s="71"/>
      <c r="N2341" s="71"/>
      <c r="O2341" s="71"/>
      <c r="P2341" s="71"/>
      <c r="Q2341" s="71"/>
      <c r="R2341" s="71"/>
      <c r="S2341" s="71"/>
      <c r="T2341" s="71"/>
      <c r="U2341" s="71"/>
      <c r="V2341" s="71"/>
      <c r="W2341" s="71"/>
      <c r="X2341" s="71"/>
      <c r="Y2341" s="71"/>
      <c r="Z2341" s="71"/>
      <c r="AA2341" s="71"/>
      <c r="AB2341" s="71"/>
      <c r="AC2341" s="71"/>
      <c r="AD2341" s="71"/>
      <c r="AE2341" s="71"/>
      <c r="AF2341" s="71"/>
      <c r="AG2341" s="71"/>
      <c r="AH2341" s="71"/>
      <c r="AI2341" s="71"/>
      <c r="AJ2341" s="71"/>
      <c r="AK2341" s="71"/>
      <c r="AL2341" s="71"/>
      <c r="AM2341" s="71"/>
      <c r="AN2341" s="71"/>
      <c r="AO2341" s="71"/>
      <c r="AP2341" s="71"/>
      <c r="AQ2341" s="71"/>
      <c r="AR2341" s="71"/>
      <c r="AS2341" s="71"/>
      <c r="AT2341" s="71"/>
      <c r="AU2341" s="71"/>
      <c r="AV2341" s="71"/>
      <c r="AW2341" s="71"/>
      <c r="AX2341" s="71"/>
      <c r="AY2341" s="71"/>
      <c r="AZ2341" s="71"/>
      <c r="BA2341" s="71"/>
      <c r="BB2341" s="71"/>
      <c r="BC2341" s="71"/>
      <c r="BD2341" s="71"/>
      <c r="BE2341" s="71"/>
      <c r="BF2341" s="71"/>
      <c r="BG2341" s="71"/>
      <c r="BH2341" s="71"/>
      <c r="BI2341" s="71"/>
      <c r="BJ2341" s="71"/>
      <c r="BK2341" s="71"/>
      <c r="BL2341" s="71"/>
      <c r="BM2341" s="71"/>
      <c r="BN2341" s="71"/>
      <c r="BO2341" s="71"/>
      <c r="BP2341" s="71"/>
      <c r="BQ2341" s="71"/>
      <c r="BR2341" s="71"/>
      <c r="BS2341" s="71"/>
      <c r="BT2341" s="71"/>
      <c r="BU2341" s="71"/>
      <c r="BV2341" s="71"/>
      <c r="BW2341" s="71"/>
      <c r="BX2341" s="71"/>
      <c r="BY2341" s="71"/>
      <c r="BZ2341" s="71"/>
      <c r="CA2341" s="71"/>
      <c r="CB2341" s="71"/>
      <c r="CC2341" s="71"/>
      <c r="CD2341" s="71"/>
      <c r="CE2341" s="71"/>
      <c r="CF2341" s="71"/>
      <c r="CG2341" s="71"/>
      <c r="CH2341" s="71"/>
      <c r="CI2341" s="71"/>
      <c r="CJ2341" s="71"/>
      <c r="CK2341" s="71"/>
      <c r="CL2341" s="71"/>
      <c r="CM2341" s="71"/>
      <c r="CN2341" s="71"/>
      <c r="CO2341" s="71"/>
      <c r="CP2341" s="71"/>
      <c r="CQ2341" s="71"/>
      <c r="CR2341" s="71"/>
      <c r="CS2341" s="71"/>
      <c r="CT2341" s="71"/>
      <c r="CU2341" s="71"/>
      <c r="CV2341" s="71"/>
      <c r="CW2341" s="71"/>
      <c r="CX2341" s="71"/>
      <c r="CY2341" s="71"/>
      <c r="CZ2341" s="71"/>
      <c r="DA2341" s="71"/>
      <c r="DB2341" s="71"/>
      <c r="DC2341" s="71"/>
      <c r="DD2341" s="71"/>
      <c r="DE2341" s="71"/>
      <c r="DF2341" s="71"/>
      <c r="DG2341" s="71"/>
      <c r="DH2341" s="71"/>
      <c r="DI2341" s="71"/>
      <c r="DJ2341" s="71"/>
      <c r="DK2341" s="71"/>
      <c r="DL2341" s="71"/>
      <c r="DM2341" s="71"/>
      <c r="DN2341" s="71"/>
      <c r="DO2341" s="71"/>
      <c r="DP2341" s="71"/>
      <c r="DQ2341" s="71"/>
      <c r="DR2341" s="71"/>
      <c r="DS2341" s="71"/>
      <c r="DT2341" s="71"/>
      <c r="DU2341" s="71"/>
      <c r="DV2341" s="71"/>
      <c r="DW2341" s="71"/>
      <c r="DX2341" s="71"/>
      <c r="DY2341" s="71"/>
      <c r="DZ2341" s="71"/>
      <c r="EA2341" s="71"/>
      <c r="EB2341" s="71"/>
      <c r="EC2341" s="71"/>
      <c r="ED2341" s="71"/>
      <c r="EE2341" s="71"/>
      <c r="EF2341" s="71"/>
      <c r="EG2341" s="71"/>
      <c r="EH2341" s="71"/>
      <c r="EI2341" s="71"/>
      <c r="EJ2341" s="71"/>
      <c r="EK2341" s="71"/>
      <c r="EL2341" s="71"/>
      <c r="EM2341" s="71"/>
      <c r="EN2341" s="71"/>
    </row>
    <row r="2342" spans="1:144" ht="30" customHeight="1" x14ac:dyDescent="0.25">
      <c r="A2342" s="347"/>
      <c r="B2342" s="347"/>
      <c r="C2342" s="350"/>
      <c r="D2342" s="329"/>
      <c r="E2342" s="329"/>
      <c r="F2342" s="332"/>
      <c r="G2342" s="309"/>
      <c r="H2342" s="96" t="s">
        <v>69</v>
      </c>
      <c r="I2342" s="226">
        <f>I2341*0.0214</f>
        <v>2330.52</v>
      </c>
      <c r="J2342" s="223">
        <f>I2342/D2336</f>
        <v>5.84</v>
      </c>
      <c r="K2342" s="223">
        <v>12</v>
      </c>
      <c r="L2342" s="71"/>
      <c r="M2342" s="71"/>
      <c r="N2342" s="71"/>
      <c r="O2342" s="71"/>
      <c r="P2342" s="71"/>
      <c r="Q2342" s="71"/>
      <c r="R2342" s="71"/>
      <c r="S2342" s="71"/>
      <c r="T2342" s="71"/>
      <c r="U2342" s="71"/>
      <c r="V2342" s="71"/>
      <c r="W2342" s="71"/>
      <c r="X2342" s="71"/>
      <c r="Y2342" s="71"/>
      <c r="Z2342" s="71"/>
      <c r="AA2342" s="71"/>
      <c r="AB2342" s="71"/>
      <c r="AC2342" s="71"/>
      <c r="AD2342" s="71"/>
      <c r="AE2342" s="71"/>
      <c r="AF2342" s="71"/>
      <c r="AG2342" s="71"/>
      <c r="AH2342" s="71"/>
      <c r="AI2342" s="71"/>
      <c r="AJ2342" s="71"/>
      <c r="AK2342" s="71"/>
      <c r="AL2342" s="71"/>
      <c r="AM2342" s="71"/>
      <c r="AN2342" s="71"/>
      <c r="AO2342" s="71"/>
      <c r="AP2342" s="71"/>
      <c r="AQ2342" s="71"/>
      <c r="AR2342" s="71"/>
      <c r="AS2342" s="71"/>
      <c r="AT2342" s="71"/>
      <c r="AU2342" s="71"/>
      <c r="AV2342" s="71"/>
      <c r="AW2342" s="71"/>
      <c r="AX2342" s="71"/>
      <c r="AY2342" s="71"/>
      <c r="AZ2342" s="71"/>
      <c r="BA2342" s="71"/>
      <c r="BB2342" s="71"/>
      <c r="BC2342" s="71"/>
      <c r="BD2342" s="71"/>
      <c r="BE2342" s="71"/>
      <c r="BF2342" s="71"/>
      <c r="BG2342" s="71"/>
      <c r="BH2342" s="71"/>
      <c r="BI2342" s="71"/>
      <c r="BJ2342" s="71"/>
      <c r="BK2342" s="71"/>
      <c r="BL2342" s="71"/>
      <c r="BM2342" s="71"/>
      <c r="BN2342" s="71"/>
      <c r="BO2342" s="71"/>
      <c r="BP2342" s="71"/>
      <c r="BQ2342" s="71"/>
      <c r="BR2342" s="71"/>
      <c r="BS2342" s="71"/>
      <c r="BT2342" s="71"/>
      <c r="BU2342" s="71"/>
      <c r="BV2342" s="71"/>
      <c r="BW2342" s="71"/>
      <c r="BX2342" s="71"/>
      <c r="BY2342" s="71"/>
      <c r="BZ2342" s="71"/>
      <c r="CA2342" s="71"/>
      <c r="CB2342" s="71"/>
      <c r="CC2342" s="71"/>
      <c r="CD2342" s="71"/>
      <c r="CE2342" s="71"/>
      <c r="CF2342" s="71"/>
      <c r="CG2342" s="71"/>
      <c r="CH2342" s="71"/>
      <c r="CI2342" s="71"/>
      <c r="CJ2342" s="71"/>
      <c r="CK2342" s="71"/>
      <c r="CL2342" s="71"/>
      <c r="CM2342" s="71"/>
      <c r="CN2342" s="71"/>
      <c r="CO2342" s="71"/>
      <c r="CP2342" s="71"/>
      <c r="CQ2342" s="71"/>
      <c r="CR2342" s="71"/>
      <c r="CS2342" s="71"/>
      <c r="CT2342" s="71"/>
      <c r="CU2342" s="71"/>
      <c r="CV2342" s="71"/>
      <c r="CW2342" s="71"/>
      <c r="CX2342" s="71"/>
      <c r="CY2342" s="71"/>
      <c r="CZ2342" s="71"/>
      <c r="DA2342" s="71"/>
      <c r="DB2342" s="71"/>
      <c r="DC2342" s="71"/>
      <c r="DD2342" s="71"/>
      <c r="DE2342" s="71"/>
      <c r="DF2342" s="71"/>
      <c r="DG2342" s="71"/>
      <c r="DH2342" s="71"/>
      <c r="DI2342" s="71"/>
      <c r="DJ2342" s="71"/>
      <c r="DK2342" s="71"/>
      <c r="DL2342" s="71"/>
      <c r="DM2342" s="71"/>
      <c r="DN2342" s="71"/>
      <c r="DO2342" s="71"/>
      <c r="DP2342" s="71"/>
      <c r="DQ2342" s="71"/>
      <c r="DR2342" s="71"/>
      <c r="DS2342" s="71"/>
      <c r="DT2342" s="71"/>
      <c r="DU2342" s="71"/>
      <c r="DV2342" s="71"/>
      <c r="DW2342" s="71"/>
      <c r="DX2342" s="71"/>
      <c r="DY2342" s="71"/>
      <c r="DZ2342" s="71"/>
      <c r="EA2342" s="71"/>
      <c r="EB2342" s="71"/>
      <c r="EC2342" s="71"/>
      <c r="ED2342" s="71"/>
      <c r="EE2342" s="71"/>
      <c r="EF2342" s="71"/>
      <c r="EG2342" s="71"/>
      <c r="EH2342" s="71"/>
      <c r="EI2342" s="71"/>
      <c r="EJ2342" s="71"/>
      <c r="EK2342" s="71"/>
      <c r="EL2342" s="71"/>
      <c r="EM2342" s="71"/>
      <c r="EN2342" s="71"/>
    </row>
    <row r="2343" spans="1:144" x14ac:dyDescent="0.25">
      <c r="A2343" s="346">
        <f>A2336+1</f>
        <v>14</v>
      </c>
      <c r="B2343" s="346">
        <v>6988</v>
      </c>
      <c r="C2343" s="348" t="s">
        <v>318</v>
      </c>
      <c r="D2343" s="312">
        <v>637.92999999999995</v>
      </c>
      <c r="E2343" s="312" t="s">
        <v>68</v>
      </c>
      <c r="F2343" s="330">
        <v>2</v>
      </c>
      <c r="G2343" s="161"/>
      <c r="H2343" s="87" t="s">
        <v>66</v>
      </c>
      <c r="I2343" s="226">
        <f>SUM(I2344:I2349)</f>
        <v>1521879.71</v>
      </c>
      <c r="J2343" s="223">
        <f>SUM(J2344:J2349)</f>
        <v>2385.65</v>
      </c>
      <c r="K2343" s="223">
        <f>SUM(K2344:K2349)</f>
        <v>4051</v>
      </c>
      <c r="L2343" s="71"/>
      <c r="M2343" s="71"/>
      <c r="N2343" s="71"/>
      <c r="O2343" s="71"/>
      <c r="P2343" s="71"/>
      <c r="Q2343" s="71"/>
      <c r="R2343" s="71"/>
      <c r="S2343" s="71"/>
      <c r="T2343" s="71"/>
      <c r="U2343" s="71"/>
      <c r="V2343" s="71"/>
      <c r="W2343" s="71"/>
      <c r="X2343" s="71"/>
      <c r="Y2343" s="71"/>
      <c r="Z2343" s="71"/>
      <c r="AA2343" s="71"/>
      <c r="AB2343" s="71"/>
      <c r="AC2343" s="71"/>
      <c r="AD2343" s="71"/>
      <c r="AE2343" s="71"/>
      <c r="AF2343" s="71"/>
      <c r="AG2343" s="71"/>
      <c r="AH2343" s="71"/>
      <c r="AI2343" s="71"/>
      <c r="AJ2343" s="71"/>
      <c r="AK2343" s="71"/>
      <c r="AL2343" s="71"/>
      <c r="AM2343" s="71"/>
      <c r="AN2343" s="71"/>
      <c r="AO2343" s="71"/>
      <c r="AP2343" s="71"/>
      <c r="AQ2343" s="71"/>
      <c r="AR2343" s="71"/>
      <c r="AS2343" s="71"/>
      <c r="AT2343" s="71"/>
      <c r="AU2343" s="71"/>
      <c r="AV2343" s="71"/>
      <c r="AW2343" s="71"/>
      <c r="AX2343" s="71"/>
      <c r="AY2343" s="71"/>
      <c r="AZ2343" s="71"/>
      <c r="BA2343" s="71"/>
      <c r="BB2343" s="71"/>
      <c r="BC2343" s="71"/>
      <c r="BD2343" s="71"/>
      <c r="BE2343" s="71"/>
      <c r="BF2343" s="71"/>
      <c r="BG2343" s="71"/>
      <c r="BH2343" s="71"/>
      <c r="BI2343" s="71"/>
      <c r="BJ2343" s="71"/>
      <c r="BK2343" s="71"/>
      <c r="BL2343" s="71"/>
      <c r="BM2343" s="71"/>
      <c r="BN2343" s="71"/>
      <c r="BO2343" s="71"/>
      <c r="BP2343" s="71"/>
      <c r="BQ2343" s="71"/>
      <c r="BR2343" s="71"/>
      <c r="BS2343" s="71"/>
      <c r="BT2343" s="71"/>
      <c r="BU2343" s="71"/>
      <c r="BV2343" s="71"/>
      <c r="BW2343" s="71"/>
      <c r="BX2343" s="71"/>
      <c r="BY2343" s="71"/>
      <c r="BZ2343" s="71"/>
      <c r="CA2343" s="71"/>
      <c r="CB2343" s="71"/>
      <c r="CC2343" s="71"/>
      <c r="CD2343" s="71"/>
      <c r="CE2343" s="71"/>
      <c r="CF2343" s="71"/>
      <c r="CG2343" s="71"/>
      <c r="CH2343" s="71"/>
      <c r="CI2343" s="71"/>
      <c r="CJ2343" s="71"/>
      <c r="CK2343" s="71"/>
      <c r="CL2343" s="71"/>
      <c r="CM2343" s="71"/>
      <c r="CN2343" s="71"/>
      <c r="CO2343" s="71"/>
      <c r="CP2343" s="71"/>
      <c r="CQ2343" s="71"/>
      <c r="CR2343" s="71"/>
      <c r="CS2343" s="71"/>
      <c r="CT2343" s="71"/>
      <c r="CU2343" s="71"/>
      <c r="CV2343" s="71"/>
      <c r="CW2343" s="71"/>
      <c r="CX2343" s="71"/>
      <c r="CY2343" s="71"/>
      <c r="CZ2343" s="71"/>
      <c r="DA2343" s="71"/>
      <c r="DB2343" s="71"/>
      <c r="DC2343" s="71"/>
      <c r="DD2343" s="71"/>
      <c r="DE2343" s="71"/>
      <c r="DF2343" s="71"/>
      <c r="DG2343" s="71"/>
      <c r="DH2343" s="71"/>
      <c r="DI2343" s="71"/>
      <c r="DJ2343" s="71"/>
      <c r="DK2343" s="71"/>
      <c r="DL2343" s="71"/>
      <c r="DM2343" s="71"/>
      <c r="DN2343" s="71"/>
      <c r="DO2343" s="71"/>
      <c r="DP2343" s="71"/>
      <c r="DQ2343" s="71"/>
      <c r="DR2343" s="71"/>
      <c r="DS2343" s="71"/>
      <c r="DT2343" s="71"/>
      <c r="DU2343" s="71"/>
      <c r="DV2343" s="71"/>
      <c r="DW2343" s="71"/>
      <c r="DX2343" s="71"/>
      <c r="DY2343" s="71"/>
      <c r="DZ2343" s="71"/>
      <c r="EA2343" s="71"/>
      <c r="EB2343" s="71"/>
      <c r="EC2343" s="71"/>
      <c r="ED2343" s="71"/>
      <c r="EE2343" s="71"/>
      <c r="EF2343" s="71"/>
      <c r="EG2343" s="71"/>
      <c r="EH2343" s="71"/>
      <c r="EI2343" s="71"/>
      <c r="EJ2343" s="71"/>
      <c r="EK2343" s="71"/>
      <c r="EL2343" s="71"/>
      <c r="EM2343" s="71"/>
      <c r="EN2343" s="71"/>
    </row>
    <row r="2344" spans="1:144" x14ac:dyDescent="0.25">
      <c r="A2344" s="347"/>
      <c r="B2344" s="347"/>
      <c r="C2344" s="349"/>
      <c r="D2344" s="329"/>
      <c r="E2344" s="329"/>
      <c r="F2344" s="331"/>
      <c r="G2344" s="307" t="s">
        <v>70</v>
      </c>
      <c r="H2344" s="96" t="s">
        <v>67</v>
      </c>
      <c r="I2344" s="226">
        <v>1156475.8799999999</v>
      </c>
      <c r="J2344" s="223">
        <f>I2344/D2343-0.01</f>
        <v>1812.85</v>
      </c>
      <c r="K2344" s="223">
        <v>2911</v>
      </c>
      <c r="L2344" s="71"/>
      <c r="M2344" s="71"/>
      <c r="N2344" s="71"/>
      <c r="O2344" s="71"/>
      <c r="P2344" s="71"/>
      <c r="Q2344" s="71"/>
      <c r="R2344" s="71"/>
      <c r="S2344" s="71"/>
      <c r="T2344" s="71"/>
      <c r="U2344" s="71"/>
      <c r="V2344" s="71"/>
      <c r="W2344" s="71"/>
      <c r="X2344" s="71"/>
      <c r="Y2344" s="71"/>
      <c r="Z2344" s="71"/>
      <c r="AA2344" s="71"/>
      <c r="AB2344" s="71"/>
      <c r="AC2344" s="71"/>
      <c r="AD2344" s="71"/>
      <c r="AE2344" s="71"/>
      <c r="AF2344" s="71"/>
      <c r="AG2344" s="71"/>
      <c r="AH2344" s="71"/>
      <c r="AI2344" s="71"/>
      <c r="AJ2344" s="71"/>
      <c r="AK2344" s="71"/>
      <c r="AL2344" s="71"/>
      <c r="AM2344" s="71"/>
      <c r="AN2344" s="71"/>
      <c r="AO2344" s="71"/>
      <c r="AP2344" s="71"/>
      <c r="AQ2344" s="71"/>
      <c r="AR2344" s="71"/>
      <c r="AS2344" s="71"/>
      <c r="AT2344" s="71"/>
      <c r="AU2344" s="71"/>
      <c r="AV2344" s="71"/>
      <c r="AW2344" s="71"/>
      <c r="AX2344" s="71"/>
      <c r="AY2344" s="71"/>
      <c r="AZ2344" s="71"/>
      <c r="BA2344" s="71"/>
      <c r="BB2344" s="71"/>
      <c r="BC2344" s="71"/>
      <c r="BD2344" s="71"/>
      <c r="BE2344" s="71"/>
      <c r="BF2344" s="71"/>
      <c r="BG2344" s="71"/>
      <c r="BH2344" s="71"/>
      <c r="BI2344" s="71"/>
      <c r="BJ2344" s="71"/>
      <c r="BK2344" s="71"/>
      <c r="BL2344" s="71"/>
      <c r="BM2344" s="71"/>
      <c r="BN2344" s="71"/>
      <c r="BO2344" s="71"/>
      <c r="BP2344" s="71"/>
      <c r="BQ2344" s="71"/>
      <c r="BR2344" s="71"/>
      <c r="BS2344" s="71"/>
      <c r="BT2344" s="71"/>
      <c r="BU2344" s="71"/>
      <c r="BV2344" s="71"/>
      <c r="BW2344" s="71"/>
      <c r="BX2344" s="71"/>
      <c r="BY2344" s="71"/>
      <c r="BZ2344" s="71"/>
      <c r="CA2344" s="71"/>
      <c r="CB2344" s="71"/>
      <c r="CC2344" s="71"/>
      <c r="CD2344" s="71"/>
      <c r="CE2344" s="71"/>
      <c r="CF2344" s="71"/>
      <c r="CG2344" s="71"/>
      <c r="CH2344" s="71"/>
      <c r="CI2344" s="71"/>
      <c r="CJ2344" s="71"/>
      <c r="CK2344" s="71"/>
      <c r="CL2344" s="71"/>
      <c r="CM2344" s="71"/>
      <c r="CN2344" s="71"/>
      <c r="CO2344" s="71"/>
      <c r="CP2344" s="71"/>
      <c r="CQ2344" s="71"/>
      <c r="CR2344" s="71"/>
      <c r="CS2344" s="71"/>
      <c r="CT2344" s="71"/>
      <c r="CU2344" s="71"/>
      <c r="CV2344" s="71"/>
      <c r="CW2344" s="71"/>
      <c r="CX2344" s="71"/>
      <c r="CY2344" s="71"/>
      <c r="CZ2344" s="71"/>
      <c r="DA2344" s="71"/>
      <c r="DB2344" s="71"/>
      <c r="DC2344" s="71"/>
      <c r="DD2344" s="71"/>
      <c r="DE2344" s="71"/>
      <c r="DF2344" s="71"/>
      <c r="DG2344" s="71"/>
      <c r="DH2344" s="71"/>
      <c r="DI2344" s="71"/>
      <c r="DJ2344" s="71"/>
      <c r="DK2344" s="71"/>
      <c r="DL2344" s="71"/>
      <c r="DM2344" s="71"/>
      <c r="DN2344" s="71"/>
      <c r="DO2344" s="71"/>
      <c r="DP2344" s="71"/>
      <c r="DQ2344" s="71"/>
      <c r="DR2344" s="71"/>
      <c r="DS2344" s="71"/>
      <c r="DT2344" s="71"/>
      <c r="DU2344" s="71"/>
      <c r="DV2344" s="71"/>
      <c r="DW2344" s="71"/>
      <c r="DX2344" s="71"/>
      <c r="DY2344" s="71"/>
      <c r="DZ2344" s="71"/>
      <c r="EA2344" s="71"/>
      <c r="EB2344" s="71"/>
      <c r="EC2344" s="71"/>
      <c r="ED2344" s="71"/>
      <c r="EE2344" s="71"/>
      <c r="EF2344" s="71"/>
      <c r="EG2344" s="71"/>
      <c r="EH2344" s="71"/>
      <c r="EI2344" s="71"/>
      <c r="EJ2344" s="71"/>
      <c r="EK2344" s="71"/>
      <c r="EL2344" s="71"/>
      <c r="EM2344" s="71"/>
      <c r="EN2344" s="71"/>
    </row>
    <row r="2345" spans="1:144" x14ac:dyDescent="0.25">
      <c r="A2345" s="347"/>
      <c r="B2345" s="347"/>
      <c r="C2345" s="349"/>
      <c r="D2345" s="329"/>
      <c r="E2345" s="329"/>
      <c r="F2345" s="331"/>
      <c r="G2345" s="309"/>
      <c r="H2345" s="96" t="s">
        <v>69</v>
      </c>
      <c r="I2345" s="226">
        <f>I2344*0.0214</f>
        <v>24748.58</v>
      </c>
      <c r="J2345" s="223">
        <f>I2345/D2343</f>
        <v>38.799999999999997</v>
      </c>
      <c r="K2345" s="223">
        <v>62</v>
      </c>
      <c r="L2345" s="71"/>
      <c r="M2345" s="71"/>
      <c r="N2345" s="71"/>
      <c r="O2345" s="71"/>
      <c r="P2345" s="71"/>
      <c r="Q2345" s="71"/>
      <c r="R2345" s="71"/>
      <c r="S2345" s="71"/>
      <c r="T2345" s="71"/>
      <c r="U2345" s="71"/>
      <c r="V2345" s="71"/>
      <c r="W2345" s="71"/>
      <c r="X2345" s="71"/>
      <c r="Y2345" s="71"/>
      <c r="Z2345" s="71"/>
      <c r="AA2345" s="71"/>
      <c r="AB2345" s="71"/>
      <c r="AC2345" s="71"/>
      <c r="AD2345" s="71"/>
      <c r="AE2345" s="71"/>
      <c r="AF2345" s="71"/>
      <c r="AG2345" s="71"/>
      <c r="AH2345" s="71"/>
      <c r="AI2345" s="71"/>
      <c r="AJ2345" s="71"/>
      <c r="AK2345" s="71"/>
      <c r="AL2345" s="71"/>
      <c r="AM2345" s="71"/>
      <c r="AN2345" s="71"/>
      <c r="AO2345" s="71"/>
      <c r="AP2345" s="71"/>
      <c r="AQ2345" s="71"/>
      <c r="AR2345" s="71"/>
      <c r="AS2345" s="71"/>
      <c r="AT2345" s="71"/>
      <c r="AU2345" s="71"/>
      <c r="AV2345" s="71"/>
      <c r="AW2345" s="71"/>
      <c r="AX2345" s="71"/>
      <c r="AY2345" s="71"/>
      <c r="AZ2345" s="71"/>
      <c r="BA2345" s="71"/>
      <c r="BB2345" s="71"/>
      <c r="BC2345" s="71"/>
      <c r="BD2345" s="71"/>
      <c r="BE2345" s="71"/>
      <c r="BF2345" s="71"/>
      <c r="BG2345" s="71"/>
      <c r="BH2345" s="71"/>
      <c r="BI2345" s="71"/>
      <c r="BJ2345" s="71"/>
      <c r="BK2345" s="71"/>
      <c r="BL2345" s="71"/>
      <c r="BM2345" s="71"/>
      <c r="BN2345" s="71"/>
      <c r="BO2345" s="71"/>
      <c r="BP2345" s="71"/>
      <c r="BQ2345" s="71"/>
      <c r="BR2345" s="71"/>
      <c r="BS2345" s="71"/>
      <c r="BT2345" s="71"/>
      <c r="BU2345" s="71"/>
      <c r="BV2345" s="71"/>
      <c r="BW2345" s="71"/>
      <c r="BX2345" s="71"/>
      <c r="BY2345" s="71"/>
      <c r="BZ2345" s="71"/>
      <c r="CA2345" s="71"/>
      <c r="CB2345" s="71"/>
      <c r="CC2345" s="71"/>
      <c r="CD2345" s="71"/>
      <c r="CE2345" s="71"/>
      <c r="CF2345" s="71"/>
      <c r="CG2345" s="71"/>
      <c r="CH2345" s="71"/>
      <c r="CI2345" s="71"/>
      <c r="CJ2345" s="71"/>
      <c r="CK2345" s="71"/>
      <c r="CL2345" s="71"/>
      <c r="CM2345" s="71"/>
      <c r="CN2345" s="71"/>
      <c r="CO2345" s="71"/>
      <c r="CP2345" s="71"/>
      <c r="CQ2345" s="71"/>
      <c r="CR2345" s="71"/>
      <c r="CS2345" s="71"/>
      <c r="CT2345" s="71"/>
      <c r="CU2345" s="71"/>
      <c r="CV2345" s="71"/>
      <c r="CW2345" s="71"/>
      <c r="CX2345" s="71"/>
      <c r="CY2345" s="71"/>
      <c r="CZ2345" s="71"/>
      <c r="DA2345" s="71"/>
      <c r="DB2345" s="71"/>
      <c r="DC2345" s="71"/>
      <c r="DD2345" s="71"/>
      <c r="DE2345" s="71"/>
      <c r="DF2345" s="71"/>
      <c r="DG2345" s="71"/>
      <c r="DH2345" s="71"/>
      <c r="DI2345" s="71"/>
      <c r="DJ2345" s="71"/>
      <c r="DK2345" s="71"/>
      <c r="DL2345" s="71"/>
      <c r="DM2345" s="71"/>
      <c r="DN2345" s="71"/>
      <c r="DO2345" s="71"/>
      <c r="DP2345" s="71"/>
      <c r="DQ2345" s="71"/>
      <c r="DR2345" s="71"/>
      <c r="DS2345" s="71"/>
      <c r="DT2345" s="71"/>
      <c r="DU2345" s="71"/>
      <c r="DV2345" s="71"/>
      <c r="DW2345" s="71"/>
      <c r="DX2345" s="71"/>
      <c r="DY2345" s="71"/>
      <c r="DZ2345" s="71"/>
      <c r="EA2345" s="71"/>
      <c r="EB2345" s="71"/>
      <c r="EC2345" s="71"/>
      <c r="ED2345" s="71"/>
      <c r="EE2345" s="71"/>
      <c r="EF2345" s="71"/>
      <c r="EG2345" s="71"/>
      <c r="EH2345" s="71"/>
      <c r="EI2345" s="71"/>
      <c r="EJ2345" s="71"/>
      <c r="EK2345" s="71"/>
      <c r="EL2345" s="71"/>
      <c r="EM2345" s="71"/>
      <c r="EN2345" s="71"/>
    </row>
    <row r="2346" spans="1:144" x14ac:dyDescent="0.25">
      <c r="A2346" s="347"/>
      <c r="B2346" s="347"/>
      <c r="C2346" s="349"/>
      <c r="D2346" s="329"/>
      <c r="E2346" s="329"/>
      <c r="F2346" s="331"/>
      <c r="G2346" s="307" t="s">
        <v>71</v>
      </c>
      <c r="H2346" s="96" t="s">
        <v>67</v>
      </c>
      <c r="I2346" s="226">
        <v>102606.7</v>
      </c>
      <c r="J2346" s="223">
        <f>I2346/D2343</f>
        <v>160.84</v>
      </c>
      <c r="K2346" s="223">
        <v>513</v>
      </c>
      <c r="L2346" s="71"/>
      <c r="M2346" s="71"/>
      <c r="N2346" s="71"/>
      <c r="O2346" s="71"/>
      <c r="P2346" s="71"/>
      <c r="Q2346" s="71"/>
      <c r="R2346" s="71"/>
      <c r="S2346" s="71"/>
      <c r="T2346" s="71"/>
      <c r="U2346" s="71"/>
      <c r="V2346" s="71"/>
      <c r="W2346" s="71"/>
      <c r="X2346" s="71"/>
      <c r="Y2346" s="71"/>
      <c r="Z2346" s="71"/>
      <c r="AA2346" s="71"/>
      <c r="AB2346" s="71"/>
      <c r="AC2346" s="71"/>
      <c r="AD2346" s="71"/>
      <c r="AE2346" s="71"/>
      <c r="AF2346" s="71"/>
      <c r="AG2346" s="71"/>
      <c r="AH2346" s="71"/>
      <c r="AI2346" s="71"/>
      <c r="AJ2346" s="71"/>
      <c r="AK2346" s="71"/>
      <c r="AL2346" s="71"/>
      <c r="AM2346" s="71"/>
      <c r="AN2346" s="71"/>
      <c r="AO2346" s="71"/>
      <c r="AP2346" s="71"/>
      <c r="AQ2346" s="71"/>
      <c r="AR2346" s="71"/>
      <c r="AS2346" s="71"/>
      <c r="AT2346" s="71"/>
      <c r="AU2346" s="71"/>
      <c r="AV2346" s="71"/>
      <c r="AW2346" s="71"/>
      <c r="AX2346" s="71"/>
      <c r="AY2346" s="71"/>
      <c r="AZ2346" s="71"/>
      <c r="BA2346" s="71"/>
      <c r="BB2346" s="71"/>
      <c r="BC2346" s="71"/>
      <c r="BD2346" s="71"/>
      <c r="BE2346" s="71"/>
      <c r="BF2346" s="71"/>
      <c r="BG2346" s="71"/>
      <c r="BH2346" s="71"/>
      <c r="BI2346" s="71"/>
      <c r="BJ2346" s="71"/>
      <c r="BK2346" s="71"/>
      <c r="BL2346" s="71"/>
      <c r="BM2346" s="71"/>
      <c r="BN2346" s="71"/>
      <c r="BO2346" s="71"/>
      <c r="BP2346" s="71"/>
      <c r="BQ2346" s="71"/>
      <c r="BR2346" s="71"/>
      <c r="BS2346" s="71"/>
      <c r="BT2346" s="71"/>
      <c r="BU2346" s="71"/>
      <c r="BV2346" s="71"/>
      <c r="BW2346" s="71"/>
      <c r="BX2346" s="71"/>
      <c r="BY2346" s="71"/>
      <c r="BZ2346" s="71"/>
      <c r="CA2346" s="71"/>
      <c r="CB2346" s="71"/>
      <c r="CC2346" s="71"/>
      <c r="CD2346" s="71"/>
      <c r="CE2346" s="71"/>
      <c r="CF2346" s="71"/>
      <c r="CG2346" s="71"/>
      <c r="CH2346" s="71"/>
      <c r="CI2346" s="71"/>
      <c r="CJ2346" s="71"/>
      <c r="CK2346" s="71"/>
      <c r="CL2346" s="71"/>
      <c r="CM2346" s="71"/>
      <c r="CN2346" s="71"/>
      <c r="CO2346" s="71"/>
      <c r="CP2346" s="71"/>
      <c r="CQ2346" s="71"/>
      <c r="CR2346" s="71"/>
      <c r="CS2346" s="71"/>
      <c r="CT2346" s="71"/>
      <c r="CU2346" s="71"/>
      <c r="CV2346" s="71"/>
      <c r="CW2346" s="71"/>
      <c r="CX2346" s="71"/>
      <c r="CY2346" s="71"/>
      <c r="CZ2346" s="71"/>
      <c r="DA2346" s="71"/>
      <c r="DB2346" s="71"/>
      <c r="DC2346" s="71"/>
      <c r="DD2346" s="71"/>
      <c r="DE2346" s="71"/>
      <c r="DF2346" s="71"/>
      <c r="DG2346" s="71"/>
      <c r="DH2346" s="71"/>
      <c r="DI2346" s="71"/>
      <c r="DJ2346" s="71"/>
      <c r="DK2346" s="71"/>
      <c r="DL2346" s="71"/>
      <c r="DM2346" s="71"/>
      <c r="DN2346" s="71"/>
      <c r="DO2346" s="71"/>
      <c r="DP2346" s="71"/>
      <c r="DQ2346" s="71"/>
      <c r="DR2346" s="71"/>
      <c r="DS2346" s="71"/>
      <c r="DT2346" s="71"/>
      <c r="DU2346" s="71"/>
      <c r="DV2346" s="71"/>
      <c r="DW2346" s="71"/>
      <c r="DX2346" s="71"/>
      <c r="DY2346" s="71"/>
      <c r="DZ2346" s="71"/>
      <c r="EA2346" s="71"/>
      <c r="EB2346" s="71"/>
      <c r="EC2346" s="71"/>
      <c r="ED2346" s="71"/>
      <c r="EE2346" s="71"/>
      <c r="EF2346" s="71"/>
      <c r="EG2346" s="71"/>
      <c r="EH2346" s="71"/>
      <c r="EI2346" s="71"/>
      <c r="EJ2346" s="71"/>
      <c r="EK2346" s="71"/>
      <c r="EL2346" s="71"/>
      <c r="EM2346" s="71"/>
      <c r="EN2346" s="71"/>
    </row>
    <row r="2347" spans="1:144" x14ac:dyDescent="0.25">
      <c r="A2347" s="347"/>
      <c r="B2347" s="347"/>
      <c r="C2347" s="349"/>
      <c r="D2347" s="329"/>
      <c r="E2347" s="329"/>
      <c r="F2347" s="331"/>
      <c r="G2347" s="309"/>
      <c r="H2347" s="96" t="s">
        <v>69</v>
      </c>
      <c r="I2347" s="226">
        <f>I2346*0.0214</f>
        <v>2195.7800000000002</v>
      </c>
      <c r="J2347" s="223">
        <f>I2347/D2343</f>
        <v>3.44</v>
      </c>
      <c r="K2347" s="223">
        <v>11</v>
      </c>
      <c r="L2347" s="71"/>
      <c r="M2347" s="71"/>
      <c r="N2347" s="71"/>
      <c r="O2347" s="71"/>
      <c r="P2347" s="71"/>
      <c r="Q2347" s="71"/>
      <c r="R2347" s="71"/>
      <c r="S2347" s="71"/>
      <c r="T2347" s="71"/>
      <c r="U2347" s="71"/>
      <c r="V2347" s="71"/>
      <c r="W2347" s="71"/>
      <c r="X2347" s="71"/>
      <c r="Y2347" s="71"/>
      <c r="Z2347" s="71"/>
      <c r="AA2347" s="71"/>
      <c r="AB2347" s="71"/>
      <c r="AC2347" s="71"/>
      <c r="AD2347" s="71"/>
      <c r="AE2347" s="71"/>
      <c r="AF2347" s="71"/>
      <c r="AG2347" s="71"/>
      <c r="AH2347" s="71"/>
      <c r="AI2347" s="71"/>
      <c r="AJ2347" s="71"/>
      <c r="AK2347" s="71"/>
      <c r="AL2347" s="71"/>
      <c r="AM2347" s="71"/>
      <c r="AN2347" s="71"/>
      <c r="AO2347" s="71"/>
      <c r="AP2347" s="71"/>
      <c r="AQ2347" s="71"/>
      <c r="AR2347" s="71"/>
      <c r="AS2347" s="71"/>
      <c r="AT2347" s="71"/>
      <c r="AU2347" s="71"/>
      <c r="AV2347" s="71"/>
      <c r="AW2347" s="71"/>
      <c r="AX2347" s="71"/>
      <c r="AY2347" s="71"/>
      <c r="AZ2347" s="71"/>
      <c r="BA2347" s="71"/>
      <c r="BB2347" s="71"/>
      <c r="BC2347" s="71"/>
      <c r="BD2347" s="71"/>
      <c r="BE2347" s="71"/>
      <c r="BF2347" s="71"/>
      <c r="BG2347" s="71"/>
      <c r="BH2347" s="71"/>
      <c r="BI2347" s="71"/>
      <c r="BJ2347" s="71"/>
      <c r="BK2347" s="71"/>
      <c r="BL2347" s="71"/>
      <c r="BM2347" s="71"/>
      <c r="BN2347" s="71"/>
      <c r="BO2347" s="71"/>
      <c r="BP2347" s="71"/>
      <c r="BQ2347" s="71"/>
      <c r="BR2347" s="71"/>
      <c r="BS2347" s="71"/>
      <c r="BT2347" s="71"/>
      <c r="BU2347" s="71"/>
      <c r="BV2347" s="71"/>
      <c r="BW2347" s="71"/>
      <c r="BX2347" s="71"/>
      <c r="BY2347" s="71"/>
      <c r="BZ2347" s="71"/>
      <c r="CA2347" s="71"/>
      <c r="CB2347" s="71"/>
      <c r="CC2347" s="71"/>
      <c r="CD2347" s="71"/>
      <c r="CE2347" s="71"/>
      <c r="CF2347" s="71"/>
      <c r="CG2347" s="71"/>
      <c r="CH2347" s="71"/>
      <c r="CI2347" s="71"/>
      <c r="CJ2347" s="71"/>
      <c r="CK2347" s="71"/>
      <c r="CL2347" s="71"/>
      <c r="CM2347" s="71"/>
      <c r="CN2347" s="71"/>
      <c r="CO2347" s="71"/>
      <c r="CP2347" s="71"/>
      <c r="CQ2347" s="71"/>
      <c r="CR2347" s="71"/>
      <c r="CS2347" s="71"/>
      <c r="CT2347" s="71"/>
      <c r="CU2347" s="71"/>
      <c r="CV2347" s="71"/>
      <c r="CW2347" s="71"/>
      <c r="CX2347" s="71"/>
      <c r="CY2347" s="71"/>
      <c r="CZ2347" s="71"/>
      <c r="DA2347" s="71"/>
      <c r="DB2347" s="71"/>
      <c r="DC2347" s="71"/>
      <c r="DD2347" s="71"/>
      <c r="DE2347" s="71"/>
      <c r="DF2347" s="71"/>
      <c r="DG2347" s="71"/>
      <c r="DH2347" s="71"/>
      <c r="DI2347" s="71"/>
      <c r="DJ2347" s="71"/>
      <c r="DK2347" s="71"/>
      <c r="DL2347" s="71"/>
      <c r="DM2347" s="71"/>
      <c r="DN2347" s="71"/>
      <c r="DO2347" s="71"/>
      <c r="DP2347" s="71"/>
      <c r="DQ2347" s="71"/>
      <c r="DR2347" s="71"/>
      <c r="DS2347" s="71"/>
      <c r="DT2347" s="71"/>
      <c r="DU2347" s="71"/>
      <c r="DV2347" s="71"/>
      <c r="DW2347" s="71"/>
      <c r="DX2347" s="71"/>
      <c r="DY2347" s="71"/>
      <c r="DZ2347" s="71"/>
      <c r="EA2347" s="71"/>
      <c r="EB2347" s="71"/>
      <c r="EC2347" s="71"/>
      <c r="ED2347" s="71"/>
      <c r="EE2347" s="71"/>
      <c r="EF2347" s="71"/>
      <c r="EG2347" s="71"/>
      <c r="EH2347" s="71"/>
      <c r="EI2347" s="71"/>
      <c r="EJ2347" s="71"/>
      <c r="EK2347" s="71"/>
      <c r="EL2347" s="71"/>
      <c r="EM2347" s="71"/>
      <c r="EN2347" s="71"/>
    </row>
    <row r="2348" spans="1:144" x14ac:dyDescent="0.25">
      <c r="A2348" s="347"/>
      <c r="B2348" s="347"/>
      <c r="C2348" s="349"/>
      <c r="D2348" s="329"/>
      <c r="E2348" s="329"/>
      <c r="F2348" s="331"/>
      <c r="G2348" s="307" t="s">
        <v>72</v>
      </c>
      <c r="H2348" s="96" t="s">
        <v>67</v>
      </c>
      <c r="I2348" s="226">
        <v>230911.27</v>
      </c>
      <c r="J2348" s="223">
        <f>I2348/D2343</f>
        <v>361.97</v>
      </c>
      <c r="K2348" s="223">
        <v>542</v>
      </c>
      <c r="L2348" s="71"/>
      <c r="M2348" s="71"/>
      <c r="N2348" s="71"/>
      <c r="O2348" s="71"/>
      <c r="P2348" s="71"/>
      <c r="Q2348" s="71"/>
      <c r="R2348" s="71"/>
      <c r="S2348" s="71"/>
      <c r="T2348" s="71"/>
      <c r="U2348" s="71"/>
      <c r="V2348" s="71"/>
      <c r="W2348" s="71"/>
      <c r="X2348" s="71"/>
      <c r="Y2348" s="71"/>
      <c r="Z2348" s="71"/>
      <c r="AA2348" s="71"/>
      <c r="AB2348" s="71"/>
      <c r="AC2348" s="71"/>
      <c r="AD2348" s="71"/>
      <c r="AE2348" s="71"/>
      <c r="AF2348" s="71"/>
      <c r="AG2348" s="71"/>
      <c r="AH2348" s="71"/>
      <c r="AI2348" s="71"/>
      <c r="AJ2348" s="71"/>
      <c r="AK2348" s="71"/>
      <c r="AL2348" s="71"/>
      <c r="AM2348" s="71"/>
      <c r="AN2348" s="71"/>
      <c r="AO2348" s="71"/>
      <c r="AP2348" s="71"/>
      <c r="AQ2348" s="71"/>
      <c r="AR2348" s="71"/>
      <c r="AS2348" s="71"/>
      <c r="AT2348" s="71"/>
      <c r="AU2348" s="71"/>
      <c r="AV2348" s="71"/>
      <c r="AW2348" s="71"/>
      <c r="AX2348" s="71"/>
      <c r="AY2348" s="71"/>
      <c r="AZ2348" s="71"/>
      <c r="BA2348" s="71"/>
      <c r="BB2348" s="71"/>
      <c r="BC2348" s="71"/>
      <c r="BD2348" s="71"/>
      <c r="BE2348" s="71"/>
      <c r="BF2348" s="71"/>
      <c r="BG2348" s="71"/>
      <c r="BH2348" s="71"/>
      <c r="BI2348" s="71"/>
      <c r="BJ2348" s="71"/>
      <c r="BK2348" s="71"/>
      <c r="BL2348" s="71"/>
      <c r="BM2348" s="71"/>
      <c r="BN2348" s="71"/>
      <c r="BO2348" s="71"/>
      <c r="BP2348" s="71"/>
      <c r="BQ2348" s="71"/>
      <c r="BR2348" s="71"/>
      <c r="BS2348" s="71"/>
      <c r="BT2348" s="71"/>
      <c r="BU2348" s="71"/>
      <c r="BV2348" s="71"/>
      <c r="BW2348" s="71"/>
      <c r="BX2348" s="71"/>
      <c r="BY2348" s="71"/>
      <c r="BZ2348" s="71"/>
      <c r="CA2348" s="71"/>
      <c r="CB2348" s="71"/>
      <c r="CC2348" s="71"/>
      <c r="CD2348" s="71"/>
      <c r="CE2348" s="71"/>
      <c r="CF2348" s="71"/>
      <c r="CG2348" s="71"/>
      <c r="CH2348" s="71"/>
      <c r="CI2348" s="71"/>
      <c r="CJ2348" s="71"/>
      <c r="CK2348" s="71"/>
      <c r="CL2348" s="71"/>
      <c r="CM2348" s="71"/>
      <c r="CN2348" s="71"/>
      <c r="CO2348" s="71"/>
      <c r="CP2348" s="71"/>
      <c r="CQ2348" s="71"/>
      <c r="CR2348" s="71"/>
      <c r="CS2348" s="71"/>
      <c r="CT2348" s="71"/>
      <c r="CU2348" s="71"/>
      <c r="CV2348" s="71"/>
      <c r="CW2348" s="71"/>
      <c r="CX2348" s="71"/>
      <c r="CY2348" s="71"/>
      <c r="CZ2348" s="71"/>
      <c r="DA2348" s="71"/>
      <c r="DB2348" s="71"/>
      <c r="DC2348" s="71"/>
      <c r="DD2348" s="71"/>
      <c r="DE2348" s="71"/>
      <c r="DF2348" s="71"/>
      <c r="DG2348" s="71"/>
      <c r="DH2348" s="71"/>
      <c r="DI2348" s="71"/>
      <c r="DJ2348" s="71"/>
      <c r="DK2348" s="71"/>
      <c r="DL2348" s="71"/>
      <c r="DM2348" s="71"/>
      <c r="DN2348" s="71"/>
      <c r="DO2348" s="71"/>
      <c r="DP2348" s="71"/>
      <c r="DQ2348" s="71"/>
      <c r="DR2348" s="71"/>
      <c r="DS2348" s="71"/>
      <c r="DT2348" s="71"/>
      <c r="DU2348" s="71"/>
      <c r="DV2348" s="71"/>
      <c r="DW2348" s="71"/>
      <c r="DX2348" s="71"/>
      <c r="DY2348" s="71"/>
      <c r="DZ2348" s="71"/>
      <c r="EA2348" s="71"/>
      <c r="EB2348" s="71"/>
      <c r="EC2348" s="71"/>
      <c r="ED2348" s="71"/>
      <c r="EE2348" s="71"/>
      <c r="EF2348" s="71"/>
      <c r="EG2348" s="71"/>
      <c r="EH2348" s="71"/>
      <c r="EI2348" s="71"/>
      <c r="EJ2348" s="71"/>
      <c r="EK2348" s="71"/>
      <c r="EL2348" s="71"/>
      <c r="EM2348" s="71"/>
      <c r="EN2348" s="71"/>
    </row>
    <row r="2349" spans="1:144" x14ac:dyDescent="0.25">
      <c r="A2349" s="347"/>
      <c r="B2349" s="347"/>
      <c r="C2349" s="350"/>
      <c r="D2349" s="329"/>
      <c r="E2349" s="329"/>
      <c r="F2349" s="332"/>
      <c r="G2349" s="309"/>
      <c r="H2349" s="96" t="s">
        <v>69</v>
      </c>
      <c r="I2349" s="226">
        <f>I2348*0.0214</f>
        <v>4941.5</v>
      </c>
      <c r="J2349" s="223">
        <f>I2349/D2343</f>
        <v>7.75</v>
      </c>
      <c r="K2349" s="223">
        <v>12</v>
      </c>
      <c r="L2349" s="71"/>
      <c r="M2349" s="71"/>
      <c r="N2349" s="71"/>
      <c r="O2349" s="71"/>
      <c r="P2349" s="71"/>
      <c r="Q2349" s="71"/>
      <c r="R2349" s="71"/>
      <c r="S2349" s="71"/>
      <c r="T2349" s="71"/>
      <c r="U2349" s="71"/>
      <c r="V2349" s="71"/>
      <c r="W2349" s="71"/>
      <c r="X2349" s="71"/>
      <c r="Y2349" s="71"/>
      <c r="Z2349" s="71"/>
      <c r="AA2349" s="71"/>
      <c r="AB2349" s="71"/>
      <c r="AC2349" s="71"/>
      <c r="AD2349" s="71"/>
      <c r="AE2349" s="71"/>
      <c r="AF2349" s="71"/>
      <c r="AG2349" s="71"/>
      <c r="AH2349" s="71"/>
      <c r="AI2349" s="71"/>
      <c r="AJ2349" s="71"/>
      <c r="AK2349" s="71"/>
      <c r="AL2349" s="71"/>
      <c r="AM2349" s="71"/>
      <c r="AN2349" s="71"/>
      <c r="AO2349" s="71"/>
      <c r="AP2349" s="71"/>
      <c r="AQ2349" s="71"/>
      <c r="AR2349" s="71"/>
      <c r="AS2349" s="71"/>
      <c r="AT2349" s="71"/>
      <c r="AU2349" s="71"/>
      <c r="AV2349" s="71"/>
      <c r="AW2349" s="71"/>
      <c r="AX2349" s="71"/>
      <c r="AY2349" s="71"/>
      <c r="AZ2349" s="71"/>
      <c r="BA2349" s="71"/>
      <c r="BB2349" s="71"/>
      <c r="BC2349" s="71"/>
      <c r="BD2349" s="71"/>
      <c r="BE2349" s="71"/>
      <c r="BF2349" s="71"/>
      <c r="BG2349" s="71"/>
      <c r="BH2349" s="71"/>
      <c r="BI2349" s="71"/>
      <c r="BJ2349" s="71"/>
      <c r="BK2349" s="71"/>
      <c r="BL2349" s="71"/>
      <c r="BM2349" s="71"/>
      <c r="BN2349" s="71"/>
      <c r="BO2349" s="71"/>
      <c r="BP2349" s="71"/>
      <c r="BQ2349" s="71"/>
      <c r="BR2349" s="71"/>
      <c r="BS2349" s="71"/>
      <c r="BT2349" s="71"/>
      <c r="BU2349" s="71"/>
      <c r="BV2349" s="71"/>
      <c r="BW2349" s="71"/>
      <c r="BX2349" s="71"/>
      <c r="BY2349" s="71"/>
      <c r="BZ2349" s="71"/>
      <c r="CA2349" s="71"/>
      <c r="CB2349" s="71"/>
      <c r="CC2349" s="71"/>
      <c r="CD2349" s="71"/>
      <c r="CE2349" s="71"/>
      <c r="CF2349" s="71"/>
      <c r="CG2349" s="71"/>
      <c r="CH2349" s="71"/>
      <c r="CI2349" s="71"/>
      <c r="CJ2349" s="71"/>
      <c r="CK2349" s="71"/>
      <c r="CL2349" s="71"/>
      <c r="CM2349" s="71"/>
      <c r="CN2349" s="71"/>
      <c r="CO2349" s="71"/>
      <c r="CP2349" s="71"/>
      <c r="CQ2349" s="71"/>
      <c r="CR2349" s="71"/>
      <c r="CS2349" s="71"/>
      <c r="CT2349" s="71"/>
      <c r="CU2349" s="71"/>
      <c r="CV2349" s="71"/>
      <c r="CW2349" s="71"/>
      <c r="CX2349" s="71"/>
      <c r="CY2349" s="71"/>
      <c r="CZ2349" s="71"/>
      <c r="DA2349" s="71"/>
      <c r="DB2349" s="71"/>
      <c r="DC2349" s="71"/>
      <c r="DD2349" s="71"/>
      <c r="DE2349" s="71"/>
      <c r="DF2349" s="71"/>
      <c r="DG2349" s="71"/>
      <c r="DH2349" s="71"/>
      <c r="DI2349" s="71"/>
      <c r="DJ2349" s="71"/>
      <c r="DK2349" s="71"/>
      <c r="DL2349" s="71"/>
      <c r="DM2349" s="71"/>
      <c r="DN2349" s="71"/>
      <c r="DO2349" s="71"/>
      <c r="DP2349" s="71"/>
      <c r="DQ2349" s="71"/>
      <c r="DR2349" s="71"/>
      <c r="DS2349" s="71"/>
      <c r="DT2349" s="71"/>
      <c r="DU2349" s="71"/>
      <c r="DV2349" s="71"/>
      <c r="DW2349" s="71"/>
      <c r="DX2349" s="71"/>
      <c r="DY2349" s="71"/>
      <c r="DZ2349" s="71"/>
      <c r="EA2349" s="71"/>
      <c r="EB2349" s="71"/>
      <c r="EC2349" s="71"/>
      <c r="ED2349" s="71"/>
      <c r="EE2349" s="71"/>
      <c r="EF2349" s="71"/>
      <c r="EG2349" s="71"/>
      <c r="EH2349" s="71"/>
      <c r="EI2349" s="71"/>
      <c r="EJ2349" s="71"/>
      <c r="EK2349" s="71"/>
      <c r="EL2349" s="71"/>
      <c r="EM2349" s="71"/>
      <c r="EN2349" s="71"/>
    </row>
    <row r="2350" spans="1:144" s="118" customFormat="1" ht="15.75" customHeight="1" x14ac:dyDescent="0.25">
      <c r="A2350" s="335">
        <f>A2343+1</f>
        <v>15</v>
      </c>
      <c r="B2350" s="335">
        <v>6963</v>
      </c>
      <c r="C2350" s="337" t="s">
        <v>708</v>
      </c>
      <c r="D2350" s="327">
        <v>1094.7</v>
      </c>
      <c r="E2350" s="327" t="s">
        <v>68</v>
      </c>
      <c r="F2350" s="324">
        <v>3</v>
      </c>
      <c r="G2350" s="116"/>
      <c r="H2350" s="117" t="s">
        <v>66</v>
      </c>
      <c r="I2350" s="226">
        <f>SUM(I2351:I2351)</f>
        <v>261633.3</v>
      </c>
      <c r="J2350" s="226">
        <f>SUM(J2351:J2351)</f>
        <v>239</v>
      </c>
      <c r="K2350" s="226">
        <f>SUM(K2351:K2351)</f>
        <v>239</v>
      </c>
    </row>
    <row r="2351" spans="1:144" s="118" customFormat="1" ht="63" x14ac:dyDescent="0.25">
      <c r="A2351" s="336"/>
      <c r="B2351" s="336"/>
      <c r="C2351" s="338"/>
      <c r="D2351" s="339"/>
      <c r="E2351" s="339"/>
      <c r="F2351" s="325"/>
      <c r="G2351" s="162" t="s">
        <v>65</v>
      </c>
      <c r="H2351" s="117" t="s">
        <v>178</v>
      </c>
      <c r="I2351" s="226">
        <f>D2350*K2351</f>
        <v>261633.3</v>
      </c>
      <c r="J2351" s="226">
        <f>I2351/D2350</f>
        <v>239</v>
      </c>
      <c r="K2351" s="226">
        <f>151+88</f>
        <v>239</v>
      </c>
    </row>
    <row r="2352" spans="1:144" x14ac:dyDescent="0.25">
      <c r="A2352" s="361">
        <f>A2350+1</f>
        <v>16</v>
      </c>
      <c r="B2352" s="361">
        <v>6931</v>
      </c>
      <c r="C2352" s="363" t="s">
        <v>319</v>
      </c>
      <c r="D2352" s="318">
        <v>3585.5</v>
      </c>
      <c r="E2352" s="361" t="s">
        <v>64</v>
      </c>
      <c r="F2352" s="361">
        <v>5</v>
      </c>
      <c r="G2352" s="161"/>
      <c r="H2352" s="87" t="s">
        <v>66</v>
      </c>
      <c r="I2352" s="223">
        <f>SUM(I2353:I2355)</f>
        <v>13977533.93</v>
      </c>
      <c r="J2352" s="223">
        <f t="shared" ref="J2352:K2352" si="78">SUM(J2353:J2355)</f>
        <v>3898.35</v>
      </c>
      <c r="K2352" s="223">
        <f t="shared" si="78"/>
        <v>3929</v>
      </c>
    </row>
    <row r="2353" spans="1:144" ht="63" x14ac:dyDescent="0.25">
      <c r="A2353" s="362"/>
      <c r="B2353" s="362"/>
      <c r="C2353" s="364"/>
      <c r="D2353" s="319"/>
      <c r="E2353" s="362"/>
      <c r="F2353" s="362"/>
      <c r="G2353" s="307" t="s">
        <v>65</v>
      </c>
      <c r="H2353" s="87" t="s">
        <v>178</v>
      </c>
      <c r="I2353" s="226">
        <v>535494.43000000005</v>
      </c>
      <c r="J2353" s="223">
        <f>I2353/D2352</f>
        <v>149.35</v>
      </c>
      <c r="K2353" s="226">
        <f>147+33</f>
        <v>180</v>
      </c>
    </row>
    <row r="2354" spans="1:144" s="118" customFormat="1" ht="31.5" x14ac:dyDescent="0.25">
      <c r="A2354" s="362"/>
      <c r="B2354" s="362"/>
      <c r="C2354" s="364"/>
      <c r="D2354" s="319"/>
      <c r="E2354" s="362"/>
      <c r="F2354" s="362"/>
      <c r="G2354" s="308"/>
      <c r="H2354" s="87" t="s">
        <v>76</v>
      </c>
      <c r="I2354" s="227">
        <f>D2352*K2354</f>
        <v>13158785</v>
      </c>
      <c r="J2354" s="227">
        <f>I2354/D2352</f>
        <v>3670</v>
      </c>
      <c r="K2354" s="226">
        <v>3670</v>
      </c>
    </row>
    <row r="2355" spans="1:144" s="118" customFormat="1" x14ac:dyDescent="0.25">
      <c r="A2355" s="347"/>
      <c r="B2355" s="347"/>
      <c r="C2355" s="365"/>
      <c r="D2355" s="329"/>
      <c r="E2355" s="347"/>
      <c r="F2355" s="347"/>
      <c r="G2355" s="309"/>
      <c r="H2355" s="117" t="s">
        <v>69</v>
      </c>
      <c r="I2355" s="227">
        <f>D2352*K2355</f>
        <v>283254.5</v>
      </c>
      <c r="J2355" s="227">
        <f>I2355/D2352</f>
        <v>79</v>
      </c>
      <c r="K2355" s="226">
        <v>79</v>
      </c>
    </row>
    <row r="2356" spans="1:144" x14ac:dyDescent="0.25">
      <c r="A2356" s="346">
        <f>A2352+1</f>
        <v>17</v>
      </c>
      <c r="B2356" s="346">
        <v>6818</v>
      </c>
      <c r="C2356" s="348" t="s">
        <v>320</v>
      </c>
      <c r="D2356" s="312">
        <v>636.4</v>
      </c>
      <c r="E2356" s="312" t="s">
        <v>68</v>
      </c>
      <c r="F2356" s="330">
        <v>2</v>
      </c>
      <c r="G2356" s="161"/>
      <c r="H2356" s="87" t="s">
        <v>66</v>
      </c>
      <c r="I2356" s="223">
        <f>SUM(I2357:I2359)</f>
        <v>138098.79999999999</v>
      </c>
      <c r="J2356" s="223">
        <f>SUM(J2357:J2359)</f>
        <v>217</v>
      </c>
      <c r="K2356" s="223">
        <f>SUM(K2357:K2359)</f>
        <v>217</v>
      </c>
      <c r="L2356" s="71"/>
      <c r="M2356" s="71"/>
      <c r="N2356" s="71"/>
      <c r="O2356" s="71"/>
      <c r="P2356" s="71"/>
      <c r="Q2356" s="71"/>
      <c r="R2356" s="71"/>
      <c r="S2356" s="71"/>
      <c r="T2356" s="71"/>
      <c r="U2356" s="71"/>
      <c r="V2356" s="71"/>
      <c r="W2356" s="71"/>
      <c r="X2356" s="71"/>
      <c r="Y2356" s="71"/>
      <c r="Z2356" s="71"/>
      <c r="AA2356" s="71"/>
      <c r="AB2356" s="71"/>
      <c r="AC2356" s="71"/>
      <c r="AD2356" s="71"/>
      <c r="AE2356" s="71"/>
      <c r="AF2356" s="71"/>
      <c r="AG2356" s="71"/>
      <c r="AH2356" s="71"/>
      <c r="AI2356" s="71"/>
      <c r="AJ2356" s="71"/>
      <c r="AK2356" s="71"/>
      <c r="AL2356" s="71"/>
      <c r="AM2356" s="71"/>
      <c r="AN2356" s="71"/>
      <c r="AO2356" s="71"/>
      <c r="AP2356" s="71"/>
      <c r="AQ2356" s="71"/>
      <c r="AR2356" s="71"/>
      <c r="AS2356" s="71"/>
      <c r="AT2356" s="71"/>
      <c r="AU2356" s="71"/>
      <c r="AV2356" s="71"/>
      <c r="AW2356" s="71"/>
      <c r="AX2356" s="71"/>
      <c r="AY2356" s="71"/>
      <c r="AZ2356" s="71"/>
      <c r="BA2356" s="71"/>
      <c r="BB2356" s="71"/>
      <c r="BC2356" s="71"/>
      <c r="BD2356" s="71"/>
      <c r="BE2356" s="71"/>
      <c r="BF2356" s="71"/>
      <c r="BG2356" s="71"/>
      <c r="BH2356" s="71"/>
      <c r="BI2356" s="71"/>
      <c r="BJ2356" s="71"/>
      <c r="BK2356" s="71"/>
      <c r="BL2356" s="71"/>
      <c r="BM2356" s="71"/>
      <c r="BN2356" s="71"/>
      <c r="BO2356" s="71"/>
      <c r="BP2356" s="71"/>
      <c r="BQ2356" s="71"/>
      <c r="BR2356" s="71"/>
      <c r="BS2356" s="71"/>
      <c r="BT2356" s="71"/>
      <c r="BU2356" s="71"/>
      <c r="BV2356" s="71"/>
      <c r="BW2356" s="71"/>
      <c r="BX2356" s="71"/>
      <c r="BY2356" s="71"/>
      <c r="BZ2356" s="71"/>
      <c r="CA2356" s="71"/>
      <c r="CB2356" s="71"/>
      <c r="CC2356" s="71"/>
      <c r="CD2356" s="71"/>
      <c r="CE2356" s="71"/>
      <c r="CF2356" s="71"/>
      <c r="CG2356" s="71"/>
      <c r="CH2356" s="71"/>
      <c r="CI2356" s="71"/>
      <c r="CJ2356" s="71"/>
      <c r="CK2356" s="71"/>
      <c r="CL2356" s="71"/>
      <c r="CM2356" s="71"/>
      <c r="CN2356" s="71"/>
      <c r="CO2356" s="71"/>
      <c r="CP2356" s="71"/>
      <c r="CQ2356" s="71"/>
      <c r="CR2356" s="71"/>
      <c r="CS2356" s="71"/>
      <c r="CT2356" s="71"/>
      <c r="CU2356" s="71"/>
      <c r="CV2356" s="71"/>
      <c r="CW2356" s="71"/>
      <c r="CX2356" s="71"/>
      <c r="CY2356" s="71"/>
      <c r="CZ2356" s="71"/>
      <c r="DA2356" s="71"/>
      <c r="DB2356" s="71"/>
      <c r="DC2356" s="71"/>
      <c r="DD2356" s="71"/>
      <c r="DE2356" s="71"/>
      <c r="DF2356" s="71"/>
      <c r="DG2356" s="71"/>
      <c r="DH2356" s="71"/>
      <c r="DI2356" s="71"/>
      <c r="DJ2356" s="71"/>
      <c r="DK2356" s="71"/>
      <c r="DL2356" s="71"/>
      <c r="DM2356" s="71"/>
      <c r="DN2356" s="71"/>
      <c r="DO2356" s="71"/>
      <c r="DP2356" s="71"/>
      <c r="DQ2356" s="71"/>
      <c r="DR2356" s="71"/>
      <c r="DS2356" s="71"/>
      <c r="DT2356" s="71"/>
      <c r="DU2356" s="71"/>
      <c r="DV2356" s="71"/>
      <c r="DW2356" s="71"/>
      <c r="DX2356" s="71"/>
      <c r="DY2356" s="71"/>
      <c r="DZ2356" s="71"/>
      <c r="EA2356" s="71"/>
      <c r="EB2356" s="71"/>
      <c r="EC2356" s="71"/>
      <c r="ED2356" s="71"/>
      <c r="EE2356" s="71"/>
      <c r="EF2356" s="71"/>
      <c r="EG2356" s="71"/>
      <c r="EH2356" s="71"/>
      <c r="EI2356" s="71"/>
      <c r="EJ2356" s="71"/>
      <c r="EK2356" s="71"/>
      <c r="EL2356" s="71"/>
      <c r="EM2356" s="71"/>
      <c r="EN2356" s="71"/>
    </row>
    <row r="2357" spans="1:144" ht="63" x14ac:dyDescent="0.25">
      <c r="A2357" s="347"/>
      <c r="B2357" s="347"/>
      <c r="C2357" s="349"/>
      <c r="D2357" s="329"/>
      <c r="E2357" s="329"/>
      <c r="F2357" s="331"/>
      <c r="G2357" s="148" t="s">
        <v>70</v>
      </c>
      <c r="H2357" s="87" t="s">
        <v>168</v>
      </c>
      <c r="I2357" s="223">
        <f>D2356*K2357</f>
        <v>87186.8</v>
      </c>
      <c r="J2357" s="223">
        <f>I2357/D2356</f>
        <v>137</v>
      </c>
      <c r="K2357" s="223">
        <f>116+21</f>
        <v>137</v>
      </c>
      <c r="L2357" s="71"/>
      <c r="M2357" s="71"/>
      <c r="N2357" s="71"/>
      <c r="O2357" s="71"/>
      <c r="P2357" s="71"/>
      <c r="Q2357" s="71"/>
      <c r="R2357" s="71"/>
      <c r="S2357" s="71"/>
      <c r="T2357" s="71"/>
      <c r="U2357" s="71"/>
      <c r="V2357" s="71"/>
      <c r="W2357" s="71"/>
      <c r="X2357" s="71"/>
      <c r="Y2357" s="71"/>
      <c r="Z2357" s="71"/>
      <c r="AA2357" s="71"/>
      <c r="AB2357" s="71"/>
      <c r="AC2357" s="71"/>
      <c r="AD2357" s="71"/>
      <c r="AE2357" s="71"/>
      <c r="AF2357" s="71"/>
      <c r="AG2357" s="71"/>
      <c r="AH2357" s="71"/>
      <c r="AI2357" s="71"/>
      <c r="AJ2357" s="71"/>
      <c r="AK2357" s="71"/>
      <c r="AL2357" s="71"/>
      <c r="AM2357" s="71"/>
      <c r="AN2357" s="71"/>
      <c r="AO2357" s="71"/>
      <c r="AP2357" s="71"/>
      <c r="AQ2357" s="71"/>
      <c r="AR2357" s="71"/>
      <c r="AS2357" s="71"/>
      <c r="AT2357" s="71"/>
      <c r="AU2357" s="71"/>
      <c r="AV2357" s="71"/>
      <c r="AW2357" s="71"/>
      <c r="AX2357" s="71"/>
      <c r="AY2357" s="71"/>
      <c r="AZ2357" s="71"/>
      <c r="BA2357" s="71"/>
      <c r="BB2357" s="71"/>
      <c r="BC2357" s="71"/>
      <c r="BD2357" s="71"/>
      <c r="BE2357" s="71"/>
      <c r="BF2357" s="71"/>
      <c r="BG2357" s="71"/>
      <c r="BH2357" s="71"/>
      <c r="BI2357" s="71"/>
      <c r="BJ2357" s="71"/>
      <c r="BK2357" s="71"/>
      <c r="BL2357" s="71"/>
      <c r="BM2357" s="71"/>
      <c r="BN2357" s="71"/>
      <c r="BO2357" s="71"/>
      <c r="BP2357" s="71"/>
      <c r="BQ2357" s="71"/>
      <c r="BR2357" s="71"/>
      <c r="BS2357" s="71"/>
      <c r="BT2357" s="71"/>
      <c r="BU2357" s="71"/>
      <c r="BV2357" s="71"/>
      <c r="BW2357" s="71"/>
      <c r="BX2357" s="71"/>
      <c r="BY2357" s="71"/>
      <c r="BZ2357" s="71"/>
      <c r="CA2357" s="71"/>
      <c r="CB2357" s="71"/>
      <c r="CC2357" s="71"/>
      <c r="CD2357" s="71"/>
      <c r="CE2357" s="71"/>
      <c r="CF2357" s="71"/>
      <c r="CG2357" s="71"/>
      <c r="CH2357" s="71"/>
      <c r="CI2357" s="71"/>
      <c r="CJ2357" s="71"/>
      <c r="CK2357" s="71"/>
      <c r="CL2357" s="71"/>
      <c r="CM2357" s="71"/>
      <c r="CN2357" s="71"/>
      <c r="CO2357" s="71"/>
      <c r="CP2357" s="71"/>
      <c r="CQ2357" s="71"/>
      <c r="CR2357" s="71"/>
      <c r="CS2357" s="71"/>
      <c r="CT2357" s="71"/>
      <c r="CU2357" s="71"/>
      <c r="CV2357" s="71"/>
      <c r="CW2357" s="71"/>
      <c r="CX2357" s="71"/>
      <c r="CY2357" s="71"/>
      <c r="CZ2357" s="71"/>
      <c r="DA2357" s="71"/>
      <c r="DB2357" s="71"/>
      <c r="DC2357" s="71"/>
      <c r="DD2357" s="71"/>
      <c r="DE2357" s="71"/>
      <c r="DF2357" s="71"/>
      <c r="DG2357" s="71"/>
      <c r="DH2357" s="71"/>
      <c r="DI2357" s="71"/>
      <c r="DJ2357" s="71"/>
      <c r="DK2357" s="71"/>
      <c r="DL2357" s="71"/>
      <c r="DM2357" s="71"/>
      <c r="DN2357" s="71"/>
      <c r="DO2357" s="71"/>
      <c r="DP2357" s="71"/>
      <c r="DQ2357" s="71"/>
      <c r="DR2357" s="71"/>
      <c r="DS2357" s="71"/>
      <c r="DT2357" s="71"/>
      <c r="DU2357" s="71"/>
      <c r="DV2357" s="71"/>
      <c r="DW2357" s="71"/>
      <c r="DX2357" s="71"/>
      <c r="DY2357" s="71"/>
      <c r="DZ2357" s="71"/>
      <c r="EA2357" s="71"/>
      <c r="EB2357" s="71"/>
      <c r="EC2357" s="71"/>
      <c r="ED2357" s="71"/>
      <c r="EE2357" s="71"/>
      <c r="EF2357" s="71"/>
      <c r="EG2357" s="71"/>
      <c r="EH2357" s="71"/>
      <c r="EI2357" s="71"/>
      <c r="EJ2357" s="71"/>
      <c r="EK2357" s="71"/>
      <c r="EL2357" s="71"/>
      <c r="EM2357" s="71"/>
      <c r="EN2357" s="71"/>
    </row>
    <row r="2358" spans="1:144" ht="63" x14ac:dyDescent="0.25">
      <c r="A2358" s="347"/>
      <c r="B2358" s="347"/>
      <c r="C2358" s="349"/>
      <c r="D2358" s="329"/>
      <c r="E2358" s="329"/>
      <c r="F2358" s="331"/>
      <c r="G2358" s="148" t="s">
        <v>71</v>
      </c>
      <c r="H2358" s="87" t="s">
        <v>168</v>
      </c>
      <c r="I2358" s="223">
        <f>D2356*K2358</f>
        <v>24819.599999999999</v>
      </c>
      <c r="J2358" s="223">
        <f>I2358/D2356</f>
        <v>39</v>
      </c>
      <c r="K2358" s="223">
        <f>30+9</f>
        <v>39</v>
      </c>
      <c r="L2358" s="71"/>
      <c r="M2358" s="71"/>
      <c r="N2358" s="71"/>
      <c r="O2358" s="71"/>
      <c r="P2358" s="71"/>
      <c r="Q2358" s="71"/>
      <c r="R2358" s="71"/>
      <c r="S2358" s="71"/>
      <c r="T2358" s="71"/>
      <c r="U2358" s="71"/>
      <c r="V2358" s="71"/>
      <c r="W2358" s="71"/>
      <c r="X2358" s="71"/>
      <c r="Y2358" s="71"/>
      <c r="Z2358" s="71"/>
      <c r="AA2358" s="71"/>
      <c r="AB2358" s="71"/>
      <c r="AC2358" s="71"/>
      <c r="AD2358" s="71"/>
      <c r="AE2358" s="71"/>
      <c r="AF2358" s="71"/>
      <c r="AG2358" s="71"/>
      <c r="AH2358" s="71"/>
      <c r="AI2358" s="71"/>
      <c r="AJ2358" s="71"/>
      <c r="AK2358" s="71"/>
      <c r="AL2358" s="71"/>
      <c r="AM2358" s="71"/>
      <c r="AN2358" s="71"/>
      <c r="AO2358" s="71"/>
      <c r="AP2358" s="71"/>
      <c r="AQ2358" s="71"/>
      <c r="AR2358" s="71"/>
      <c r="AS2358" s="71"/>
      <c r="AT2358" s="71"/>
      <c r="AU2358" s="71"/>
      <c r="AV2358" s="71"/>
      <c r="AW2358" s="71"/>
      <c r="AX2358" s="71"/>
      <c r="AY2358" s="71"/>
      <c r="AZ2358" s="71"/>
      <c r="BA2358" s="71"/>
      <c r="BB2358" s="71"/>
      <c r="BC2358" s="71"/>
      <c r="BD2358" s="71"/>
      <c r="BE2358" s="71"/>
      <c r="BF2358" s="71"/>
      <c r="BG2358" s="71"/>
      <c r="BH2358" s="71"/>
      <c r="BI2358" s="71"/>
      <c r="BJ2358" s="71"/>
      <c r="BK2358" s="71"/>
      <c r="BL2358" s="71"/>
      <c r="BM2358" s="71"/>
      <c r="BN2358" s="71"/>
      <c r="BO2358" s="71"/>
      <c r="BP2358" s="71"/>
      <c r="BQ2358" s="71"/>
      <c r="BR2358" s="71"/>
      <c r="BS2358" s="71"/>
      <c r="BT2358" s="71"/>
      <c r="BU2358" s="71"/>
      <c r="BV2358" s="71"/>
      <c r="BW2358" s="71"/>
      <c r="BX2358" s="71"/>
      <c r="BY2358" s="71"/>
      <c r="BZ2358" s="71"/>
      <c r="CA2358" s="71"/>
      <c r="CB2358" s="71"/>
      <c r="CC2358" s="71"/>
      <c r="CD2358" s="71"/>
      <c r="CE2358" s="71"/>
      <c r="CF2358" s="71"/>
      <c r="CG2358" s="71"/>
      <c r="CH2358" s="71"/>
      <c r="CI2358" s="71"/>
      <c r="CJ2358" s="71"/>
      <c r="CK2358" s="71"/>
      <c r="CL2358" s="71"/>
      <c r="CM2358" s="71"/>
      <c r="CN2358" s="71"/>
      <c r="CO2358" s="71"/>
      <c r="CP2358" s="71"/>
      <c r="CQ2358" s="71"/>
      <c r="CR2358" s="71"/>
      <c r="CS2358" s="71"/>
      <c r="CT2358" s="71"/>
      <c r="CU2358" s="71"/>
      <c r="CV2358" s="71"/>
      <c r="CW2358" s="71"/>
      <c r="CX2358" s="71"/>
      <c r="CY2358" s="71"/>
      <c r="CZ2358" s="71"/>
      <c r="DA2358" s="71"/>
      <c r="DB2358" s="71"/>
      <c r="DC2358" s="71"/>
      <c r="DD2358" s="71"/>
      <c r="DE2358" s="71"/>
      <c r="DF2358" s="71"/>
      <c r="DG2358" s="71"/>
      <c r="DH2358" s="71"/>
      <c r="DI2358" s="71"/>
      <c r="DJ2358" s="71"/>
      <c r="DK2358" s="71"/>
      <c r="DL2358" s="71"/>
      <c r="DM2358" s="71"/>
      <c r="DN2358" s="71"/>
      <c r="DO2358" s="71"/>
      <c r="DP2358" s="71"/>
      <c r="DQ2358" s="71"/>
      <c r="DR2358" s="71"/>
      <c r="DS2358" s="71"/>
      <c r="DT2358" s="71"/>
      <c r="DU2358" s="71"/>
      <c r="DV2358" s="71"/>
      <c r="DW2358" s="71"/>
      <c r="DX2358" s="71"/>
      <c r="DY2358" s="71"/>
      <c r="DZ2358" s="71"/>
      <c r="EA2358" s="71"/>
      <c r="EB2358" s="71"/>
      <c r="EC2358" s="71"/>
      <c r="ED2358" s="71"/>
      <c r="EE2358" s="71"/>
      <c r="EF2358" s="71"/>
      <c r="EG2358" s="71"/>
      <c r="EH2358" s="71"/>
      <c r="EI2358" s="71"/>
      <c r="EJ2358" s="71"/>
      <c r="EK2358" s="71"/>
      <c r="EL2358" s="71"/>
      <c r="EM2358" s="71"/>
      <c r="EN2358" s="71"/>
    </row>
    <row r="2359" spans="1:144" ht="63" x14ac:dyDescent="0.25">
      <c r="A2359" s="347"/>
      <c r="B2359" s="347"/>
      <c r="C2359" s="350"/>
      <c r="D2359" s="329"/>
      <c r="E2359" s="329"/>
      <c r="F2359" s="332"/>
      <c r="G2359" s="148" t="s">
        <v>72</v>
      </c>
      <c r="H2359" s="87" t="s">
        <v>168</v>
      </c>
      <c r="I2359" s="223">
        <f>D2356*K2359</f>
        <v>26092.400000000001</v>
      </c>
      <c r="J2359" s="223">
        <f>I2359/D2356</f>
        <v>41</v>
      </c>
      <c r="K2359" s="223">
        <f>22+19</f>
        <v>41</v>
      </c>
      <c r="L2359" s="71"/>
      <c r="M2359" s="71"/>
      <c r="N2359" s="71"/>
      <c r="O2359" s="71"/>
      <c r="P2359" s="71"/>
      <c r="Q2359" s="71"/>
      <c r="R2359" s="71"/>
      <c r="S2359" s="71"/>
      <c r="T2359" s="71"/>
      <c r="U2359" s="71"/>
      <c r="V2359" s="71"/>
      <c r="W2359" s="71"/>
      <c r="X2359" s="71"/>
      <c r="Y2359" s="71"/>
      <c r="Z2359" s="71"/>
      <c r="AA2359" s="71"/>
      <c r="AB2359" s="71"/>
      <c r="AC2359" s="71"/>
      <c r="AD2359" s="71"/>
      <c r="AE2359" s="71"/>
      <c r="AF2359" s="71"/>
      <c r="AG2359" s="71"/>
      <c r="AH2359" s="71"/>
      <c r="AI2359" s="71"/>
      <c r="AJ2359" s="71"/>
      <c r="AK2359" s="71"/>
      <c r="AL2359" s="71"/>
      <c r="AM2359" s="71"/>
      <c r="AN2359" s="71"/>
      <c r="AO2359" s="71"/>
      <c r="AP2359" s="71"/>
      <c r="AQ2359" s="71"/>
      <c r="AR2359" s="71"/>
      <c r="AS2359" s="71"/>
      <c r="AT2359" s="71"/>
      <c r="AU2359" s="71"/>
      <c r="AV2359" s="71"/>
      <c r="AW2359" s="71"/>
      <c r="AX2359" s="71"/>
      <c r="AY2359" s="71"/>
      <c r="AZ2359" s="71"/>
      <c r="BA2359" s="71"/>
      <c r="BB2359" s="71"/>
      <c r="BC2359" s="71"/>
      <c r="BD2359" s="71"/>
      <c r="BE2359" s="71"/>
      <c r="BF2359" s="71"/>
      <c r="BG2359" s="71"/>
      <c r="BH2359" s="71"/>
      <c r="BI2359" s="71"/>
      <c r="BJ2359" s="71"/>
      <c r="BK2359" s="71"/>
      <c r="BL2359" s="71"/>
      <c r="BM2359" s="71"/>
      <c r="BN2359" s="71"/>
      <c r="BO2359" s="71"/>
      <c r="BP2359" s="71"/>
      <c r="BQ2359" s="71"/>
      <c r="BR2359" s="71"/>
      <c r="BS2359" s="71"/>
      <c r="BT2359" s="71"/>
      <c r="BU2359" s="71"/>
      <c r="BV2359" s="71"/>
      <c r="BW2359" s="71"/>
      <c r="BX2359" s="71"/>
      <c r="BY2359" s="71"/>
      <c r="BZ2359" s="71"/>
      <c r="CA2359" s="71"/>
      <c r="CB2359" s="71"/>
      <c r="CC2359" s="71"/>
      <c r="CD2359" s="71"/>
      <c r="CE2359" s="71"/>
      <c r="CF2359" s="71"/>
      <c r="CG2359" s="71"/>
      <c r="CH2359" s="71"/>
      <c r="CI2359" s="71"/>
      <c r="CJ2359" s="71"/>
      <c r="CK2359" s="71"/>
      <c r="CL2359" s="71"/>
      <c r="CM2359" s="71"/>
      <c r="CN2359" s="71"/>
      <c r="CO2359" s="71"/>
      <c r="CP2359" s="71"/>
      <c r="CQ2359" s="71"/>
      <c r="CR2359" s="71"/>
      <c r="CS2359" s="71"/>
      <c r="CT2359" s="71"/>
      <c r="CU2359" s="71"/>
      <c r="CV2359" s="71"/>
      <c r="CW2359" s="71"/>
      <c r="CX2359" s="71"/>
      <c r="CY2359" s="71"/>
      <c r="CZ2359" s="71"/>
      <c r="DA2359" s="71"/>
      <c r="DB2359" s="71"/>
      <c r="DC2359" s="71"/>
      <c r="DD2359" s="71"/>
      <c r="DE2359" s="71"/>
      <c r="DF2359" s="71"/>
      <c r="DG2359" s="71"/>
      <c r="DH2359" s="71"/>
      <c r="DI2359" s="71"/>
      <c r="DJ2359" s="71"/>
      <c r="DK2359" s="71"/>
      <c r="DL2359" s="71"/>
      <c r="DM2359" s="71"/>
      <c r="DN2359" s="71"/>
      <c r="DO2359" s="71"/>
      <c r="DP2359" s="71"/>
      <c r="DQ2359" s="71"/>
      <c r="DR2359" s="71"/>
      <c r="DS2359" s="71"/>
      <c r="DT2359" s="71"/>
      <c r="DU2359" s="71"/>
      <c r="DV2359" s="71"/>
      <c r="DW2359" s="71"/>
      <c r="DX2359" s="71"/>
      <c r="DY2359" s="71"/>
      <c r="DZ2359" s="71"/>
      <c r="EA2359" s="71"/>
      <c r="EB2359" s="71"/>
      <c r="EC2359" s="71"/>
      <c r="ED2359" s="71"/>
      <c r="EE2359" s="71"/>
      <c r="EF2359" s="71"/>
      <c r="EG2359" s="71"/>
      <c r="EH2359" s="71"/>
      <c r="EI2359" s="71"/>
      <c r="EJ2359" s="71"/>
      <c r="EK2359" s="71"/>
      <c r="EL2359" s="71"/>
      <c r="EM2359" s="71"/>
      <c r="EN2359" s="71"/>
    </row>
    <row r="2360" spans="1:144" x14ac:dyDescent="0.25">
      <c r="A2360" s="346">
        <f>A2356+1</f>
        <v>18</v>
      </c>
      <c r="B2360" s="346">
        <v>6868</v>
      </c>
      <c r="C2360" s="348" t="s">
        <v>321</v>
      </c>
      <c r="D2360" s="312">
        <v>701</v>
      </c>
      <c r="E2360" s="312" t="s">
        <v>68</v>
      </c>
      <c r="F2360" s="330">
        <v>2</v>
      </c>
      <c r="G2360" s="161"/>
      <c r="H2360" s="87" t="s">
        <v>66</v>
      </c>
      <c r="I2360" s="223">
        <f>SUM(I2361:I2362)</f>
        <v>125479</v>
      </c>
      <c r="J2360" s="223">
        <f>SUM(J2361:J2362)</f>
        <v>179</v>
      </c>
      <c r="K2360" s="223">
        <f>SUM(K2361:K2362)</f>
        <v>179</v>
      </c>
    </row>
    <row r="2361" spans="1:144" ht="63" x14ac:dyDescent="0.25">
      <c r="A2361" s="347"/>
      <c r="B2361" s="347"/>
      <c r="C2361" s="349"/>
      <c r="D2361" s="329"/>
      <c r="E2361" s="329"/>
      <c r="F2361" s="331"/>
      <c r="G2361" s="148" t="s">
        <v>70</v>
      </c>
      <c r="H2361" s="87" t="s">
        <v>168</v>
      </c>
      <c r="I2361" s="223">
        <f>D2360*K2361</f>
        <v>96037</v>
      </c>
      <c r="J2361" s="223">
        <f>I2361/D2360</f>
        <v>137</v>
      </c>
      <c r="K2361" s="223">
        <f>116+21</f>
        <v>137</v>
      </c>
      <c r="L2361" s="71"/>
      <c r="M2361" s="71"/>
      <c r="N2361" s="71"/>
      <c r="O2361" s="71"/>
      <c r="P2361" s="71"/>
      <c r="Q2361" s="71"/>
      <c r="R2361" s="71"/>
      <c r="S2361" s="71"/>
      <c r="T2361" s="71"/>
      <c r="U2361" s="71"/>
      <c r="V2361" s="71"/>
      <c r="W2361" s="71"/>
      <c r="X2361" s="71"/>
      <c r="Y2361" s="71"/>
      <c r="Z2361" s="71"/>
      <c r="AA2361" s="71"/>
      <c r="AB2361" s="71"/>
      <c r="AC2361" s="71"/>
      <c r="AD2361" s="71"/>
      <c r="AE2361" s="71"/>
      <c r="AF2361" s="71"/>
      <c r="AG2361" s="71"/>
      <c r="AH2361" s="71"/>
      <c r="AI2361" s="71"/>
      <c r="AJ2361" s="71"/>
      <c r="AK2361" s="71"/>
      <c r="AL2361" s="71"/>
      <c r="AM2361" s="71"/>
      <c r="AN2361" s="71"/>
      <c r="AO2361" s="71"/>
      <c r="AP2361" s="71"/>
      <c r="AQ2361" s="71"/>
      <c r="AR2361" s="71"/>
      <c r="AS2361" s="71"/>
      <c r="AT2361" s="71"/>
      <c r="AU2361" s="71"/>
      <c r="AV2361" s="71"/>
      <c r="AW2361" s="71"/>
      <c r="AX2361" s="71"/>
      <c r="AY2361" s="71"/>
      <c r="AZ2361" s="71"/>
      <c r="BA2361" s="71"/>
      <c r="BB2361" s="71"/>
      <c r="BC2361" s="71"/>
      <c r="BD2361" s="71"/>
      <c r="BE2361" s="71"/>
      <c r="BF2361" s="71"/>
      <c r="BG2361" s="71"/>
      <c r="BH2361" s="71"/>
      <c r="BI2361" s="71"/>
      <c r="BJ2361" s="71"/>
      <c r="BK2361" s="71"/>
      <c r="BL2361" s="71"/>
      <c r="BM2361" s="71"/>
      <c r="BN2361" s="71"/>
      <c r="BO2361" s="71"/>
      <c r="BP2361" s="71"/>
      <c r="BQ2361" s="71"/>
      <c r="BR2361" s="71"/>
      <c r="BS2361" s="71"/>
      <c r="BT2361" s="71"/>
      <c r="BU2361" s="71"/>
      <c r="BV2361" s="71"/>
      <c r="BW2361" s="71"/>
      <c r="BX2361" s="71"/>
      <c r="BY2361" s="71"/>
      <c r="BZ2361" s="71"/>
      <c r="CA2361" s="71"/>
      <c r="CB2361" s="71"/>
      <c r="CC2361" s="71"/>
      <c r="CD2361" s="71"/>
      <c r="CE2361" s="71"/>
      <c r="CF2361" s="71"/>
      <c r="CG2361" s="71"/>
      <c r="CH2361" s="71"/>
      <c r="CI2361" s="71"/>
      <c r="CJ2361" s="71"/>
      <c r="CK2361" s="71"/>
      <c r="CL2361" s="71"/>
      <c r="CM2361" s="71"/>
      <c r="CN2361" s="71"/>
      <c r="CO2361" s="71"/>
      <c r="CP2361" s="71"/>
      <c r="CQ2361" s="71"/>
      <c r="CR2361" s="71"/>
      <c r="CS2361" s="71"/>
      <c r="CT2361" s="71"/>
      <c r="CU2361" s="71"/>
      <c r="CV2361" s="71"/>
      <c r="CW2361" s="71"/>
      <c r="CX2361" s="71"/>
      <c r="CY2361" s="71"/>
      <c r="CZ2361" s="71"/>
      <c r="DA2361" s="71"/>
      <c r="DB2361" s="71"/>
      <c r="DC2361" s="71"/>
      <c r="DD2361" s="71"/>
      <c r="DE2361" s="71"/>
      <c r="DF2361" s="71"/>
      <c r="DG2361" s="71"/>
      <c r="DH2361" s="71"/>
      <c r="DI2361" s="71"/>
      <c r="DJ2361" s="71"/>
      <c r="DK2361" s="71"/>
      <c r="DL2361" s="71"/>
      <c r="DM2361" s="71"/>
      <c r="DN2361" s="71"/>
      <c r="DO2361" s="71"/>
      <c r="DP2361" s="71"/>
      <c r="DQ2361" s="71"/>
      <c r="DR2361" s="71"/>
      <c r="DS2361" s="71"/>
      <c r="DT2361" s="71"/>
      <c r="DU2361" s="71"/>
      <c r="DV2361" s="71"/>
      <c r="DW2361" s="71"/>
      <c r="DX2361" s="71"/>
      <c r="DY2361" s="71"/>
      <c r="DZ2361" s="71"/>
      <c r="EA2361" s="71"/>
      <c r="EB2361" s="71"/>
      <c r="EC2361" s="71"/>
      <c r="ED2361" s="71"/>
      <c r="EE2361" s="71"/>
      <c r="EF2361" s="71"/>
      <c r="EG2361" s="71"/>
      <c r="EH2361" s="71"/>
      <c r="EI2361" s="71"/>
      <c r="EJ2361" s="71"/>
      <c r="EK2361" s="71"/>
      <c r="EL2361" s="71"/>
      <c r="EM2361" s="71"/>
      <c r="EN2361" s="71"/>
    </row>
    <row r="2362" spans="1:144" ht="63" x14ac:dyDescent="0.25">
      <c r="A2362" s="347"/>
      <c r="B2362" s="347"/>
      <c r="C2362" s="349"/>
      <c r="D2362" s="329"/>
      <c r="E2362" s="329"/>
      <c r="F2362" s="331"/>
      <c r="G2362" s="148" t="s">
        <v>71</v>
      </c>
      <c r="H2362" s="87" t="s">
        <v>168</v>
      </c>
      <c r="I2362" s="223">
        <f>D2360*K2362</f>
        <v>29442</v>
      </c>
      <c r="J2362" s="223">
        <f>I2362/D2360</f>
        <v>42</v>
      </c>
      <c r="K2362" s="223">
        <f>21+21</f>
        <v>42</v>
      </c>
      <c r="L2362" s="71"/>
      <c r="M2362" s="71"/>
      <c r="N2362" s="71"/>
      <c r="O2362" s="71"/>
      <c r="P2362" s="71"/>
      <c r="Q2362" s="71"/>
      <c r="R2362" s="71"/>
      <c r="S2362" s="71"/>
      <c r="T2362" s="71"/>
      <c r="U2362" s="71"/>
      <c r="V2362" s="71"/>
      <c r="W2362" s="71"/>
      <c r="X2362" s="71"/>
      <c r="Y2362" s="71"/>
      <c r="Z2362" s="71"/>
      <c r="AA2362" s="71"/>
      <c r="AB2362" s="71"/>
      <c r="AC2362" s="71"/>
      <c r="AD2362" s="71"/>
      <c r="AE2362" s="71"/>
      <c r="AF2362" s="71"/>
      <c r="AG2362" s="71"/>
      <c r="AH2362" s="71"/>
      <c r="AI2362" s="71"/>
      <c r="AJ2362" s="71"/>
      <c r="AK2362" s="71"/>
      <c r="AL2362" s="71"/>
      <c r="AM2362" s="71"/>
      <c r="AN2362" s="71"/>
      <c r="AO2362" s="71"/>
      <c r="AP2362" s="71"/>
      <c r="AQ2362" s="71"/>
      <c r="AR2362" s="71"/>
      <c r="AS2362" s="71"/>
      <c r="AT2362" s="71"/>
      <c r="AU2362" s="71"/>
      <c r="AV2362" s="71"/>
      <c r="AW2362" s="71"/>
      <c r="AX2362" s="71"/>
      <c r="AY2362" s="71"/>
      <c r="AZ2362" s="71"/>
      <c r="BA2362" s="71"/>
      <c r="BB2362" s="71"/>
      <c r="BC2362" s="71"/>
      <c r="BD2362" s="71"/>
      <c r="BE2362" s="71"/>
      <c r="BF2362" s="71"/>
      <c r="BG2362" s="71"/>
      <c r="BH2362" s="71"/>
      <c r="BI2362" s="71"/>
      <c r="BJ2362" s="71"/>
      <c r="BK2362" s="71"/>
      <c r="BL2362" s="71"/>
      <c r="BM2362" s="71"/>
      <c r="BN2362" s="71"/>
      <c r="BO2362" s="71"/>
      <c r="BP2362" s="71"/>
      <c r="BQ2362" s="71"/>
      <c r="BR2362" s="71"/>
      <c r="BS2362" s="71"/>
      <c r="BT2362" s="71"/>
      <c r="BU2362" s="71"/>
      <c r="BV2362" s="71"/>
      <c r="BW2362" s="71"/>
      <c r="BX2362" s="71"/>
      <c r="BY2362" s="71"/>
      <c r="BZ2362" s="71"/>
      <c r="CA2362" s="71"/>
      <c r="CB2362" s="71"/>
      <c r="CC2362" s="71"/>
      <c r="CD2362" s="71"/>
      <c r="CE2362" s="71"/>
      <c r="CF2362" s="71"/>
      <c r="CG2362" s="71"/>
      <c r="CH2362" s="71"/>
      <c r="CI2362" s="71"/>
      <c r="CJ2362" s="71"/>
      <c r="CK2362" s="71"/>
      <c r="CL2362" s="71"/>
      <c r="CM2362" s="71"/>
      <c r="CN2362" s="71"/>
      <c r="CO2362" s="71"/>
      <c r="CP2362" s="71"/>
      <c r="CQ2362" s="71"/>
      <c r="CR2362" s="71"/>
      <c r="CS2362" s="71"/>
      <c r="CT2362" s="71"/>
      <c r="CU2362" s="71"/>
      <c r="CV2362" s="71"/>
      <c r="CW2362" s="71"/>
      <c r="CX2362" s="71"/>
      <c r="CY2362" s="71"/>
      <c r="CZ2362" s="71"/>
      <c r="DA2362" s="71"/>
      <c r="DB2362" s="71"/>
      <c r="DC2362" s="71"/>
      <c r="DD2362" s="71"/>
      <c r="DE2362" s="71"/>
      <c r="DF2362" s="71"/>
      <c r="DG2362" s="71"/>
      <c r="DH2362" s="71"/>
      <c r="DI2362" s="71"/>
      <c r="DJ2362" s="71"/>
      <c r="DK2362" s="71"/>
      <c r="DL2362" s="71"/>
      <c r="DM2362" s="71"/>
      <c r="DN2362" s="71"/>
      <c r="DO2362" s="71"/>
      <c r="DP2362" s="71"/>
      <c r="DQ2362" s="71"/>
      <c r="DR2362" s="71"/>
      <c r="DS2362" s="71"/>
      <c r="DT2362" s="71"/>
      <c r="DU2362" s="71"/>
      <c r="DV2362" s="71"/>
      <c r="DW2362" s="71"/>
      <c r="DX2362" s="71"/>
      <c r="DY2362" s="71"/>
      <c r="DZ2362" s="71"/>
      <c r="EA2362" s="71"/>
      <c r="EB2362" s="71"/>
      <c r="EC2362" s="71"/>
      <c r="ED2362" s="71"/>
      <c r="EE2362" s="71"/>
      <c r="EF2362" s="71"/>
      <c r="EG2362" s="71"/>
      <c r="EH2362" s="71"/>
      <c r="EI2362" s="71"/>
      <c r="EJ2362" s="71"/>
      <c r="EK2362" s="71"/>
      <c r="EL2362" s="71"/>
      <c r="EM2362" s="71"/>
      <c r="EN2362" s="71"/>
    </row>
    <row r="2363" spans="1:144" x14ac:dyDescent="0.25">
      <c r="A2363" s="346">
        <f>A2360+1</f>
        <v>19</v>
      </c>
      <c r="B2363" s="346">
        <v>6999</v>
      </c>
      <c r="C2363" s="348" t="s">
        <v>322</v>
      </c>
      <c r="D2363" s="312">
        <v>383.7</v>
      </c>
      <c r="E2363" s="312" t="s">
        <v>68</v>
      </c>
      <c r="F2363" s="330">
        <v>2</v>
      </c>
      <c r="G2363" s="116"/>
      <c r="H2363" s="117" t="s">
        <v>66</v>
      </c>
      <c r="I2363" s="226">
        <f>SUM(I2364:I2365)</f>
        <v>29544.9</v>
      </c>
      <c r="J2363" s="226">
        <f>SUM(J2364:J2365)</f>
        <v>77</v>
      </c>
      <c r="K2363" s="226">
        <f>SUM(K2364:K2365)</f>
        <v>77</v>
      </c>
      <c r="L2363" s="71"/>
      <c r="M2363" s="71"/>
      <c r="N2363" s="71"/>
      <c r="O2363" s="71"/>
      <c r="P2363" s="71"/>
      <c r="Q2363" s="71"/>
      <c r="R2363" s="71"/>
      <c r="S2363" s="71"/>
      <c r="T2363" s="71"/>
      <c r="U2363" s="71"/>
      <c r="V2363" s="71"/>
      <c r="W2363" s="71"/>
      <c r="X2363" s="71"/>
      <c r="Y2363" s="71"/>
      <c r="Z2363" s="71"/>
      <c r="AA2363" s="71"/>
      <c r="AB2363" s="71"/>
      <c r="AC2363" s="71"/>
      <c r="AD2363" s="71"/>
      <c r="AE2363" s="71"/>
      <c r="AF2363" s="71"/>
      <c r="AG2363" s="71"/>
      <c r="AH2363" s="71"/>
      <c r="AI2363" s="71"/>
      <c r="AJ2363" s="71"/>
      <c r="AK2363" s="71"/>
      <c r="AL2363" s="71"/>
      <c r="AM2363" s="71"/>
      <c r="AN2363" s="71"/>
      <c r="AO2363" s="71"/>
      <c r="AP2363" s="71"/>
      <c r="AQ2363" s="71"/>
      <c r="AR2363" s="71"/>
      <c r="AS2363" s="71"/>
      <c r="AT2363" s="71"/>
      <c r="AU2363" s="71"/>
      <c r="AV2363" s="71"/>
      <c r="AW2363" s="71"/>
      <c r="AX2363" s="71"/>
      <c r="AY2363" s="71"/>
      <c r="AZ2363" s="71"/>
      <c r="BA2363" s="71"/>
      <c r="BB2363" s="71"/>
      <c r="BC2363" s="71"/>
      <c r="BD2363" s="71"/>
      <c r="BE2363" s="71"/>
      <c r="BF2363" s="71"/>
      <c r="BG2363" s="71"/>
      <c r="BH2363" s="71"/>
      <c r="BI2363" s="71"/>
      <c r="BJ2363" s="71"/>
      <c r="BK2363" s="71"/>
      <c r="BL2363" s="71"/>
      <c r="BM2363" s="71"/>
      <c r="BN2363" s="71"/>
      <c r="BO2363" s="71"/>
      <c r="BP2363" s="71"/>
      <c r="BQ2363" s="71"/>
      <c r="BR2363" s="71"/>
      <c r="BS2363" s="71"/>
      <c r="BT2363" s="71"/>
      <c r="BU2363" s="71"/>
      <c r="BV2363" s="71"/>
      <c r="BW2363" s="71"/>
      <c r="BX2363" s="71"/>
      <c r="BY2363" s="71"/>
      <c r="BZ2363" s="71"/>
      <c r="CA2363" s="71"/>
      <c r="CB2363" s="71"/>
      <c r="CC2363" s="71"/>
      <c r="CD2363" s="71"/>
      <c r="CE2363" s="71"/>
      <c r="CF2363" s="71"/>
      <c r="CG2363" s="71"/>
      <c r="CH2363" s="71"/>
      <c r="CI2363" s="71"/>
      <c r="CJ2363" s="71"/>
      <c r="CK2363" s="71"/>
      <c r="CL2363" s="71"/>
      <c r="CM2363" s="71"/>
      <c r="CN2363" s="71"/>
      <c r="CO2363" s="71"/>
      <c r="CP2363" s="71"/>
      <c r="CQ2363" s="71"/>
      <c r="CR2363" s="71"/>
      <c r="CS2363" s="71"/>
      <c r="CT2363" s="71"/>
      <c r="CU2363" s="71"/>
      <c r="CV2363" s="71"/>
      <c r="CW2363" s="71"/>
      <c r="CX2363" s="71"/>
      <c r="CY2363" s="71"/>
      <c r="CZ2363" s="71"/>
      <c r="DA2363" s="71"/>
      <c r="DB2363" s="71"/>
      <c r="DC2363" s="71"/>
      <c r="DD2363" s="71"/>
      <c r="DE2363" s="71"/>
      <c r="DF2363" s="71"/>
      <c r="DG2363" s="71"/>
      <c r="DH2363" s="71"/>
      <c r="DI2363" s="71"/>
      <c r="DJ2363" s="71"/>
      <c r="DK2363" s="71"/>
      <c r="DL2363" s="71"/>
      <c r="DM2363" s="71"/>
      <c r="DN2363" s="71"/>
      <c r="DO2363" s="71"/>
      <c r="DP2363" s="71"/>
      <c r="DQ2363" s="71"/>
      <c r="DR2363" s="71"/>
      <c r="DS2363" s="71"/>
      <c r="DT2363" s="71"/>
      <c r="DU2363" s="71"/>
      <c r="DV2363" s="71"/>
      <c r="DW2363" s="71"/>
      <c r="DX2363" s="71"/>
      <c r="DY2363" s="71"/>
      <c r="DZ2363" s="71"/>
      <c r="EA2363" s="71"/>
      <c r="EB2363" s="71"/>
      <c r="EC2363" s="71"/>
      <c r="ED2363" s="71"/>
      <c r="EE2363" s="71"/>
      <c r="EF2363" s="71"/>
      <c r="EG2363" s="71"/>
      <c r="EH2363" s="71"/>
      <c r="EI2363" s="71"/>
      <c r="EJ2363" s="71"/>
      <c r="EK2363" s="71"/>
      <c r="EL2363" s="71"/>
      <c r="EM2363" s="71"/>
      <c r="EN2363" s="71"/>
    </row>
    <row r="2364" spans="1:144" ht="63" x14ac:dyDescent="0.25">
      <c r="A2364" s="347"/>
      <c r="B2364" s="347"/>
      <c r="C2364" s="349"/>
      <c r="D2364" s="329"/>
      <c r="E2364" s="329"/>
      <c r="F2364" s="331"/>
      <c r="G2364" s="162" t="s">
        <v>77</v>
      </c>
      <c r="H2364" s="117" t="s">
        <v>168</v>
      </c>
      <c r="I2364" s="226">
        <f>D2363*K2364</f>
        <v>18801.3</v>
      </c>
      <c r="J2364" s="226">
        <f>I2364/D2363</f>
        <v>49</v>
      </c>
      <c r="K2364" s="226">
        <f>28+21</f>
        <v>49</v>
      </c>
      <c r="L2364" s="71"/>
      <c r="M2364" s="71"/>
      <c r="N2364" s="71"/>
      <c r="O2364" s="71"/>
      <c r="P2364" s="71"/>
      <c r="Q2364" s="71"/>
      <c r="R2364" s="71"/>
      <c r="S2364" s="71"/>
      <c r="T2364" s="71"/>
      <c r="U2364" s="71"/>
      <c r="V2364" s="71"/>
      <c r="W2364" s="71"/>
      <c r="X2364" s="71"/>
      <c r="Y2364" s="71"/>
      <c r="Z2364" s="71"/>
      <c r="AA2364" s="71"/>
      <c r="AB2364" s="71"/>
      <c r="AC2364" s="71"/>
      <c r="AD2364" s="71"/>
      <c r="AE2364" s="71"/>
      <c r="AF2364" s="71"/>
      <c r="AG2364" s="71"/>
      <c r="AH2364" s="71"/>
      <c r="AI2364" s="71"/>
      <c r="AJ2364" s="71"/>
      <c r="AK2364" s="71"/>
      <c r="AL2364" s="71"/>
      <c r="AM2364" s="71"/>
      <c r="AN2364" s="71"/>
      <c r="AO2364" s="71"/>
      <c r="AP2364" s="71"/>
      <c r="AQ2364" s="71"/>
      <c r="AR2364" s="71"/>
      <c r="AS2364" s="71"/>
      <c r="AT2364" s="71"/>
      <c r="AU2364" s="71"/>
      <c r="AV2364" s="71"/>
      <c r="AW2364" s="71"/>
      <c r="AX2364" s="71"/>
      <c r="AY2364" s="71"/>
      <c r="AZ2364" s="71"/>
      <c r="BA2364" s="71"/>
      <c r="BB2364" s="71"/>
      <c r="BC2364" s="71"/>
      <c r="BD2364" s="71"/>
      <c r="BE2364" s="71"/>
      <c r="BF2364" s="71"/>
      <c r="BG2364" s="71"/>
      <c r="BH2364" s="71"/>
      <c r="BI2364" s="71"/>
      <c r="BJ2364" s="71"/>
      <c r="BK2364" s="71"/>
      <c r="BL2364" s="71"/>
      <c r="BM2364" s="71"/>
      <c r="BN2364" s="71"/>
      <c r="BO2364" s="71"/>
      <c r="BP2364" s="71"/>
      <c r="BQ2364" s="71"/>
      <c r="BR2364" s="71"/>
      <c r="BS2364" s="71"/>
      <c r="BT2364" s="71"/>
      <c r="BU2364" s="71"/>
      <c r="BV2364" s="71"/>
      <c r="BW2364" s="71"/>
      <c r="BX2364" s="71"/>
      <c r="BY2364" s="71"/>
      <c r="BZ2364" s="71"/>
      <c r="CA2364" s="71"/>
      <c r="CB2364" s="71"/>
      <c r="CC2364" s="71"/>
      <c r="CD2364" s="71"/>
      <c r="CE2364" s="71"/>
      <c r="CF2364" s="71"/>
      <c r="CG2364" s="71"/>
      <c r="CH2364" s="71"/>
      <c r="CI2364" s="71"/>
      <c r="CJ2364" s="71"/>
      <c r="CK2364" s="71"/>
      <c r="CL2364" s="71"/>
      <c r="CM2364" s="71"/>
      <c r="CN2364" s="71"/>
      <c r="CO2364" s="71"/>
      <c r="CP2364" s="71"/>
      <c r="CQ2364" s="71"/>
      <c r="CR2364" s="71"/>
      <c r="CS2364" s="71"/>
      <c r="CT2364" s="71"/>
      <c r="CU2364" s="71"/>
      <c r="CV2364" s="71"/>
      <c r="CW2364" s="71"/>
      <c r="CX2364" s="71"/>
      <c r="CY2364" s="71"/>
      <c r="CZ2364" s="71"/>
      <c r="DA2364" s="71"/>
      <c r="DB2364" s="71"/>
      <c r="DC2364" s="71"/>
      <c r="DD2364" s="71"/>
      <c r="DE2364" s="71"/>
      <c r="DF2364" s="71"/>
      <c r="DG2364" s="71"/>
      <c r="DH2364" s="71"/>
      <c r="DI2364" s="71"/>
      <c r="DJ2364" s="71"/>
      <c r="DK2364" s="71"/>
      <c r="DL2364" s="71"/>
      <c r="DM2364" s="71"/>
      <c r="DN2364" s="71"/>
      <c r="DO2364" s="71"/>
      <c r="DP2364" s="71"/>
      <c r="DQ2364" s="71"/>
      <c r="DR2364" s="71"/>
      <c r="DS2364" s="71"/>
      <c r="DT2364" s="71"/>
      <c r="DU2364" s="71"/>
      <c r="DV2364" s="71"/>
      <c r="DW2364" s="71"/>
      <c r="DX2364" s="71"/>
      <c r="DY2364" s="71"/>
      <c r="DZ2364" s="71"/>
      <c r="EA2364" s="71"/>
      <c r="EB2364" s="71"/>
      <c r="EC2364" s="71"/>
      <c r="ED2364" s="71"/>
      <c r="EE2364" s="71"/>
      <c r="EF2364" s="71"/>
      <c r="EG2364" s="71"/>
      <c r="EH2364" s="71"/>
      <c r="EI2364" s="71"/>
      <c r="EJ2364" s="71"/>
      <c r="EK2364" s="71"/>
      <c r="EL2364" s="71"/>
      <c r="EM2364" s="71"/>
      <c r="EN2364" s="71"/>
    </row>
    <row r="2365" spans="1:144" ht="63" x14ac:dyDescent="0.25">
      <c r="A2365" s="347"/>
      <c r="B2365" s="347"/>
      <c r="C2365" s="349"/>
      <c r="D2365" s="329"/>
      <c r="E2365" s="329"/>
      <c r="F2365" s="331"/>
      <c r="G2365" s="162" t="s">
        <v>78</v>
      </c>
      <c r="H2365" s="117" t="s">
        <v>168</v>
      </c>
      <c r="I2365" s="226">
        <f>D2363*K2365</f>
        <v>10743.6</v>
      </c>
      <c r="J2365" s="226">
        <f>I2365/D2363</f>
        <v>28</v>
      </c>
      <c r="K2365" s="226">
        <f>19+9</f>
        <v>28</v>
      </c>
      <c r="L2365" s="71"/>
      <c r="M2365" s="71"/>
      <c r="N2365" s="71"/>
      <c r="O2365" s="71"/>
      <c r="P2365" s="71"/>
      <c r="Q2365" s="71"/>
      <c r="R2365" s="71"/>
      <c r="S2365" s="71"/>
      <c r="T2365" s="71"/>
      <c r="U2365" s="71"/>
      <c r="V2365" s="71"/>
      <c r="W2365" s="71"/>
      <c r="X2365" s="71"/>
      <c r="Y2365" s="71"/>
      <c r="Z2365" s="71"/>
      <c r="AA2365" s="71"/>
      <c r="AB2365" s="71"/>
      <c r="AC2365" s="71"/>
      <c r="AD2365" s="71"/>
      <c r="AE2365" s="71"/>
      <c r="AF2365" s="71"/>
      <c r="AG2365" s="71"/>
      <c r="AH2365" s="71"/>
      <c r="AI2365" s="71"/>
      <c r="AJ2365" s="71"/>
      <c r="AK2365" s="71"/>
      <c r="AL2365" s="71"/>
      <c r="AM2365" s="71"/>
      <c r="AN2365" s="71"/>
      <c r="AO2365" s="71"/>
      <c r="AP2365" s="71"/>
      <c r="AQ2365" s="71"/>
      <c r="AR2365" s="71"/>
      <c r="AS2365" s="71"/>
      <c r="AT2365" s="71"/>
      <c r="AU2365" s="71"/>
      <c r="AV2365" s="71"/>
      <c r="AW2365" s="71"/>
      <c r="AX2365" s="71"/>
      <c r="AY2365" s="71"/>
      <c r="AZ2365" s="71"/>
      <c r="BA2365" s="71"/>
      <c r="BB2365" s="71"/>
      <c r="BC2365" s="71"/>
      <c r="BD2365" s="71"/>
      <c r="BE2365" s="71"/>
      <c r="BF2365" s="71"/>
      <c r="BG2365" s="71"/>
      <c r="BH2365" s="71"/>
      <c r="BI2365" s="71"/>
      <c r="BJ2365" s="71"/>
      <c r="BK2365" s="71"/>
      <c r="BL2365" s="71"/>
      <c r="BM2365" s="71"/>
      <c r="BN2365" s="71"/>
      <c r="BO2365" s="71"/>
      <c r="BP2365" s="71"/>
      <c r="BQ2365" s="71"/>
      <c r="BR2365" s="71"/>
      <c r="BS2365" s="71"/>
      <c r="BT2365" s="71"/>
      <c r="BU2365" s="71"/>
      <c r="BV2365" s="71"/>
      <c r="BW2365" s="71"/>
      <c r="BX2365" s="71"/>
      <c r="BY2365" s="71"/>
      <c r="BZ2365" s="71"/>
      <c r="CA2365" s="71"/>
      <c r="CB2365" s="71"/>
      <c r="CC2365" s="71"/>
      <c r="CD2365" s="71"/>
      <c r="CE2365" s="71"/>
      <c r="CF2365" s="71"/>
      <c r="CG2365" s="71"/>
      <c r="CH2365" s="71"/>
      <c r="CI2365" s="71"/>
      <c r="CJ2365" s="71"/>
      <c r="CK2365" s="71"/>
      <c r="CL2365" s="71"/>
      <c r="CM2365" s="71"/>
      <c r="CN2365" s="71"/>
      <c r="CO2365" s="71"/>
      <c r="CP2365" s="71"/>
      <c r="CQ2365" s="71"/>
      <c r="CR2365" s="71"/>
      <c r="CS2365" s="71"/>
      <c r="CT2365" s="71"/>
      <c r="CU2365" s="71"/>
      <c r="CV2365" s="71"/>
      <c r="CW2365" s="71"/>
      <c r="CX2365" s="71"/>
      <c r="CY2365" s="71"/>
      <c r="CZ2365" s="71"/>
      <c r="DA2365" s="71"/>
      <c r="DB2365" s="71"/>
      <c r="DC2365" s="71"/>
      <c r="DD2365" s="71"/>
      <c r="DE2365" s="71"/>
      <c r="DF2365" s="71"/>
      <c r="DG2365" s="71"/>
      <c r="DH2365" s="71"/>
      <c r="DI2365" s="71"/>
      <c r="DJ2365" s="71"/>
      <c r="DK2365" s="71"/>
      <c r="DL2365" s="71"/>
      <c r="DM2365" s="71"/>
      <c r="DN2365" s="71"/>
      <c r="DO2365" s="71"/>
      <c r="DP2365" s="71"/>
      <c r="DQ2365" s="71"/>
      <c r="DR2365" s="71"/>
      <c r="DS2365" s="71"/>
      <c r="DT2365" s="71"/>
      <c r="DU2365" s="71"/>
      <c r="DV2365" s="71"/>
      <c r="DW2365" s="71"/>
      <c r="DX2365" s="71"/>
      <c r="DY2365" s="71"/>
      <c r="DZ2365" s="71"/>
      <c r="EA2365" s="71"/>
      <c r="EB2365" s="71"/>
      <c r="EC2365" s="71"/>
      <c r="ED2365" s="71"/>
      <c r="EE2365" s="71"/>
      <c r="EF2365" s="71"/>
      <c r="EG2365" s="71"/>
      <c r="EH2365" s="71"/>
      <c r="EI2365" s="71"/>
      <c r="EJ2365" s="71"/>
      <c r="EK2365" s="71"/>
      <c r="EL2365" s="71"/>
      <c r="EM2365" s="71"/>
      <c r="EN2365" s="71"/>
    </row>
    <row r="2366" spans="1:144" x14ac:dyDescent="0.25">
      <c r="A2366" s="346">
        <f>A2363+1</f>
        <v>20</v>
      </c>
      <c r="B2366" s="346">
        <v>7061</v>
      </c>
      <c r="C2366" s="348" t="s">
        <v>323</v>
      </c>
      <c r="D2366" s="312">
        <v>390</v>
      </c>
      <c r="E2366" s="312" t="s">
        <v>167</v>
      </c>
      <c r="F2366" s="330">
        <v>2</v>
      </c>
      <c r="G2366" s="161"/>
      <c r="H2366" s="87" t="s">
        <v>66</v>
      </c>
      <c r="I2366" s="223">
        <f>SUM(I2367:I2367)</f>
        <v>53430</v>
      </c>
      <c r="J2366" s="223">
        <f>SUM(J2367:J2367)</f>
        <v>137</v>
      </c>
      <c r="K2366" s="223">
        <f>SUM(K2367:K2367)</f>
        <v>137</v>
      </c>
      <c r="L2366" s="71"/>
      <c r="M2366" s="71"/>
      <c r="N2366" s="71"/>
      <c r="O2366" s="71"/>
      <c r="P2366" s="71"/>
      <c r="Q2366" s="71"/>
      <c r="R2366" s="71"/>
      <c r="S2366" s="71"/>
      <c r="T2366" s="71"/>
      <c r="U2366" s="71"/>
      <c r="V2366" s="71"/>
      <c r="W2366" s="71"/>
      <c r="X2366" s="71"/>
      <c r="Y2366" s="71"/>
      <c r="Z2366" s="71"/>
      <c r="AA2366" s="71"/>
      <c r="AB2366" s="71"/>
      <c r="AC2366" s="71"/>
      <c r="AD2366" s="71"/>
      <c r="AE2366" s="71"/>
      <c r="AF2366" s="71"/>
      <c r="AG2366" s="71"/>
      <c r="AH2366" s="71"/>
      <c r="AI2366" s="71"/>
      <c r="AJ2366" s="71"/>
      <c r="AK2366" s="71"/>
      <c r="AL2366" s="71"/>
      <c r="AM2366" s="71"/>
      <c r="AN2366" s="71"/>
      <c r="AO2366" s="71"/>
      <c r="AP2366" s="71"/>
      <c r="AQ2366" s="71"/>
      <c r="AR2366" s="71"/>
      <c r="AS2366" s="71"/>
      <c r="AT2366" s="71"/>
      <c r="AU2366" s="71"/>
      <c r="AV2366" s="71"/>
      <c r="AW2366" s="71"/>
      <c r="AX2366" s="71"/>
      <c r="AY2366" s="71"/>
      <c r="AZ2366" s="71"/>
      <c r="BA2366" s="71"/>
      <c r="BB2366" s="71"/>
      <c r="BC2366" s="71"/>
      <c r="BD2366" s="71"/>
      <c r="BE2366" s="71"/>
      <c r="BF2366" s="71"/>
      <c r="BG2366" s="71"/>
      <c r="BH2366" s="71"/>
      <c r="BI2366" s="71"/>
      <c r="BJ2366" s="71"/>
      <c r="BK2366" s="71"/>
      <c r="BL2366" s="71"/>
      <c r="BM2366" s="71"/>
      <c r="BN2366" s="71"/>
      <c r="BO2366" s="71"/>
      <c r="BP2366" s="71"/>
      <c r="BQ2366" s="71"/>
      <c r="BR2366" s="71"/>
      <c r="BS2366" s="71"/>
      <c r="BT2366" s="71"/>
      <c r="BU2366" s="71"/>
      <c r="BV2366" s="71"/>
      <c r="BW2366" s="71"/>
      <c r="BX2366" s="71"/>
      <c r="BY2366" s="71"/>
      <c r="BZ2366" s="71"/>
      <c r="CA2366" s="71"/>
      <c r="CB2366" s="71"/>
      <c r="CC2366" s="71"/>
      <c r="CD2366" s="71"/>
      <c r="CE2366" s="71"/>
      <c r="CF2366" s="71"/>
      <c r="CG2366" s="71"/>
      <c r="CH2366" s="71"/>
      <c r="CI2366" s="71"/>
      <c r="CJ2366" s="71"/>
      <c r="CK2366" s="71"/>
      <c r="CL2366" s="71"/>
      <c r="CM2366" s="71"/>
      <c r="CN2366" s="71"/>
      <c r="CO2366" s="71"/>
      <c r="CP2366" s="71"/>
      <c r="CQ2366" s="71"/>
      <c r="CR2366" s="71"/>
      <c r="CS2366" s="71"/>
      <c r="CT2366" s="71"/>
      <c r="CU2366" s="71"/>
      <c r="CV2366" s="71"/>
      <c r="CW2366" s="71"/>
      <c r="CX2366" s="71"/>
      <c r="CY2366" s="71"/>
      <c r="CZ2366" s="71"/>
      <c r="DA2366" s="71"/>
      <c r="DB2366" s="71"/>
      <c r="DC2366" s="71"/>
      <c r="DD2366" s="71"/>
      <c r="DE2366" s="71"/>
      <c r="DF2366" s="71"/>
      <c r="DG2366" s="71"/>
      <c r="DH2366" s="71"/>
      <c r="DI2366" s="71"/>
      <c r="DJ2366" s="71"/>
      <c r="DK2366" s="71"/>
      <c r="DL2366" s="71"/>
      <c r="DM2366" s="71"/>
      <c r="DN2366" s="71"/>
      <c r="DO2366" s="71"/>
      <c r="DP2366" s="71"/>
      <c r="DQ2366" s="71"/>
      <c r="DR2366" s="71"/>
      <c r="DS2366" s="71"/>
      <c r="DT2366" s="71"/>
      <c r="DU2366" s="71"/>
      <c r="DV2366" s="71"/>
      <c r="DW2366" s="71"/>
      <c r="DX2366" s="71"/>
      <c r="DY2366" s="71"/>
      <c r="DZ2366" s="71"/>
      <c r="EA2366" s="71"/>
      <c r="EB2366" s="71"/>
      <c r="EC2366" s="71"/>
      <c r="ED2366" s="71"/>
      <c r="EE2366" s="71"/>
      <c r="EF2366" s="71"/>
      <c r="EG2366" s="71"/>
      <c r="EH2366" s="71"/>
      <c r="EI2366" s="71"/>
      <c r="EJ2366" s="71"/>
      <c r="EK2366" s="71"/>
      <c r="EL2366" s="71"/>
      <c r="EM2366" s="71"/>
      <c r="EN2366" s="71"/>
    </row>
    <row r="2367" spans="1:144" ht="63" x14ac:dyDescent="0.25">
      <c r="A2367" s="347"/>
      <c r="B2367" s="347"/>
      <c r="C2367" s="349"/>
      <c r="D2367" s="329"/>
      <c r="E2367" s="329"/>
      <c r="F2367" s="331"/>
      <c r="G2367" s="148" t="s">
        <v>70</v>
      </c>
      <c r="H2367" s="87" t="s">
        <v>168</v>
      </c>
      <c r="I2367" s="223">
        <f>D2366*K2367</f>
        <v>53430</v>
      </c>
      <c r="J2367" s="223">
        <f>I2367/D2366</f>
        <v>137</v>
      </c>
      <c r="K2367" s="223">
        <f>116+21</f>
        <v>137</v>
      </c>
      <c r="L2367" s="71"/>
      <c r="M2367" s="71"/>
      <c r="N2367" s="71"/>
      <c r="O2367" s="71"/>
      <c r="P2367" s="71"/>
      <c r="Q2367" s="71"/>
      <c r="R2367" s="71"/>
      <c r="S2367" s="71"/>
      <c r="T2367" s="71"/>
      <c r="U2367" s="71"/>
      <c r="V2367" s="71"/>
      <c r="W2367" s="71"/>
      <c r="X2367" s="71"/>
      <c r="Y2367" s="71"/>
      <c r="Z2367" s="71"/>
      <c r="AA2367" s="71"/>
      <c r="AB2367" s="71"/>
      <c r="AC2367" s="71"/>
      <c r="AD2367" s="71"/>
      <c r="AE2367" s="71"/>
      <c r="AF2367" s="71"/>
      <c r="AG2367" s="71"/>
      <c r="AH2367" s="71"/>
      <c r="AI2367" s="71"/>
      <c r="AJ2367" s="71"/>
      <c r="AK2367" s="71"/>
      <c r="AL2367" s="71"/>
      <c r="AM2367" s="71"/>
      <c r="AN2367" s="71"/>
      <c r="AO2367" s="71"/>
      <c r="AP2367" s="71"/>
      <c r="AQ2367" s="71"/>
      <c r="AR2367" s="71"/>
      <c r="AS2367" s="71"/>
      <c r="AT2367" s="71"/>
      <c r="AU2367" s="71"/>
      <c r="AV2367" s="71"/>
      <c r="AW2367" s="71"/>
      <c r="AX2367" s="71"/>
      <c r="AY2367" s="71"/>
      <c r="AZ2367" s="71"/>
      <c r="BA2367" s="71"/>
      <c r="BB2367" s="71"/>
      <c r="BC2367" s="71"/>
      <c r="BD2367" s="71"/>
      <c r="BE2367" s="71"/>
      <c r="BF2367" s="71"/>
      <c r="BG2367" s="71"/>
      <c r="BH2367" s="71"/>
      <c r="BI2367" s="71"/>
      <c r="BJ2367" s="71"/>
      <c r="BK2367" s="71"/>
      <c r="BL2367" s="71"/>
      <c r="BM2367" s="71"/>
      <c r="BN2367" s="71"/>
      <c r="BO2367" s="71"/>
      <c r="BP2367" s="71"/>
      <c r="BQ2367" s="71"/>
      <c r="BR2367" s="71"/>
      <c r="BS2367" s="71"/>
      <c r="BT2367" s="71"/>
      <c r="BU2367" s="71"/>
      <c r="BV2367" s="71"/>
      <c r="BW2367" s="71"/>
      <c r="BX2367" s="71"/>
      <c r="BY2367" s="71"/>
      <c r="BZ2367" s="71"/>
      <c r="CA2367" s="71"/>
      <c r="CB2367" s="71"/>
      <c r="CC2367" s="71"/>
      <c r="CD2367" s="71"/>
      <c r="CE2367" s="71"/>
      <c r="CF2367" s="71"/>
      <c r="CG2367" s="71"/>
      <c r="CH2367" s="71"/>
      <c r="CI2367" s="71"/>
      <c r="CJ2367" s="71"/>
      <c r="CK2367" s="71"/>
      <c r="CL2367" s="71"/>
      <c r="CM2367" s="71"/>
      <c r="CN2367" s="71"/>
      <c r="CO2367" s="71"/>
      <c r="CP2367" s="71"/>
      <c r="CQ2367" s="71"/>
      <c r="CR2367" s="71"/>
      <c r="CS2367" s="71"/>
      <c r="CT2367" s="71"/>
      <c r="CU2367" s="71"/>
      <c r="CV2367" s="71"/>
      <c r="CW2367" s="71"/>
      <c r="CX2367" s="71"/>
      <c r="CY2367" s="71"/>
      <c r="CZ2367" s="71"/>
      <c r="DA2367" s="71"/>
      <c r="DB2367" s="71"/>
      <c r="DC2367" s="71"/>
      <c r="DD2367" s="71"/>
      <c r="DE2367" s="71"/>
      <c r="DF2367" s="71"/>
      <c r="DG2367" s="71"/>
      <c r="DH2367" s="71"/>
      <c r="DI2367" s="71"/>
      <c r="DJ2367" s="71"/>
      <c r="DK2367" s="71"/>
      <c r="DL2367" s="71"/>
      <c r="DM2367" s="71"/>
      <c r="DN2367" s="71"/>
      <c r="DO2367" s="71"/>
      <c r="DP2367" s="71"/>
      <c r="DQ2367" s="71"/>
      <c r="DR2367" s="71"/>
      <c r="DS2367" s="71"/>
      <c r="DT2367" s="71"/>
      <c r="DU2367" s="71"/>
      <c r="DV2367" s="71"/>
      <c r="DW2367" s="71"/>
      <c r="DX2367" s="71"/>
      <c r="DY2367" s="71"/>
      <c r="DZ2367" s="71"/>
      <c r="EA2367" s="71"/>
      <c r="EB2367" s="71"/>
      <c r="EC2367" s="71"/>
      <c r="ED2367" s="71"/>
      <c r="EE2367" s="71"/>
      <c r="EF2367" s="71"/>
      <c r="EG2367" s="71"/>
      <c r="EH2367" s="71"/>
      <c r="EI2367" s="71"/>
      <c r="EJ2367" s="71"/>
      <c r="EK2367" s="71"/>
      <c r="EL2367" s="71"/>
      <c r="EM2367" s="71"/>
      <c r="EN2367" s="71"/>
    </row>
    <row r="2368" spans="1:144" x14ac:dyDescent="0.25">
      <c r="A2368" s="346">
        <f>A2366+1</f>
        <v>21</v>
      </c>
      <c r="B2368" s="346">
        <v>7080</v>
      </c>
      <c r="C2368" s="348" t="s">
        <v>324</v>
      </c>
      <c r="D2368" s="312">
        <v>507.5</v>
      </c>
      <c r="E2368" s="312" t="s">
        <v>167</v>
      </c>
      <c r="F2368" s="330">
        <v>2</v>
      </c>
      <c r="G2368" s="161"/>
      <c r="H2368" s="87" t="s">
        <v>66</v>
      </c>
      <c r="I2368" s="223">
        <f>SUM(I2369:I2370)</f>
        <v>90842.5</v>
      </c>
      <c r="J2368" s="223">
        <f>SUM(J2369:J2370)</f>
        <v>179</v>
      </c>
      <c r="K2368" s="223">
        <f>SUM(K2369:K2370)</f>
        <v>179</v>
      </c>
      <c r="L2368" s="71"/>
      <c r="M2368" s="71"/>
      <c r="N2368" s="71"/>
      <c r="O2368" s="71"/>
      <c r="P2368" s="71"/>
      <c r="Q2368" s="71"/>
      <c r="R2368" s="71"/>
      <c r="S2368" s="71"/>
      <c r="T2368" s="71"/>
      <c r="U2368" s="71"/>
      <c r="V2368" s="71"/>
      <c r="W2368" s="71"/>
      <c r="X2368" s="71"/>
      <c r="Y2368" s="71"/>
      <c r="Z2368" s="71"/>
      <c r="AA2368" s="71"/>
      <c r="AB2368" s="71"/>
      <c r="AC2368" s="71"/>
      <c r="AD2368" s="71"/>
      <c r="AE2368" s="71"/>
      <c r="AF2368" s="71"/>
      <c r="AG2368" s="71"/>
      <c r="AH2368" s="71"/>
      <c r="AI2368" s="71"/>
      <c r="AJ2368" s="71"/>
      <c r="AK2368" s="71"/>
      <c r="AL2368" s="71"/>
      <c r="AM2368" s="71"/>
      <c r="AN2368" s="71"/>
      <c r="AO2368" s="71"/>
      <c r="AP2368" s="71"/>
      <c r="AQ2368" s="71"/>
      <c r="AR2368" s="71"/>
      <c r="AS2368" s="71"/>
      <c r="AT2368" s="71"/>
      <c r="AU2368" s="71"/>
      <c r="AV2368" s="71"/>
      <c r="AW2368" s="71"/>
      <c r="AX2368" s="71"/>
      <c r="AY2368" s="71"/>
      <c r="AZ2368" s="71"/>
      <c r="BA2368" s="71"/>
      <c r="BB2368" s="71"/>
      <c r="BC2368" s="71"/>
      <c r="BD2368" s="71"/>
      <c r="BE2368" s="71"/>
      <c r="BF2368" s="71"/>
      <c r="BG2368" s="71"/>
      <c r="BH2368" s="71"/>
      <c r="BI2368" s="71"/>
      <c r="BJ2368" s="71"/>
      <c r="BK2368" s="71"/>
      <c r="BL2368" s="71"/>
      <c r="BM2368" s="71"/>
      <c r="BN2368" s="71"/>
      <c r="BO2368" s="71"/>
      <c r="BP2368" s="71"/>
      <c r="BQ2368" s="71"/>
      <c r="BR2368" s="71"/>
      <c r="BS2368" s="71"/>
      <c r="BT2368" s="71"/>
      <c r="BU2368" s="71"/>
      <c r="BV2368" s="71"/>
      <c r="BW2368" s="71"/>
      <c r="BX2368" s="71"/>
      <c r="BY2368" s="71"/>
      <c r="BZ2368" s="71"/>
      <c r="CA2368" s="71"/>
      <c r="CB2368" s="71"/>
      <c r="CC2368" s="71"/>
      <c r="CD2368" s="71"/>
      <c r="CE2368" s="71"/>
      <c r="CF2368" s="71"/>
      <c r="CG2368" s="71"/>
      <c r="CH2368" s="71"/>
      <c r="CI2368" s="71"/>
      <c r="CJ2368" s="71"/>
      <c r="CK2368" s="71"/>
      <c r="CL2368" s="71"/>
      <c r="CM2368" s="71"/>
      <c r="CN2368" s="71"/>
      <c r="CO2368" s="71"/>
      <c r="CP2368" s="71"/>
      <c r="CQ2368" s="71"/>
      <c r="CR2368" s="71"/>
      <c r="CS2368" s="71"/>
      <c r="CT2368" s="71"/>
      <c r="CU2368" s="71"/>
      <c r="CV2368" s="71"/>
      <c r="CW2368" s="71"/>
      <c r="CX2368" s="71"/>
      <c r="CY2368" s="71"/>
      <c r="CZ2368" s="71"/>
      <c r="DA2368" s="71"/>
      <c r="DB2368" s="71"/>
      <c r="DC2368" s="71"/>
      <c r="DD2368" s="71"/>
      <c r="DE2368" s="71"/>
      <c r="DF2368" s="71"/>
      <c r="DG2368" s="71"/>
      <c r="DH2368" s="71"/>
      <c r="DI2368" s="71"/>
      <c r="DJ2368" s="71"/>
      <c r="DK2368" s="71"/>
      <c r="DL2368" s="71"/>
      <c r="DM2368" s="71"/>
      <c r="DN2368" s="71"/>
      <c r="DO2368" s="71"/>
      <c r="DP2368" s="71"/>
      <c r="DQ2368" s="71"/>
      <c r="DR2368" s="71"/>
      <c r="DS2368" s="71"/>
      <c r="DT2368" s="71"/>
      <c r="DU2368" s="71"/>
      <c r="DV2368" s="71"/>
      <c r="DW2368" s="71"/>
      <c r="DX2368" s="71"/>
      <c r="DY2368" s="71"/>
      <c r="DZ2368" s="71"/>
      <c r="EA2368" s="71"/>
      <c r="EB2368" s="71"/>
      <c r="EC2368" s="71"/>
      <c r="ED2368" s="71"/>
      <c r="EE2368" s="71"/>
      <c r="EF2368" s="71"/>
      <c r="EG2368" s="71"/>
      <c r="EH2368" s="71"/>
      <c r="EI2368" s="71"/>
      <c r="EJ2368" s="71"/>
      <c r="EK2368" s="71"/>
      <c r="EL2368" s="71"/>
      <c r="EM2368" s="71"/>
      <c r="EN2368" s="71"/>
    </row>
    <row r="2369" spans="1:144" ht="63" x14ac:dyDescent="0.25">
      <c r="A2369" s="347"/>
      <c r="B2369" s="347"/>
      <c r="C2369" s="349"/>
      <c r="D2369" s="329"/>
      <c r="E2369" s="329"/>
      <c r="F2369" s="331"/>
      <c r="G2369" s="148" t="s">
        <v>70</v>
      </c>
      <c r="H2369" s="87" t="s">
        <v>168</v>
      </c>
      <c r="I2369" s="223">
        <f>D2368*K2369</f>
        <v>69527.5</v>
      </c>
      <c r="J2369" s="223">
        <f>I2369/D2368</f>
        <v>137</v>
      </c>
      <c r="K2369" s="223">
        <f>116+21</f>
        <v>137</v>
      </c>
      <c r="L2369" s="71"/>
      <c r="M2369" s="71"/>
      <c r="N2369" s="71"/>
      <c r="O2369" s="71"/>
      <c r="P2369" s="71"/>
      <c r="Q2369" s="71"/>
      <c r="R2369" s="71"/>
      <c r="S2369" s="71"/>
      <c r="T2369" s="71"/>
      <c r="U2369" s="71"/>
      <c r="V2369" s="71"/>
      <c r="W2369" s="71"/>
      <c r="X2369" s="71"/>
      <c r="Y2369" s="71"/>
      <c r="Z2369" s="71"/>
      <c r="AA2369" s="71"/>
      <c r="AB2369" s="71"/>
      <c r="AC2369" s="71"/>
      <c r="AD2369" s="71"/>
      <c r="AE2369" s="71"/>
      <c r="AF2369" s="71"/>
      <c r="AG2369" s="71"/>
      <c r="AH2369" s="71"/>
      <c r="AI2369" s="71"/>
      <c r="AJ2369" s="71"/>
      <c r="AK2369" s="71"/>
      <c r="AL2369" s="71"/>
      <c r="AM2369" s="71"/>
      <c r="AN2369" s="71"/>
      <c r="AO2369" s="71"/>
      <c r="AP2369" s="71"/>
      <c r="AQ2369" s="71"/>
      <c r="AR2369" s="71"/>
      <c r="AS2369" s="71"/>
      <c r="AT2369" s="71"/>
      <c r="AU2369" s="71"/>
      <c r="AV2369" s="71"/>
      <c r="AW2369" s="71"/>
      <c r="AX2369" s="71"/>
      <c r="AY2369" s="71"/>
      <c r="AZ2369" s="71"/>
      <c r="BA2369" s="71"/>
      <c r="BB2369" s="71"/>
      <c r="BC2369" s="71"/>
      <c r="BD2369" s="71"/>
      <c r="BE2369" s="71"/>
      <c r="BF2369" s="71"/>
      <c r="BG2369" s="71"/>
      <c r="BH2369" s="71"/>
      <c r="BI2369" s="71"/>
      <c r="BJ2369" s="71"/>
      <c r="BK2369" s="71"/>
      <c r="BL2369" s="71"/>
      <c r="BM2369" s="71"/>
      <c r="BN2369" s="71"/>
      <c r="BO2369" s="71"/>
      <c r="BP2369" s="71"/>
      <c r="BQ2369" s="71"/>
      <c r="BR2369" s="71"/>
      <c r="BS2369" s="71"/>
      <c r="BT2369" s="71"/>
      <c r="BU2369" s="71"/>
      <c r="BV2369" s="71"/>
      <c r="BW2369" s="71"/>
      <c r="BX2369" s="71"/>
      <c r="BY2369" s="71"/>
      <c r="BZ2369" s="71"/>
      <c r="CA2369" s="71"/>
      <c r="CB2369" s="71"/>
      <c r="CC2369" s="71"/>
      <c r="CD2369" s="71"/>
      <c r="CE2369" s="71"/>
      <c r="CF2369" s="71"/>
      <c r="CG2369" s="71"/>
      <c r="CH2369" s="71"/>
      <c r="CI2369" s="71"/>
      <c r="CJ2369" s="71"/>
      <c r="CK2369" s="71"/>
      <c r="CL2369" s="71"/>
      <c r="CM2369" s="71"/>
      <c r="CN2369" s="71"/>
      <c r="CO2369" s="71"/>
      <c r="CP2369" s="71"/>
      <c r="CQ2369" s="71"/>
      <c r="CR2369" s="71"/>
      <c r="CS2369" s="71"/>
      <c r="CT2369" s="71"/>
      <c r="CU2369" s="71"/>
      <c r="CV2369" s="71"/>
      <c r="CW2369" s="71"/>
      <c r="CX2369" s="71"/>
      <c r="CY2369" s="71"/>
      <c r="CZ2369" s="71"/>
      <c r="DA2369" s="71"/>
      <c r="DB2369" s="71"/>
      <c r="DC2369" s="71"/>
      <c r="DD2369" s="71"/>
      <c r="DE2369" s="71"/>
      <c r="DF2369" s="71"/>
      <c r="DG2369" s="71"/>
      <c r="DH2369" s="71"/>
      <c r="DI2369" s="71"/>
      <c r="DJ2369" s="71"/>
      <c r="DK2369" s="71"/>
      <c r="DL2369" s="71"/>
      <c r="DM2369" s="71"/>
      <c r="DN2369" s="71"/>
      <c r="DO2369" s="71"/>
      <c r="DP2369" s="71"/>
      <c r="DQ2369" s="71"/>
      <c r="DR2369" s="71"/>
      <c r="DS2369" s="71"/>
      <c r="DT2369" s="71"/>
      <c r="DU2369" s="71"/>
      <c r="DV2369" s="71"/>
      <c r="DW2369" s="71"/>
      <c r="DX2369" s="71"/>
      <c r="DY2369" s="71"/>
      <c r="DZ2369" s="71"/>
      <c r="EA2369" s="71"/>
      <c r="EB2369" s="71"/>
      <c r="EC2369" s="71"/>
      <c r="ED2369" s="71"/>
      <c r="EE2369" s="71"/>
      <c r="EF2369" s="71"/>
      <c r="EG2369" s="71"/>
      <c r="EH2369" s="71"/>
      <c r="EI2369" s="71"/>
      <c r="EJ2369" s="71"/>
      <c r="EK2369" s="71"/>
      <c r="EL2369" s="71"/>
      <c r="EM2369" s="71"/>
      <c r="EN2369" s="71"/>
    </row>
    <row r="2370" spans="1:144" ht="63" x14ac:dyDescent="0.25">
      <c r="A2370" s="347"/>
      <c r="B2370" s="347"/>
      <c r="C2370" s="349"/>
      <c r="D2370" s="329"/>
      <c r="E2370" s="329"/>
      <c r="F2370" s="331"/>
      <c r="G2370" s="148" t="s">
        <v>71</v>
      </c>
      <c r="H2370" s="87" t="s">
        <v>168</v>
      </c>
      <c r="I2370" s="223">
        <f>D2368*K2370</f>
        <v>21315</v>
      </c>
      <c r="J2370" s="223">
        <f>I2370/D2368</f>
        <v>42</v>
      </c>
      <c r="K2370" s="223">
        <f>21+21</f>
        <v>42</v>
      </c>
      <c r="L2370" s="71"/>
      <c r="M2370" s="71"/>
      <c r="N2370" s="71"/>
      <c r="O2370" s="71"/>
      <c r="P2370" s="71"/>
      <c r="Q2370" s="71"/>
      <c r="R2370" s="71"/>
      <c r="S2370" s="71"/>
      <c r="T2370" s="71"/>
      <c r="U2370" s="71"/>
      <c r="V2370" s="71"/>
      <c r="W2370" s="71"/>
      <c r="X2370" s="71"/>
      <c r="Y2370" s="71"/>
      <c r="Z2370" s="71"/>
      <c r="AA2370" s="71"/>
      <c r="AB2370" s="71"/>
      <c r="AC2370" s="71"/>
      <c r="AD2370" s="71"/>
      <c r="AE2370" s="71"/>
      <c r="AF2370" s="71"/>
      <c r="AG2370" s="71"/>
      <c r="AH2370" s="71"/>
      <c r="AI2370" s="71"/>
      <c r="AJ2370" s="71"/>
      <c r="AK2370" s="71"/>
      <c r="AL2370" s="71"/>
      <c r="AM2370" s="71"/>
      <c r="AN2370" s="71"/>
      <c r="AO2370" s="71"/>
      <c r="AP2370" s="71"/>
      <c r="AQ2370" s="71"/>
      <c r="AR2370" s="71"/>
      <c r="AS2370" s="71"/>
      <c r="AT2370" s="71"/>
      <c r="AU2370" s="71"/>
      <c r="AV2370" s="71"/>
      <c r="AW2370" s="71"/>
      <c r="AX2370" s="71"/>
      <c r="AY2370" s="71"/>
      <c r="AZ2370" s="71"/>
      <c r="BA2370" s="71"/>
      <c r="BB2370" s="71"/>
      <c r="BC2370" s="71"/>
      <c r="BD2370" s="71"/>
      <c r="BE2370" s="71"/>
      <c r="BF2370" s="71"/>
      <c r="BG2370" s="71"/>
      <c r="BH2370" s="71"/>
      <c r="BI2370" s="71"/>
      <c r="BJ2370" s="71"/>
      <c r="BK2370" s="71"/>
      <c r="BL2370" s="71"/>
      <c r="BM2370" s="71"/>
      <c r="BN2370" s="71"/>
      <c r="BO2370" s="71"/>
      <c r="BP2370" s="71"/>
      <c r="BQ2370" s="71"/>
      <c r="BR2370" s="71"/>
      <c r="BS2370" s="71"/>
      <c r="BT2370" s="71"/>
      <c r="BU2370" s="71"/>
      <c r="BV2370" s="71"/>
      <c r="BW2370" s="71"/>
      <c r="BX2370" s="71"/>
      <c r="BY2370" s="71"/>
      <c r="BZ2370" s="71"/>
      <c r="CA2370" s="71"/>
      <c r="CB2370" s="71"/>
      <c r="CC2370" s="71"/>
      <c r="CD2370" s="71"/>
      <c r="CE2370" s="71"/>
      <c r="CF2370" s="71"/>
      <c r="CG2370" s="71"/>
      <c r="CH2370" s="71"/>
      <c r="CI2370" s="71"/>
      <c r="CJ2370" s="71"/>
      <c r="CK2370" s="71"/>
      <c r="CL2370" s="71"/>
      <c r="CM2370" s="71"/>
      <c r="CN2370" s="71"/>
      <c r="CO2370" s="71"/>
      <c r="CP2370" s="71"/>
      <c r="CQ2370" s="71"/>
      <c r="CR2370" s="71"/>
      <c r="CS2370" s="71"/>
      <c r="CT2370" s="71"/>
      <c r="CU2370" s="71"/>
      <c r="CV2370" s="71"/>
      <c r="CW2370" s="71"/>
      <c r="CX2370" s="71"/>
      <c r="CY2370" s="71"/>
      <c r="CZ2370" s="71"/>
      <c r="DA2370" s="71"/>
      <c r="DB2370" s="71"/>
      <c r="DC2370" s="71"/>
      <c r="DD2370" s="71"/>
      <c r="DE2370" s="71"/>
      <c r="DF2370" s="71"/>
      <c r="DG2370" s="71"/>
      <c r="DH2370" s="71"/>
      <c r="DI2370" s="71"/>
      <c r="DJ2370" s="71"/>
      <c r="DK2370" s="71"/>
      <c r="DL2370" s="71"/>
      <c r="DM2370" s="71"/>
      <c r="DN2370" s="71"/>
      <c r="DO2370" s="71"/>
      <c r="DP2370" s="71"/>
      <c r="DQ2370" s="71"/>
      <c r="DR2370" s="71"/>
      <c r="DS2370" s="71"/>
      <c r="DT2370" s="71"/>
      <c r="DU2370" s="71"/>
      <c r="DV2370" s="71"/>
      <c r="DW2370" s="71"/>
      <c r="DX2370" s="71"/>
      <c r="DY2370" s="71"/>
      <c r="DZ2370" s="71"/>
      <c r="EA2370" s="71"/>
      <c r="EB2370" s="71"/>
      <c r="EC2370" s="71"/>
      <c r="ED2370" s="71"/>
      <c r="EE2370" s="71"/>
      <c r="EF2370" s="71"/>
      <c r="EG2370" s="71"/>
      <c r="EH2370" s="71"/>
      <c r="EI2370" s="71"/>
      <c r="EJ2370" s="71"/>
      <c r="EK2370" s="71"/>
      <c r="EL2370" s="71"/>
      <c r="EM2370" s="71"/>
      <c r="EN2370" s="71"/>
    </row>
    <row r="2371" spans="1:144" x14ac:dyDescent="0.25">
      <c r="A2371" s="346">
        <f>A2368+1</f>
        <v>22</v>
      </c>
      <c r="B2371" s="346">
        <v>7076</v>
      </c>
      <c r="C2371" s="348" t="s">
        <v>325</v>
      </c>
      <c r="D2371" s="312">
        <v>339.62</v>
      </c>
      <c r="E2371" s="312" t="s">
        <v>167</v>
      </c>
      <c r="F2371" s="330">
        <v>2</v>
      </c>
      <c r="G2371" s="161"/>
      <c r="H2371" s="87" t="s">
        <v>66</v>
      </c>
      <c r="I2371" s="223">
        <f>SUM(I2372:I2375)</f>
        <v>856491.91</v>
      </c>
      <c r="J2371" s="223">
        <f>SUM(J2372:J2375)</f>
        <v>2521.91</v>
      </c>
      <c r="K2371" s="223">
        <f>SUM(K2372:K2375)</f>
        <v>3497</v>
      </c>
      <c r="L2371" s="71"/>
      <c r="M2371" s="71"/>
      <c r="N2371" s="71"/>
      <c r="O2371" s="71"/>
      <c r="P2371" s="71"/>
      <c r="Q2371" s="71"/>
      <c r="R2371" s="71"/>
      <c r="S2371" s="71"/>
      <c r="T2371" s="71"/>
      <c r="U2371" s="71"/>
      <c r="V2371" s="71"/>
      <c r="W2371" s="71"/>
      <c r="X2371" s="71"/>
      <c r="Y2371" s="71"/>
      <c r="Z2371" s="71"/>
      <c r="AA2371" s="71"/>
      <c r="AB2371" s="71"/>
      <c r="AC2371" s="71"/>
      <c r="AD2371" s="71"/>
      <c r="AE2371" s="71"/>
      <c r="AF2371" s="71"/>
      <c r="AG2371" s="71"/>
      <c r="AH2371" s="71"/>
      <c r="AI2371" s="71"/>
      <c r="AJ2371" s="71"/>
      <c r="AK2371" s="71"/>
      <c r="AL2371" s="71"/>
      <c r="AM2371" s="71"/>
      <c r="AN2371" s="71"/>
      <c r="AO2371" s="71"/>
      <c r="AP2371" s="71"/>
      <c r="AQ2371" s="71"/>
      <c r="AR2371" s="71"/>
      <c r="AS2371" s="71"/>
      <c r="AT2371" s="71"/>
      <c r="AU2371" s="71"/>
      <c r="AV2371" s="71"/>
      <c r="AW2371" s="71"/>
      <c r="AX2371" s="71"/>
      <c r="AY2371" s="71"/>
      <c r="AZ2371" s="71"/>
      <c r="BA2371" s="71"/>
      <c r="BB2371" s="71"/>
      <c r="BC2371" s="71"/>
      <c r="BD2371" s="71"/>
      <c r="BE2371" s="71"/>
      <c r="BF2371" s="71"/>
      <c r="BG2371" s="71"/>
      <c r="BH2371" s="71"/>
      <c r="BI2371" s="71"/>
      <c r="BJ2371" s="71"/>
      <c r="BK2371" s="71"/>
      <c r="BL2371" s="71"/>
      <c r="BM2371" s="71"/>
      <c r="BN2371" s="71"/>
      <c r="BO2371" s="71"/>
      <c r="BP2371" s="71"/>
      <c r="BQ2371" s="71"/>
      <c r="BR2371" s="71"/>
      <c r="BS2371" s="71"/>
      <c r="BT2371" s="71"/>
      <c r="BU2371" s="71"/>
      <c r="BV2371" s="71"/>
      <c r="BW2371" s="71"/>
      <c r="BX2371" s="71"/>
      <c r="BY2371" s="71"/>
      <c r="BZ2371" s="71"/>
      <c r="CA2371" s="71"/>
      <c r="CB2371" s="71"/>
      <c r="CC2371" s="71"/>
      <c r="CD2371" s="71"/>
      <c r="CE2371" s="71"/>
      <c r="CF2371" s="71"/>
      <c r="CG2371" s="71"/>
      <c r="CH2371" s="71"/>
      <c r="CI2371" s="71"/>
      <c r="CJ2371" s="71"/>
      <c r="CK2371" s="71"/>
      <c r="CL2371" s="71"/>
      <c r="CM2371" s="71"/>
      <c r="CN2371" s="71"/>
      <c r="CO2371" s="71"/>
      <c r="CP2371" s="71"/>
      <c r="CQ2371" s="71"/>
      <c r="CR2371" s="71"/>
      <c r="CS2371" s="71"/>
      <c r="CT2371" s="71"/>
      <c r="CU2371" s="71"/>
      <c r="CV2371" s="71"/>
      <c r="CW2371" s="71"/>
      <c r="CX2371" s="71"/>
      <c r="CY2371" s="71"/>
      <c r="CZ2371" s="71"/>
      <c r="DA2371" s="71"/>
      <c r="DB2371" s="71"/>
      <c r="DC2371" s="71"/>
      <c r="DD2371" s="71"/>
      <c r="DE2371" s="71"/>
      <c r="DF2371" s="71"/>
      <c r="DG2371" s="71"/>
      <c r="DH2371" s="71"/>
      <c r="DI2371" s="71"/>
      <c r="DJ2371" s="71"/>
      <c r="DK2371" s="71"/>
      <c r="DL2371" s="71"/>
      <c r="DM2371" s="71"/>
      <c r="DN2371" s="71"/>
      <c r="DO2371" s="71"/>
      <c r="DP2371" s="71"/>
      <c r="DQ2371" s="71"/>
      <c r="DR2371" s="71"/>
      <c r="DS2371" s="71"/>
      <c r="DT2371" s="71"/>
      <c r="DU2371" s="71"/>
      <c r="DV2371" s="71"/>
      <c r="DW2371" s="71"/>
      <c r="DX2371" s="71"/>
      <c r="DY2371" s="71"/>
      <c r="DZ2371" s="71"/>
      <c r="EA2371" s="71"/>
      <c r="EB2371" s="71"/>
      <c r="EC2371" s="71"/>
      <c r="ED2371" s="71"/>
      <c r="EE2371" s="71"/>
      <c r="EF2371" s="71"/>
      <c r="EG2371" s="71"/>
      <c r="EH2371" s="71"/>
      <c r="EI2371" s="71"/>
      <c r="EJ2371" s="71"/>
      <c r="EK2371" s="71"/>
      <c r="EL2371" s="71"/>
      <c r="EM2371" s="71"/>
      <c r="EN2371" s="71"/>
    </row>
    <row r="2372" spans="1:144" x14ac:dyDescent="0.25">
      <c r="A2372" s="347"/>
      <c r="B2372" s="347"/>
      <c r="C2372" s="349"/>
      <c r="D2372" s="329"/>
      <c r="E2372" s="329"/>
      <c r="F2372" s="331"/>
      <c r="G2372" s="307" t="s">
        <v>70</v>
      </c>
      <c r="H2372" s="96" t="s">
        <v>67</v>
      </c>
      <c r="I2372" s="226">
        <v>755892</v>
      </c>
      <c r="J2372" s="223">
        <f>I2372/D2371</f>
        <v>2225.6999999999998</v>
      </c>
      <c r="K2372" s="223">
        <v>2911</v>
      </c>
    </row>
    <row r="2373" spans="1:144" x14ac:dyDescent="0.25">
      <c r="A2373" s="347"/>
      <c r="B2373" s="347"/>
      <c r="C2373" s="349"/>
      <c r="D2373" s="329"/>
      <c r="E2373" s="329"/>
      <c r="F2373" s="331"/>
      <c r="G2373" s="309"/>
      <c r="H2373" s="96" t="s">
        <v>69</v>
      </c>
      <c r="I2373" s="226">
        <f>I2372*0.0214</f>
        <v>16176.09</v>
      </c>
      <c r="J2373" s="223">
        <f>I2373/D2371</f>
        <v>47.63</v>
      </c>
      <c r="K2373" s="223">
        <v>62</v>
      </c>
    </row>
    <row r="2374" spans="1:144" ht="27" customHeight="1" x14ac:dyDescent="0.25">
      <c r="A2374" s="347"/>
      <c r="B2374" s="347"/>
      <c r="C2374" s="349"/>
      <c r="D2374" s="329"/>
      <c r="E2374" s="329"/>
      <c r="F2374" s="331"/>
      <c r="G2374" s="307" t="s">
        <v>71</v>
      </c>
      <c r="H2374" s="96" t="s">
        <v>67</v>
      </c>
      <c r="I2374" s="226">
        <v>82655</v>
      </c>
      <c r="J2374" s="223">
        <f>I2374/D2371</f>
        <v>243.37</v>
      </c>
      <c r="K2374" s="223">
        <v>513</v>
      </c>
      <c r="L2374" s="71"/>
      <c r="M2374" s="71"/>
      <c r="N2374" s="71"/>
      <c r="O2374" s="71"/>
      <c r="P2374" s="71"/>
      <c r="Q2374" s="71"/>
      <c r="R2374" s="71"/>
      <c r="S2374" s="71"/>
      <c r="T2374" s="71"/>
      <c r="U2374" s="71"/>
      <c r="V2374" s="71"/>
      <c r="W2374" s="71"/>
      <c r="X2374" s="71"/>
      <c r="Y2374" s="71"/>
      <c r="Z2374" s="71"/>
      <c r="AA2374" s="71"/>
      <c r="AB2374" s="71"/>
      <c r="AC2374" s="71"/>
      <c r="AD2374" s="71"/>
      <c r="AE2374" s="71"/>
      <c r="AF2374" s="71"/>
      <c r="AG2374" s="71"/>
      <c r="AH2374" s="71"/>
      <c r="AI2374" s="71"/>
      <c r="AJ2374" s="71"/>
      <c r="AK2374" s="71"/>
      <c r="AL2374" s="71"/>
      <c r="AM2374" s="71"/>
      <c r="AN2374" s="71"/>
      <c r="AO2374" s="71"/>
      <c r="AP2374" s="71"/>
      <c r="AQ2374" s="71"/>
      <c r="AR2374" s="71"/>
      <c r="AS2374" s="71"/>
      <c r="AT2374" s="71"/>
      <c r="AU2374" s="71"/>
      <c r="AV2374" s="71"/>
      <c r="AW2374" s="71"/>
      <c r="AX2374" s="71"/>
      <c r="AY2374" s="71"/>
      <c r="AZ2374" s="71"/>
      <c r="BA2374" s="71"/>
      <c r="BB2374" s="71"/>
      <c r="BC2374" s="71"/>
      <c r="BD2374" s="71"/>
      <c r="BE2374" s="71"/>
      <c r="BF2374" s="71"/>
      <c r="BG2374" s="71"/>
      <c r="BH2374" s="71"/>
      <c r="BI2374" s="71"/>
      <c r="BJ2374" s="71"/>
      <c r="BK2374" s="71"/>
      <c r="BL2374" s="71"/>
      <c r="BM2374" s="71"/>
      <c r="BN2374" s="71"/>
      <c r="BO2374" s="71"/>
      <c r="BP2374" s="71"/>
      <c r="BQ2374" s="71"/>
      <c r="BR2374" s="71"/>
      <c r="BS2374" s="71"/>
      <c r="BT2374" s="71"/>
      <c r="BU2374" s="71"/>
      <c r="BV2374" s="71"/>
      <c r="BW2374" s="71"/>
      <c r="BX2374" s="71"/>
      <c r="BY2374" s="71"/>
      <c r="BZ2374" s="71"/>
      <c r="CA2374" s="71"/>
      <c r="CB2374" s="71"/>
      <c r="CC2374" s="71"/>
      <c r="CD2374" s="71"/>
      <c r="CE2374" s="71"/>
      <c r="CF2374" s="71"/>
      <c r="CG2374" s="71"/>
      <c r="CH2374" s="71"/>
      <c r="CI2374" s="71"/>
      <c r="CJ2374" s="71"/>
      <c r="CK2374" s="71"/>
      <c r="CL2374" s="71"/>
      <c r="CM2374" s="71"/>
      <c r="CN2374" s="71"/>
      <c r="CO2374" s="71"/>
      <c r="CP2374" s="71"/>
      <c r="CQ2374" s="71"/>
      <c r="CR2374" s="71"/>
      <c r="CS2374" s="71"/>
      <c r="CT2374" s="71"/>
      <c r="CU2374" s="71"/>
      <c r="CV2374" s="71"/>
      <c r="CW2374" s="71"/>
      <c r="CX2374" s="71"/>
      <c r="CY2374" s="71"/>
      <c r="CZ2374" s="71"/>
      <c r="DA2374" s="71"/>
      <c r="DB2374" s="71"/>
      <c r="DC2374" s="71"/>
      <c r="DD2374" s="71"/>
      <c r="DE2374" s="71"/>
      <c r="DF2374" s="71"/>
      <c r="DG2374" s="71"/>
      <c r="DH2374" s="71"/>
      <c r="DI2374" s="71"/>
      <c r="DJ2374" s="71"/>
      <c r="DK2374" s="71"/>
      <c r="DL2374" s="71"/>
      <c r="DM2374" s="71"/>
      <c r="DN2374" s="71"/>
      <c r="DO2374" s="71"/>
      <c r="DP2374" s="71"/>
      <c r="DQ2374" s="71"/>
      <c r="DR2374" s="71"/>
      <c r="DS2374" s="71"/>
      <c r="DT2374" s="71"/>
      <c r="DU2374" s="71"/>
      <c r="DV2374" s="71"/>
      <c r="DW2374" s="71"/>
      <c r="DX2374" s="71"/>
      <c r="DY2374" s="71"/>
      <c r="DZ2374" s="71"/>
      <c r="EA2374" s="71"/>
      <c r="EB2374" s="71"/>
      <c r="EC2374" s="71"/>
      <c r="ED2374" s="71"/>
      <c r="EE2374" s="71"/>
      <c r="EF2374" s="71"/>
      <c r="EG2374" s="71"/>
      <c r="EH2374" s="71"/>
      <c r="EI2374" s="71"/>
      <c r="EJ2374" s="71"/>
      <c r="EK2374" s="71"/>
      <c r="EL2374" s="71"/>
      <c r="EM2374" s="71"/>
      <c r="EN2374" s="71"/>
    </row>
    <row r="2375" spans="1:144" ht="27" customHeight="1" x14ac:dyDescent="0.25">
      <c r="A2375" s="347"/>
      <c r="B2375" s="347"/>
      <c r="C2375" s="349"/>
      <c r="D2375" s="329"/>
      <c r="E2375" s="329"/>
      <c r="F2375" s="331"/>
      <c r="G2375" s="309"/>
      <c r="H2375" s="96" t="s">
        <v>69</v>
      </c>
      <c r="I2375" s="226">
        <f>I2374*0.0214</f>
        <v>1768.82</v>
      </c>
      <c r="J2375" s="223">
        <f>I2375/D2371</f>
        <v>5.21</v>
      </c>
      <c r="K2375" s="223">
        <v>11</v>
      </c>
      <c r="L2375" s="71"/>
      <c r="M2375" s="71"/>
      <c r="N2375" s="71"/>
      <c r="O2375" s="71"/>
      <c r="P2375" s="71"/>
      <c r="Q2375" s="71"/>
      <c r="R2375" s="71"/>
      <c r="S2375" s="71"/>
      <c r="T2375" s="71"/>
      <c r="U2375" s="71"/>
      <c r="V2375" s="71"/>
      <c r="W2375" s="71"/>
      <c r="X2375" s="71"/>
      <c r="Y2375" s="71"/>
      <c r="Z2375" s="71"/>
      <c r="AA2375" s="71"/>
      <c r="AB2375" s="71"/>
      <c r="AC2375" s="71"/>
      <c r="AD2375" s="71"/>
      <c r="AE2375" s="71"/>
      <c r="AF2375" s="71"/>
      <c r="AG2375" s="71"/>
      <c r="AH2375" s="71"/>
      <c r="AI2375" s="71"/>
      <c r="AJ2375" s="71"/>
      <c r="AK2375" s="71"/>
      <c r="AL2375" s="71"/>
      <c r="AM2375" s="71"/>
      <c r="AN2375" s="71"/>
      <c r="AO2375" s="71"/>
      <c r="AP2375" s="71"/>
      <c r="AQ2375" s="71"/>
      <c r="AR2375" s="71"/>
      <c r="AS2375" s="71"/>
      <c r="AT2375" s="71"/>
      <c r="AU2375" s="71"/>
      <c r="AV2375" s="71"/>
      <c r="AW2375" s="71"/>
      <c r="AX2375" s="71"/>
      <c r="AY2375" s="71"/>
      <c r="AZ2375" s="71"/>
      <c r="BA2375" s="71"/>
      <c r="BB2375" s="71"/>
      <c r="BC2375" s="71"/>
      <c r="BD2375" s="71"/>
      <c r="BE2375" s="71"/>
      <c r="BF2375" s="71"/>
      <c r="BG2375" s="71"/>
      <c r="BH2375" s="71"/>
      <c r="BI2375" s="71"/>
      <c r="BJ2375" s="71"/>
      <c r="BK2375" s="71"/>
      <c r="BL2375" s="71"/>
      <c r="BM2375" s="71"/>
      <c r="BN2375" s="71"/>
      <c r="BO2375" s="71"/>
      <c r="BP2375" s="71"/>
      <c r="BQ2375" s="71"/>
      <c r="BR2375" s="71"/>
      <c r="BS2375" s="71"/>
      <c r="BT2375" s="71"/>
      <c r="BU2375" s="71"/>
      <c r="BV2375" s="71"/>
      <c r="BW2375" s="71"/>
      <c r="BX2375" s="71"/>
      <c r="BY2375" s="71"/>
      <c r="BZ2375" s="71"/>
      <c r="CA2375" s="71"/>
      <c r="CB2375" s="71"/>
      <c r="CC2375" s="71"/>
      <c r="CD2375" s="71"/>
      <c r="CE2375" s="71"/>
      <c r="CF2375" s="71"/>
      <c r="CG2375" s="71"/>
      <c r="CH2375" s="71"/>
      <c r="CI2375" s="71"/>
      <c r="CJ2375" s="71"/>
      <c r="CK2375" s="71"/>
      <c r="CL2375" s="71"/>
      <c r="CM2375" s="71"/>
      <c r="CN2375" s="71"/>
      <c r="CO2375" s="71"/>
      <c r="CP2375" s="71"/>
      <c r="CQ2375" s="71"/>
      <c r="CR2375" s="71"/>
      <c r="CS2375" s="71"/>
      <c r="CT2375" s="71"/>
      <c r="CU2375" s="71"/>
      <c r="CV2375" s="71"/>
      <c r="CW2375" s="71"/>
      <c r="CX2375" s="71"/>
      <c r="CY2375" s="71"/>
      <c r="CZ2375" s="71"/>
      <c r="DA2375" s="71"/>
      <c r="DB2375" s="71"/>
      <c r="DC2375" s="71"/>
      <c r="DD2375" s="71"/>
      <c r="DE2375" s="71"/>
      <c r="DF2375" s="71"/>
      <c r="DG2375" s="71"/>
      <c r="DH2375" s="71"/>
      <c r="DI2375" s="71"/>
      <c r="DJ2375" s="71"/>
      <c r="DK2375" s="71"/>
      <c r="DL2375" s="71"/>
      <c r="DM2375" s="71"/>
      <c r="DN2375" s="71"/>
      <c r="DO2375" s="71"/>
      <c r="DP2375" s="71"/>
      <c r="DQ2375" s="71"/>
      <c r="DR2375" s="71"/>
      <c r="DS2375" s="71"/>
      <c r="DT2375" s="71"/>
      <c r="DU2375" s="71"/>
      <c r="DV2375" s="71"/>
      <c r="DW2375" s="71"/>
      <c r="DX2375" s="71"/>
      <c r="DY2375" s="71"/>
      <c r="DZ2375" s="71"/>
      <c r="EA2375" s="71"/>
      <c r="EB2375" s="71"/>
      <c r="EC2375" s="71"/>
      <c r="ED2375" s="71"/>
      <c r="EE2375" s="71"/>
      <c r="EF2375" s="71"/>
      <c r="EG2375" s="71"/>
      <c r="EH2375" s="71"/>
      <c r="EI2375" s="71"/>
      <c r="EJ2375" s="71"/>
      <c r="EK2375" s="71"/>
      <c r="EL2375" s="71"/>
      <c r="EM2375" s="71"/>
      <c r="EN2375" s="71"/>
    </row>
    <row r="2376" spans="1:144" x14ac:dyDescent="0.25">
      <c r="A2376" s="346">
        <f>A2371+1</f>
        <v>23</v>
      </c>
      <c r="B2376" s="346">
        <v>7084</v>
      </c>
      <c r="C2376" s="348" t="s">
        <v>326</v>
      </c>
      <c r="D2376" s="312">
        <v>460</v>
      </c>
      <c r="E2376" s="312" t="s">
        <v>167</v>
      </c>
      <c r="F2376" s="330">
        <v>2</v>
      </c>
      <c r="G2376" s="161"/>
      <c r="H2376" s="87" t="s">
        <v>66</v>
      </c>
      <c r="I2376" s="223">
        <f>SUM(I2377:I2380)</f>
        <v>797392.68</v>
      </c>
      <c r="J2376" s="223">
        <f>SUM(J2377:J2380)</f>
        <v>1733.46</v>
      </c>
      <c r="K2376" s="223">
        <f>SUM(K2377:K2380)</f>
        <v>3497</v>
      </c>
      <c r="L2376" s="71"/>
      <c r="M2376" s="71"/>
      <c r="N2376" s="71"/>
      <c r="O2376" s="71"/>
      <c r="P2376" s="71"/>
      <c r="Q2376" s="71"/>
      <c r="R2376" s="71"/>
      <c r="S2376" s="71"/>
      <c r="T2376" s="71"/>
      <c r="U2376" s="71"/>
      <c r="V2376" s="71"/>
      <c r="W2376" s="71"/>
      <c r="X2376" s="71"/>
      <c r="Y2376" s="71"/>
      <c r="Z2376" s="71"/>
      <c r="AA2376" s="71"/>
      <c r="AB2376" s="71"/>
      <c r="AC2376" s="71"/>
      <c r="AD2376" s="71"/>
      <c r="AE2376" s="71"/>
      <c r="AF2376" s="71"/>
      <c r="AG2376" s="71"/>
      <c r="AH2376" s="71"/>
      <c r="AI2376" s="71"/>
      <c r="AJ2376" s="71"/>
      <c r="AK2376" s="71"/>
      <c r="AL2376" s="71"/>
      <c r="AM2376" s="71"/>
      <c r="AN2376" s="71"/>
      <c r="AO2376" s="71"/>
      <c r="AP2376" s="71"/>
      <c r="AQ2376" s="71"/>
      <c r="AR2376" s="71"/>
      <c r="AS2376" s="71"/>
      <c r="AT2376" s="71"/>
      <c r="AU2376" s="71"/>
      <c r="AV2376" s="71"/>
      <c r="AW2376" s="71"/>
      <c r="AX2376" s="71"/>
      <c r="AY2376" s="71"/>
      <c r="AZ2376" s="71"/>
      <c r="BA2376" s="71"/>
      <c r="BB2376" s="71"/>
      <c r="BC2376" s="71"/>
      <c r="BD2376" s="71"/>
      <c r="BE2376" s="71"/>
      <c r="BF2376" s="71"/>
      <c r="BG2376" s="71"/>
      <c r="BH2376" s="71"/>
      <c r="BI2376" s="71"/>
      <c r="BJ2376" s="71"/>
      <c r="BK2376" s="71"/>
      <c r="BL2376" s="71"/>
      <c r="BM2376" s="71"/>
      <c r="BN2376" s="71"/>
      <c r="BO2376" s="71"/>
      <c r="BP2376" s="71"/>
      <c r="BQ2376" s="71"/>
      <c r="BR2376" s="71"/>
      <c r="BS2376" s="71"/>
      <c r="BT2376" s="71"/>
      <c r="BU2376" s="71"/>
      <c r="BV2376" s="71"/>
      <c r="BW2376" s="71"/>
      <c r="BX2376" s="71"/>
      <c r="BY2376" s="71"/>
      <c r="BZ2376" s="71"/>
      <c r="CA2376" s="71"/>
      <c r="CB2376" s="71"/>
      <c r="CC2376" s="71"/>
      <c r="CD2376" s="71"/>
      <c r="CE2376" s="71"/>
      <c r="CF2376" s="71"/>
      <c r="CG2376" s="71"/>
      <c r="CH2376" s="71"/>
      <c r="CI2376" s="71"/>
      <c r="CJ2376" s="71"/>
      <c r="CK2376" s="71"/>
      <c r="CL2376" s="71"/>
      <c r="CM2376" s="71"/>
      <c r="CN2376" s="71"/>
      <c r="CO2376" s="71"/>
      <c r="CP2376" s="71"/>
      <c r="CQ2376" s="71"/>
      <c r="CR2376" s="71"/>
      <c r="CS2376" s="71"/>
      <c r="CT2376" s="71"/>
      <c r="CU2376" s="71"/>
      <c r="CV2376" s="71"/>
      <c r="CW2376" s="71"/>
      <c r="CX2376" s="71"/>
      <c r="CY2376" s="71"/>
      <c r="CZ2376" s="71"/>
      <c r="DA2376" s="71"/>
      <c r="DB2376" s="71"/>
      <c r="DC2376" s="71"/>
      <c r="DD2376" s="71"/>
      <c r="DE2376" s="71"/>
      <c r="DF2376" s="71"/>
      <c r="DG2376" s="71"/>
      <c r="DH2376" s="71"/>
      <c r="DI2376" s="71"/>
      <c r="DJ2376" s="71"/>
      <c r="DK2376" s="71"/>
      <c r="DL2376" s="71"/>
      <c r="DM2376" s="71"/>
      <c r="DN2376" s="71"/>
      <c r="DO2376" s="71"/>
      <c r="DP2376" s="71"/>
      <c r="DQ2376" s="71"/>
      <c r="DR2376" s="71"/>
      <c r="DS2376" s="71"/>
      <c r="DT2376" s="71"/>
      <c r="DU2376" s="71"/>
      <c r="DV2376" s="71"/>
      <c r="DW2376" s="71"/>
      <c r="DX2376" s="71"/>
      <c r="DY2376" s="71"/>
      <c r="DZ2376" s="71"/>
      <c r="EA2376" s="71"/>
      <c r="EB2376" s="71"/>
      <c r="EC2376" s="71"/>
      <c r="ED2376" s="71"/>
      <c r="EE2376" s="71"/>
      <c r="EF2376" s="71"/>
      <c r="EG2376" s="71"/>
      <c r="EH2376" s="71"/>
      <c r="EI2376" s="71"/>
      <c r="EJ2376" s="71"/>
      <c r="EK2376" s="71"/>
      <c r="EL2376" s="71"/>
      <c r="EM2376" s="71"/>
      <c r="EN2376" s="71"/>
    </row>
    <row r="2377" spans="1:144" x14ac:dyDescent="0.25">
      <c r="A2377" s="347"/>
      <c r="B2377" s="347"/>
      <c r="C2377" s="349"/>
      <c r="D2377" s="329"/>
      <c r="E2377" s="329"/>
      <c r="F2377" s="331"/>
      <c r="G2377" s="310" t="s">
        <v>70</v>
      </c>
      <c r="H2377" s="87" t="s">
        <v>67</v>
      </c>
      <c r="I2377" s="226">
        <v>714313</v>
      </c>
      <c r="J2377" s="223">
        <f>I2377/D2376</f>
        <v>1552.85</v>
      </c>
      <c r="K2377" s="223">
        <v>2911</v>
      </c>
      <c r="L2377" s="71"/>
      <c r="M2377" s="71"/>
      <c r="N2377" s="71"/>
      <c r="O2377" s="71"/>
      <c r="P2377" s="71"/>
      <c r="Q2377" s="71"/>
      <c r="R2377" s="71"/>
      <c r="S2377" s="71"/>
      <c r="T2377" s="71"/>
      <c r="U2377" s="71"/>
      <c r="V2377" s="71"/>
      <c r="W2377" s="71"/>
      <c r="X2377" s="71"/>
      <c r="Y2377" s="71"/>
      <c r="Z2377" s="71"/>
      <c r="AA2377" s="71"/>
      <c r="AB2377" s="71"/>
      <c r="AC2377" s="71"/>
      <c r="AD2377" s="71"/>
      <c r="AE2377" s="71"/>
      <c r="AF2377" s="71"/>
      <c r="AG2377" s="71"/>
      <c r="AH2377" s="71"/>
      <c r="AI2377" s="71"/>
      <c r="AJ2377" s="71"/>
      <c r="AK2377" s="71"/>
      <c r="AL2377" s="71"/>
      <c r="AM2377" s="71"/>
      <c r="AN2377" s="71"/>
      <c r="AO2377" s="71"/>
      <c r="AP2377" s="71"/>
      <c r="AQ2377" s="71"/>
      <c r="AR2377" s="71"/>
      <c r="AS2377" s="71"/>
      <c r="AT2377" s="71"/>
      <c r="AU2377" s="71"/>
      <c r="AV2377" s="71"/>
      <c r="AW2377" s="71"/>
      <c r="AX2377" s="71"/>
      <c r="AY2377" s="71"/>
      <c r="AZ2377" s="71"/>
      <c r="BA2377" s="71"/>
      <c r="BB2377" s="71"/>
      <c r="BC2377" s="71"/>
      <c r="BD2377" s="71"/>
      <c r="BE2377" s="71"/>
      <c r="BF2377" s="71"/>
      <c r="BG2377" s="71"/>
      <c r="BH2377" s="71"/>
      <c r="BI2377" s="71"/>
      <c r="BJ2377" s="71"/>
      <c r="BK2377" s="71"/>
      <c r="BL2377" s="71"/>
      <c r="BM2377" s="71"/>
      <c r="BN2377" s="71"/>
      <c r="BO2377" s="71"/>
      <c r="BP2377" s="71"/>
      <c r="BQ2377" s="71"/>
      <c r="BR2377" s="71"/>
      <c r="BS2377" s="71"/>
      <c r="BT2377" s="71"/>
      <c r="BU2377" s="71"/>
      <c r="BV2377" s="71"/>
      <c r="BW2377" s="71"/>
      <c r="BX2377" s="71"/>
      <c r="BY2377" s="71"/>
      <c r="BZ2377" s="71"/>
      <c r="CA2377" s="71"/>
      <c r="CB2377" s="71"/>
      <c r="CC2377" s="71"/>
      <c r="CD2377" s="71"/>
      <c r="CE2377" s="71"/>
      <c r="CF2377" s="71"/>
      <c r="CG2377" s="71"/>
      <c r="CH2377" s="71"/>
      <c r="CI2377" s="71"/>
      <c r="CJ2377" s="71"/>
      <c r="CK2377" s="71"/>
      <c r="CL2377" s="71"/>
      <c r="CM2377" s="71"/>
      <c r="CN2377" s="71"/>
      <c r="CO2377" s="71"/>
      <c r="CP2377" s="71"/>
      <c r="CQ2377" s="71"/>
      <c r="CR2377" s="71"/>
      <c r="CS2377" s="71"/>
      <c r="CT2377" s="71"/>
      <c r="CU2377" s="71"/>
      <c r="CV2377" s="71"/>
      <c r="CW2377" s="71"/>
      <c r="CX2377" s="71"/>
      <c r="CY2377" s="71"/>
      <c r="CZ2377" s="71"/>
      <c r="DA2377" s="71"/>
      <c r="DB2377" s="71"/>
      <c r="DC2377" s="71"/>
      <c r="DD2377" s="71"/>
      <c r="DE2377" s="71"/>
      <c r="DF2377" s="71"/>
      <c r="DG2377" s="71"/>
      <c r="DH2377" s="71"/>
      <c r="DI2377" s="71"/>
      <c r="DJ2377" s="71"/>
      <c r="DK2377" s="71"/>
      <c r="DL2377" s="71"/>
      <c r="DM2377" s="71"/>
      <c r="DN2377" s="71"/>
      <c r="DO2377" s="71"/>
      <c r="DP2377" s="71"/>
      <c r="DQ2377" s="71"/>
      <c r="DR2377" s="71"/>
      <c r="DS2377" s="71"/>
      <c r="DT2377" s="71"/>
      <c r="DU2377" s="71"/>
      <c r="DV2377" s="71"/>
      <c r="DW2377" s="71"/>
      <c r="DX2377" s="71"/>
      <c r="DY2377" s="71"/>
      <c r="DZ2377" s="71"/>
      <c r="EA2377" s="71"/>
      <c r="EB2377" s="71"/>
      <c r="EC2377" s="71"/>
      <c r="ED2377" s="71"/>
      <c r="EE2377" s="71"/>
      <c r="EF2377" s="71"/>
      <c r="EG2377" s="71"/>
      <c r="EH2377" s="71"/>
      <c r="EI2377" s="71"/>
      <c r="EJ2377" s="71"/>
      <c r="EK2377" s="71"/>
      <c r="EL2377" s="71"/>
      <c r="EM2377" s="71"/>
      <c r="EN2377" s="71"/>
    </row>
    <row r="2378" spans="1:144" x14ac:dyDescent="0.25">
      <c r="A2378" s="347"/>
      <c r="B2378" s="347"/>
      <c r="C2378" s="349"/>
      <c r="D2378" s="329"/>
      <c r="E2378" s="329"/>
      <c r="F2378" s="331"/>
      <c r="G2378" s="310"/>
      <c r="H2378" s="87" t="s">
        <v>69</v>
      </c>
      <c r="I2378" s="226">
        <f>I2377*0.0214</f>
        <v>15286.3</v>
      </c>
      <c r="J2378" s="223">
        <f>I2378/D2376</f>
        <v>33.229999999999997</v>
      </c>
      <c r="K2378" s="223">
        <v>62</v>
      </c>
      <c r="L2378" s="71"/>
      <c r="M2378" s="71"/>
      <c r="N2378" s="71"/>
      <c r="O2378" s="71"/>
      <c r="P2378" s="71"/>
      <c r="Q2378" s="71"/>
      <c r="R2378" s="71"/>
      <c r="S2378" s="71"/>
      <c r="T2378" s="71"/>
      <c r="U2378" s="71"/>
      <c r="V2378" s="71"/>
      <c r="W2378" s="71"/>
      <c r="X2378" s="71"/>
      <c r="Y2378" s="71"/>
      <c r="Z2378" s="71"/>
      <c r="AA2378" s="71"/>
      <c r="AB2378" s="71"/>
      <c r="AC2378" s="71"/>
      <c r="AD2378" s="71"/>
      <c r="AE2378" s="71"/>
      <c r="AF2378" s="71"/>
      <c r="AG2378" s="71"/>
      <c r="AH2378" s="71"/>
      <c r="AI2378" s="71"/>
      <c r="AJ2378" s="71"/>
      <c r="AK2378" s="71"/>
      <c r="AL2378" s="71"/>
      <c r="AM2378" s="71"/>
      <c r="AN2378" s="71"/>
      <c r="AO2378" s="71"/>
      <c r="AP2378" s="71"/>
      <c r="AQ2378" s="71"/>
      <c r="AR2378" s="71"/>
      <c r="AS2378" s="71"/>
      <c r="AT2378" s="71"/>
      <c r="AU2378" s="71"/>
      <c r="AV2378" s="71"/>
      <c r="AW2378" s="71"/>
      <c r="AX2378" s="71"/>
      <c r="AY2378" s="71"/>
      <c r="AZ2378" s="71"/>
      <c r="BA2378" s="71"/>
      <c r="BB2378" s="71"/>
      <c r="BC2378" s="71"/>
      <c r="BD2378" s="71"/>
      <c r="BE2378" s="71"/>
      <c r="BF2378" s="71"/>
      <c r="BG2378" s="71"/>
      <c r="BH2378" s="71"/>
      <c r="BI2378" s="71"/>
      <c r="BJ2378" s="71"/>
      <c r="BK2378" s="71"/>
      <c r="BL2378" s="71"/>
      <c r="BM2378" s="71"/>
      <c r="BN2378" s="71"/>
      <c r="BO2378" s="71"/>
      <c r="BP2378" s="71"/>
      <c r="BQ2378" s="71"/>
      <c r="BR2378" s="71"/>
      <c r="BS2378" s="71"/>
      <c r="BT2378" s="71"/>
      <c r="BU2378" s="71"/>
      <c r="BV2378" s="71"/>
      <c r="BW2378" s="71"/>
      <c r="BX2378" s="71"/>
      <c r="BY2378" s="71"/>
      <c r="BZ2378" s="71"/>
      <c r="CA2378" s="71"/>
      <c r="CB2378" s="71"/>
      <c r="CC2378" s="71"/>
      <c r="CD2378" s="71"/>
      <c r="CE2378" s="71"/>
      <c r="CF2378" s="71"/>
      <c r="CG2378" s="71"/>
      <c r="CH2378" s="71"/>
      <c r="CI2378" s="71"/>
      <c r="CJ2378" s="71"/>
      <c r="CK2378" s="71"/>
      <c r="CL2378" s="71"/>
      <c r="CM2378" s="71"/>
      <c r="CN2378" s="71"/>
      <c r="CO2378" s="71"/>
      <c r="CP2378" s="71"/>
      <c r="CQ2378" s="71"/>
      <c r="CR2378" s="71"/>
      <c r="CS2378" s="71"/>
      <c r="CT2378" s="71"/>
      <c r="CU2378" s="71"/>
      <c r="CV2378" s="71"/>
      <c r="CW2378" s="71"/>
      <c r="CX2378" s="71"/>
      <c r="CY2378" s="71"/>
      <c r="CZ2378" s="71"/>
      <c r="DA2378" s="71"/>
      <c r="DB2378" s="71"/>
      <c r="DC2378" s="71"/>
      <c r="DD2378" s="71"/>
      <c r="DE2378" s="71"/>
      <c r="DF2378" s="71"/>
      <c r="DG2378" s="71"/>
      <c r="DH2378" s="71"/>
      <c r="DI2378" s="71"/>
      <c r="DJ2378" s="71"/>
      <c r="DK2378" s="71"/>
      <c r="DL2378" s="71"/>
      <c r="DM2378" s="71"/>
      <c r="DN2378" s="71"/>
      <c r="DO2378" s="71"/>
      <c r="DP2378" s="71"/>
      <c r="DQ2378" s="71"/>
      <c r="DR2378" s="71"/>
      <c r="DS2378" s="71"/>
      <c r="DT2378" s="71"/>
      <c r="DU2378" s="71"/>
      <c r="DV2378" s="71"/>
      <c r="DW2378" s="71"/>
      <c r="DX2378" s="71"/>
      <c r="DY2378" s="71"/>
      <c r="DZ2378" s="71"/>
      <c r="EA2378" s="71"/>
      <c r="EB2378" s="71"/>
      <c r="EC2378" s="71"/>
      <c r="ED2378" s="71"/>
      <c r="EE2378" s="71"/>
      <c r="EF2378" s="71"/>
      <c r="EG2378" s="71"/>
      <c r="EH2378" s="71"/>
      <c r="EI2378" s="71"/>
      <c r="EJ2378" s="71"/>
      <c r="EK2378" s="71"/>
      <c r="EL2378" s="71"/>
      <c r="EM2378" s="71"/>
      <c r="EN2378" s="71"/>
    </row>
    <row r="2379" spans="1:144" x14ac:dyDescent="0.25">
      <c r="A2379" s="347"/>
      <c r="B2379" s="347"/>
      <c r="C2379" s="349"/>
      <c r="D2379" s="329"/>
      <c r="E2379" s="329"/>
      <c r="F2379" s="331"/>
      <c r="G2379" s="310" t="s">
        <v>71</v>
      </c>
      <c r="H2379" s="87" t="s">
        <v>67</v>
      </c>
      <c r="I2379" s="226">
        <v>66373</v>
      </c>
      <c r="J2379" s="223">
        <f>I2379/D2376</f>
        <v>144.29</v>
      </c>
      <c r="K2379" s="223">
        <v>513</v>
      </c>
      <c r="L2379" s="71"/>
      <c r="M2379" s="71"/>
      <c r="N2379" s="71"/>
      <c r="O2379" s="71"/>
      <c r="P2379" s="71"/>
      <c r="Q2379" s="71"/>
      <c r="R2379" s="71"/>
      <c r="S2379" s="71"/>
      <c r="T2379" s="71"/>
      <c r="U2379" s="71"/>
      <c r="V2379" s="71"/>
      <c r="W2379" s="71"/>
      <c r="X2379" s="71"/>
      <c r="Y2379" s="71"/>
      <c r="Z2379" s="71"/>
      <c r="AA2379" s="71"/>
      <c r="AB2379" s="71"/>
      <c r="AC2379" s="71"/>
      <c r="AD2379" s="71"/>
      <c r="AE2379" s="71"/>
      <c r="AF2379" s="71"/>
      <c r="AG2379" s="71"/>
      <c r="AH2379" s="71"/>
      <c r="AI2379" s="71"/>
      <c r="AJ2379" s="71"/>
      <c r="AK2379" s="71"/>
      <c r="AL2379" s="71"/>
      <c r="AM2379" s="71"/>
      <c r="AN2379" s="71"/>
      <c r="AO2379" s="71"/>
      <c r="AP2379" s="71"/>
      <c r="AQ2379" s="71"/>
      <c r="AR2379" s="71"/>
      <c r="AS2379" s="71"/>
      <c r="AT2379" s="71"/>
      <c r="AU2379" s="71"/>
      <c r="AV2379" s="71"/>
      <c r="AW2379" s="71"/>
      <c r="AX2379" s="71"/>
      <c r="AY2379" s="71"/>
      <c r="AZ2379" s="71"/>
      <c r="BA2379" s="71"/>
      <c r="BB2379" s="71"/>
      <c r="BC2379" s="71"/>
      <c r="BD2379" s="71"/>
      <c r="BE2379" s="71"/>
      <c r="BF2379" s="71"/>
      <c r="BG2379" s="71"/>
      <c r="BH2379" s="71"/>
      <c r="BI2379" s="71"/>
      <c r="BJ2379" s="71"/>
      <c r="BK2379" s="71"/>
      <c r="BL2379" s="71"/>
      <c r="BM2379" s="71"/>
      <c r="BN2379" s="71"/>
      <c r="BO2379" s="71"/>
      <c r="BP2379" s="71"/>
      <c r="BQ2379" s="71"/>
      <c r="BR2379" s="71"/>
      <c r="BS2379" s="71"/>
      <c r="BT2379" s="71"/>
      <c r="BU2379" s="71"/>
      <c r="BV2379" s="71"/>
      <c r="BW2379" s="71"/>
      <c r="BX2379" s="71"/>
      <c r="BY2379" s="71"/>
      <c r="BZ2379" s="71"/>
      <c r="CA2379" s="71"/>
      <c r="CB2379" s="71"/>
      <c r="CC2379" s="71"/>
      <c r="CD2379" s="71"/>
      <c r="CE2379" s="71"/>
      <c r="CF2379" s="71"/>
      <c r="CG2379" s="71"/>
      <c r="CH2379" s="71"/>
      <c r="CI2379" s="71"/>
      <c r="CJ2379" s="71"/>
      <c r="CK2379" s="71"/>
      <c r="CL2379" s="71"/>
      <c r="CM2379" s="71"/>
      <c r="CN2379" s="71"/>
      <c r="CO2379" s="71"/>
      <c r="CP2379" s="71"/>
      <c r="CQ2379" s="71"/>
      <c r="CR2379" s="71"/>
      <c r="CS2379" s="71"/>
      <c r="CT2379" s="71"/>
      <c r="CU2379" s="71"/>
      <c r="CV2379" s="71"/>
      <c r="CW2379" s="71"/>
      <c r="CX2379" s="71"/>
      <c r="CY2379" s="71"/>
      <c r="CZ2379" s="71"/>
      <c r="DA2379" s="71"/>
      <c r="DB2379" s="71"/>
      <c r="DC2379" s="71"/>
      <c r="DD2379" s="71"/>
      <c r="DE2379" s="71"/>
      <c r="DF2379" s="71"/>
      <c r="DG2379" s="71"/>
      <c r="DH2379" s="71"/>
      <c r="DI2379" s="71"/>
      <c r="DJ2379" s="71"/>
      <c r="DK2379" s="71"/>
      <c r="DL2379" s="71"/>
      <c r="DM2379" s="71"/>
      <c r="DN2379" s="71"/>
      <c r="DO2379" s="71"/>
      <c r="DP2379" s="71"/>
      <c r="DQ2379" s="71"/>
      <c r="DR2379" s="71"/>
      <c r="DS2379" s="71"/>
      <c r="DT2379" s="71"/>
      <c r="DU2379" s="71"/>
      <c r="DV2379" s="71"/>
      <c r="DW2379" s="71"/>
      <c r="DX2379" s="71"/>
      <c r="DY2379" s="71"/>
      <c r="DZ2379" s="71"/>
      <c r="EA2379" s="71"/>
      <c r="EB2379" s="71"/>
      <c r="EC2379" s="71"/>
      <c r="ED2379" s="71"/>
      <c r="EE2379" s="71"/>
      <c r="EF2379" s="71"/>
      <c r="EG2379" s="71"/>
      <c r="EH2379" s="71"/>
      <c r="EI2379" s="71"/>
      <c r="EJ2379" s="71"/>
      <c r="EK2379" s="71"/>
      <c r="EL2379" s="71"/>
      <c r="EM2379" s="71"/>
      <c r="EN2379" s="71"/>
    </row>
    <row r="2380" spans="1:144" x14ac:dyDescent="0.25">
      <c r="A2380" s="347"/>
      <c r="B2380" s="347"/>
      <c r="C2380" s="349"/>
      <c r="D2380" s="329"/>
      <c r="E2380" s="329"/>
      <c r="F2380" s="331"/>
      <c r="G2380" s="310"/>
      <c r="H2380" s="87" t="s">
        <v>69</v>
      </c>
      <c r="I2380" s="226">
        <f>I2379*0.0214</f>
        <v>1420.38</v>
      </c>
      <c r="J2380" s="223">
        <f>I2380/D2376</f>
        <v>3.09</v>
      </c>
      <c r="K2380" s="223">
        <v>11</v>
      </c>
      <c r="L2380" s="71"/>
      <c r="M2380" s="71"/>
      <c r="N2380" s="71"/>
      <c r="O2380" s="71"/>
      <c r="P2380" s="71"/>
      <c r="Q2380" s="71"/>
      <c r="R2380" s="71"/>
      <c r="S2380" s="71"/>
      <c r="T2380" s="71"/>
      <c r="U2380" s="71"/>
      <c r="V2380" s="71"/>
      <c r="W2380" s="71"/>
      <c r="X2380" s="71"/>
      <c r="Y2380" s="71"/>
      <c r="Z2380" s="71"/>
      <c r="AA2380" s="71"/>
      <c r="AB2380" s="71"/>
      <c r="AC2380" s="71"/>
      <c r="AD2380" s="71"/>
      <c r="AE2380" s="71"/>
      <c r="AF2380" s="71"/>
      <c r="AG2380" s="71"/>
      <c r="AH2380" s="71"/>
      <c r="AI2380" s="71"/>
      <c r="AJ2380" s="71"/>
      <c r="AK2380" s="71"/>
      <c r="AL2380" s="71"/>
      <c r="AM2380" s="71"/>
      <c r="AN2380" s="71"/>
      <c r="AO2380" s="71"/>
      <c r="AP2380" s="71"/>
      <c r="AQ2380" s="71"/>
      <c r="AR2380" s="71"/>
      <c r="AS2380" s="71"/>
      <c r="AT2380" s="71"/>
      <c r="AU2380" s="71"/>
      <c r="AV2380" s="71"/>
      <c r="AW2380" s="71"/>
      <c r="AX2380" s="71"/>
      <c r="AY2380" s="71"/>
      <c r="AZ2380" s="71"/>
      <c r="BA2380" s="71"/>
      <c r="BB2380" s="71"/>
      <c r="BC2380" s="71"/>
      <c r="BD2380" s="71"/>
      <c r="BE2380" s="71"/>
      <c r="BF2380" s="71"/>
      <c r="BG2380" s="71"/>
      <c r="BH2380" s="71"/>
      <c r="BI2380" s="71"/>
      <c r="BJ2380" s="71"/>
      <c r="BK2380" s="71"/>
      <c r="BL2380" s="71"/>
      <c r="BM2380" s="71"/>
      <c r="BN2380" s="71"/>
      <c r="BO2380" s="71"/>
      <c r="BP2380" s="71"/>
      <c r="BQ2380" s="71"/>
      <c r="BR2380" s="71"/>
      <c r="BS2380" s="71"/>
      <c r="BT2380" s="71"/>
      <c r="BU2380" s="71"/>
      <c r="BV2380" s="71"/>
      <c r="BW2380" s="71"/>
      <c r="BX2380" s="71"/>
      <c r="BY2380" s="71"/>
      <c r="BZ2380" s="71"/>
      <c r="CA2380" s="71"/>
      <c r="CB2380" s="71"/>
      <c r="CC2380" s="71"/>
      <c r="CD2380" s="71"/>
      <c r="CE2380" s="71"/>
      <c r="CF2380" s="71"/>
      <c r="CG2380" s="71"/>
      <c r="CH2380" s="71"/>
      <c r="CI2380" s="71"/>
      <c r="CJ2380" s="71"/>
      <c r="CK2380" s="71"/>
      <c r="CL2380" s="71"/>
      <c r="CM2380" s="71"/>
      <c r="CN2380" s="71"/>
      <c r="CO2380" s="71"/>
      <c r="CP2380" s="71"/>
      <c r="CQ2380" s="71"/>
      <c r="CR2380" s="71"/>
      <c r="CS2380" s="71"/>
      <c r="CT2380" s="71"/>
      <c r="CU2380" s="71"/>
      <c r="CV2380" s="71"/>
      <c r="CW2380" s="71"/>
      <c r="CX2380" s="71"/>
      <c r="CY2380" s="71"/>
      <c r="CZ2380" s="71"/>
      <c r="DA2380" s="71"/>
      <c r="DB2380" s="71"/>
      <c r="DC2380" s="71"/>
      <c r="DD2380" s="71"/>
      <c r="DE2380" s="71"/>
      <c r="DF2380" s="71"/>
      <c r="DG2380" s="71"/>
      <c r="DH2380" s="71"/>
      <c r="DI2380" s="71"/>
      <c r="DJ2380" s="71"/>
      <c r="DK2380" s="71"/>
      <c r="DL2380" s="71"/>
      <c r="DM2380" s="71"/>
      <c r="DN2380" s="71"/>
      <c r="DO2380" s="71"/>
      <c r="DP2380" s="71"/>
      <c r="DQ2380" s="71"/>
      <c r="DR2380" s="71"/>
      <c r="DS2380" s="71"/>
      <c r="DT2380" s="71"/>
      <c r="DU2380" s="71"/>
      <c r="DV2380" s="71"/>
      <c r="DW2380" s="71"/>
      <c r="DX2380" s="71"/>
      <c r="DY2380" s="71"/>
      <c r="DZ2380" s="71"/>
      <c r="EA2380" s="71"/>
      <c r="EB2380" s="71"/>
      <c r="EC2380" s="71"/>
      <c r="ED2380" s="71"/>
      <c r="EE2380" s="71"/>
      <c r="EF2380" s="71"/>
      <c r="EG2380" s="71"/>
      <c r="EH2380" s="71"/>
      <c r="EI2380" s="71"/>
      <c r="EJ2380" s="71"/>
      <c r="EK2380" s="71"/>
      <c r="EL2380" s="71"/>
      <c r="EM2380" s="71"/>
      <c r="EN2380" s="71"/>
    </row>
    <row r="2381" spans="1:144" x14ac:dyDescent="0.25">
      <c r="A2381" s="346">
        <f>A2376+1</f>
        <v>24</v>
      </c>
      <c r="B2381" s="346">
        <v>6926</v>
      </c>
      <c r="C2381" s="435" t="s">
        <v>327</v>
      </c>
      <c r="D2381" s="312">
        <v>2499.1999999999998</v>
      </c>
      <c r="E2381" s="312" t="s">
        <v>68</v>
      </c>
      <c r="F2381" s="313">
        <v>4</v>
      </c>
      <c r="G2381" s="121"/>
      <c r="H2381" s="87" t="s">
        <v>66</v>
      </c>
      <c r="I2381" s="223">
        <f>SUM(I2382:I2387)</f>
        <v>5300305.5999999996</v>
      </c>
      <c r="J2381" s="223">
        <f>SUM(J2382:J2387)</f>
        <v>2120.8000000000002</v>
      </c>
      <c r="K2381" s="223">
        <f>SUM(K2382:K2387)</f>
        <v>4051</v>
      </c>
    </row>
    <row r="2382" spans="1:144" x14ac:dyDescent="0.25">
      <c r="A2382" s="346"/>
      <c r="B2382" s="346"/>
      <c r="C2382" s="435"/>
      <c r="D2382" s="312"/>
      <c r="E2382" s="312"/>
      <c r="F2382" s="313"/>
      <c r="G2382" s="307" t="s">
        <v>70</v>
      </c>
      <c r="H2382" s="87" t="s">
        <v>67</v>
      </c>
      <c r="I2382" s="226">
        <v>3832476</v>
      </c>
      <c r="J2382" s="223">
        <f>I2382/D2381+0.01</f>
        <v>1533.49</v>
      </c>
      <c r="K2382" s="223">
        <v>2911</v>
      </c>
    </row>
    <row r="2383" spans="1:144" x14ac:dyDescent="0.25">
      <c r="A2383" s="346"/>
      <c r="B2383" s="346"/>
      <c r="C2383" s="435"/>
      <c r="D2383" s="312"/>
      <c r="E2383" s="312"/>
      <c r="F2383" s="313"/>
      <c r="G2383" s="309"/>
      <c r="H2383" s="87" t="s">
        <v>69</v>
      </c>
      <c r="I2383" s="226">
        <f>I2382*0.0214</f>
        <v>82014.990000000005</v>
      </c>
      <c r="J2383" s="223">
        <f>I2383/D2381</f>
        <v>32.82</v>
      </c>
      <c r="K2383" s="223">
        <v>62</v>
      </c>
    </row>
    <row r="2384" spans="1:144" x14ac:dyDescent="0.25">
      <c r="A2384" s="346"/>
      <c r="B2384" s="346"/>
      <c r="C2384" s="435"/>
      <c r="D2384" s="312"/>
      <c r="E2384" s="312"/>
      <c r="F2384" s="313"/>
      <c r="G2384" s="307" t="s">
        <v>71</v>
      </c>
      <c r="H2384" s="87" t="s">
        <v>67</v>
      </c>
      <c r="I2384" s="226">
        <v>397560.1</v>
      </c>
      <c r="J2384" s="223">
        <f>I2384/D2381</f>
        <v>159.07</v>
      </c>
      <c r="K2384" s="223">
        <v>513</v>
      </c>
    </row>
    <row r="2385" spans="1:11" x14ac:dyDescent="0.25">
      <c r="A2385" s="346"/>
      <c r="B2385" s="346"/>
      <c r="C2385" s="435"/>
      <c r="D2385" s="312"/>
      <c r="E2385" s="312"/>
      <c r="F2385" s="313"/>
      <c r="G2385" s="309"/>
      <c r="H2385" s="87" t="s">
        <v>69</v>
      </c>
      <c r="I2385" s="226">
        <f>I2384*0.0214</f>
        <v>8507.7900000000009</v>
      </c>
      <c r="J2385" s="223">
        <f>I2385/D2381</f>
        <v>3.4</v>
      </c>
      <c r="K2385" s="223">
        <v>11</v>
      </c>
    </row>
    <row r="2386" spans="1:11" x14ac:dyDescent="0.25">
      <c r="A2386" s="346"/>
      <c r="B2386" s="346"/>
      <c r="C2386" s="435"/>
      <c r="D2386" s="312"/>
      <c r="E2386" s="312"/>
      <c r="F2386" s="313"/>
      <c r="G2386" s="307" t="s">
        <v>72</v>
      </c>
      <c r="H2386" s="87" t="s">
        <v>67</v>
      </c>
      <c r="I2386" s="226">
        <v>959219.42</v>
      </c>
      <c r="J2386" s="223">
        <f>I2386/D2381</f>
        <v>383.81</v>
      </c>
      <c r="K2386" s="223">
        <v>542</v>
      </c>
    </row>
    <row r="2387" spans="1:11" x14ac:dyDescent="0.25">
      <c r="A2387" s="346"/>
      <c r="B2387" s="346"/>
      <c r="C2387" s="435"/>
      <c r="D2387" s="312"/>
      <c r="E2387" s="312"/>
      <c r="F2387" s="313"/>
      <c r="G2387" s="309"/>
      <c r="H2387" s="87" t="s">
        <v>69</v>
      </c>
      <c r="I2387" s="226">
        <f>I2386*0.0214</f>
        <v>20527.3</v>
      </c>
      <c r="J2387" s="223">
        <f>I2387/D2381</f>
        <v>8.2100000000000009</v>
      </c>
      <c r="K2387" s="223">
        <v>12</v>
      </c>
    </row>
    <row r="2388" spans="1:11" x14ac:dyDescent="0.25">
      <c r="A2388" s="346">
        <f>A2381+1</f>
        <v>25</v>
      </c>
      <c r="B2388" s="346">
        <v>6927</v>
      </c>
      <c r="C2388" s="435" t="s">
        <v>328</v>
      </c>
      <c r="D2388" s="312">
        <v>2655.8</v>
      </c>
      <c r="E2388" s="312" t="s">
        <v>68</v>
      </c>
      <c r="F2388" s="313">
        <v>4</v>
      </c>
      <c r="G2388" s="121"/>
      <c r="H2388" s="87" t="s">
        <v>66</v>
      </c>
      <c r="I2388" s="223">
        <f>SUM(I2389:I2394)</f>
        <v>6078917.75</v>
      </c>
      <c r="J2388" s="223">
        <f>SUM(J2389:J2394)</f>
        <v>2288.92</v>
      </c>
      <c r="K2388" s="223">
        <f>SUM(K2389:K2394)</f>
        <v>4051</v>
      </c>
    </row>
    <row r="2389" spans="1:11" x14ac:dyDescent="0.25">
      <c r="A2389" s="346"/>
      <c r="B2389" s="346"/>
      <c r="C2389" s="435"/>
      <c r="D2389" s="312"/>
      <c r="E2389" s="312"/>
      <c r="F2389" s="313"/>
      <c r="G2389" s="307" t="s">
        <v>70</v>
      </c>
      <c r="H2389" s="87" t="s">
        <v>67</v>
      </c>
      <c r="I2389" s="226">
        <v>4723766.2</v>
      </c>
      <c r="J2389" s="223">
        <f>I2389/D2388+0.01</f>
        <v>1778.67</v>
      </c>
      <c r="K2389" s="223">
        <v>2911</v>
      </c>
    </row>
    <row r="2390" spans="1:11" x14ac:dyDescent="0.25">
      <c r="A2390" s="346"/>
      <c r="B2390" s="346"/>
      <c r="C2390" s="435"/>
      <c r="D2390" s="312"/>
      <c r="E2390" s="312"/>
      <c r="F2390" s="313"/>
      <c r="G2390" s="309"/>
      <c r="H2390" s="87" t="s">
        <v>69</v>
      </c>
      <c r="I2390" s="226">
        <f>I2389*0.0214</f>
        <v>101088.6</v>
      </c>
      <c r="J2390" s="223">
        <f>I2390/D2388</f>
        <v>38.06</v>
      </c>
      <c r="K2390" s="223">
        <v>62</v>
      </c>
    </row>
    <row r="2391" spans="1:11" x14ac:dyDescent="0.25">
      <c r="A2391" s="346"/>
      <c r="B2391" s="346"/>
      <c r="C2391" s="435"/>
      <c r="D2391" s="312"/>
      <c r="E2391" s="312"/>
      <c r="F2391" s="313"/>
      <c r="G2391" s="307" t="s">
        <v>71</v>
      </c>
      <c r="H2391" s="87" t="s">
        <v>67</v>
      </c>
      <c r="I2391" s="226">
        <v>399918.74</v>
      </c>
      <c r="J2391" s="223">
        <f>I2391/D2388</f>
        <v>150.58000000000001</v>
      </c>
      <c r="K2391" s="223">
        <v>513</v>
      </c>
    </row>
    <row r="2392" spans="1:11" x14ac:dyDescent="0.25">
      <c r="A2392" s="346"/>
      <c r="B2392" s="346"/>
      <c r="C2392" s="435"/>
      <c r="D2392" s="312"/>
      <c r="E2392" s="312"/>
      <c r="F2392" s="313"/>
      <c r="G2392" s="309"/>
      <c r="H2392" s="87" t="s">
        <v>69</v>
      </c>
      <c r="I2392" s="226">
        <f>I2391*0.0214</f>
        <v>8558.26</v>
      </c>
      <c r="J2392" s="223">
        <f>I2392/D2388</f>
        <v>3.22</v>
      </c>
      <c r="K2392" s="223">
        <v>11</v>
      </c>
    </row>
    <row r="2393" spans="1:11" x14ac:dyDescent="0.25">
      <c r="A2393" s="346"/>
      <c r="B2393" s="346"/>
      <c r="C2393" s="435"/>
      <c r="D2393" s="312"/>
      <c r="E2393" s="312"/>
      <c r="F2393" s="313"/>
      <c r="G2393" s="307" t="s">
        <v>72</v>
      </c>
      <c r="H2393" s="87" t="s">
        <v>67</v>
      </c>
      <c r="I2393" s="226">
        <v>827869.54</v>
      </c>
      <c r="J2393" s="223">
        <f>I2393/D2388</f>
        <v>311.72000000000003</v>
      </c>
      <c r="K2393" s="223">
        <v>542</v>
      </c>
    </row>
    <row r="2394" spans="1:11" x14ac:dyDescent="0.25">
      <c r="A2394" s="346"/>
      <c r="B2394" s="346"/>
      <c r="C2394" s="435"/>
      <c r="D2394" s="312"/>
      <c r="E2394" s="312"/>
      <c r="F2394" s="313"/>
      <c r="G2394" s="309"/>
      <c r="H2394" s="87" t="s">
        <v>69</v>
      </c>
      <c r="I2394" s="226">
        <f>I2393*0.0214</f>
        <v>17716.41</v>
      </c>
      <c r="J2394" s="223">
        <f>I2394/D2388</f>
        <v>6.67</v>
      </c>
      <c r="K2394" s="223">
        <v>12</v>
      </c>
    </row>
    <row r="2395" spans="1:11" ht="15.75" customHeight="1" x14ac:dyDescent="0.25">
      <c r="A2395" s="361">
        <f>A2388+1</f>
        <v>26</v>
      </c>
      <c r="B2395" s="361">
        <v>8227</v>
      </c>
      <c r="C2395" s="348" t="s">
        <v>329</v>
      </c>
      <c r="D2395" s="318">
        <v>277.89999999999998</v>
      </c>
      <c r="E2395" s="318" t="s">
        <v>68</v>
      </c>
      <c r="F2395" s="330">
        <v>2</v>
      </c>
      <c r="G2395" s="307" t="s">
        <v>71</v>
      </c>
      <c r="H2395" s="87" t="s">
        <v>66</v>
      </c>
      <c r="I2395" s="223">
        <f>SUM(I2396:I2398)</f>
        <v>178674.42</v>
      </c>
      <c r="J2395" s="223">
        <f t="shared" ref="J2395:K2395" si="79">SUM(J2396:J2398)</f>
        <v>642.95000000000005</v>
      </c>
      <c r="K2395" s="223">
        <f t="shared" si="79"/>
        <v>643</v>
      </c>
    </row>
    <row r="2396" spans="1:11" ht="63" x14ac:dyDescent="0.25">
      <c r="A2396" s="362"/>
      <c r="B2396" s="362"/>
      <c r="C2396" s="349"/>
      <c r="D2396" s="319"/>
      <c r="E2396" s="319"/>
      <c r="F2396" s="331"/>
      <c r="G2396" s="308"/>
      <c r="H2396" s="87" t="s">
        <v>168</v>
      </c>
      <c r="I2396" s="223">
        <f>D2395*K2396</f>
        <v>33070.1</v>
      </c>
      <c r="J2396" s="223">
        <f>I2396/D2395</f>
        <v>119</v>
      </c>
      <c r="K2396" s="223">
        <f>21+98</f>
        <v>119</v>
      </c>
    </row>
    <row r="2397" spans="1:11" x14ac:dyDescent="0.25">
      <c r="A2397" s="362"/>
      <c r="B2397" s="362"/>
      <c r="C2397" s="349"/>
      <c r="D2397" s="319"/>
      <c r="E2397" s="319"/>
      <c r="F2397" s="331"/>
      <c r="G2397" s="308"/>
      <c r="H2397" s="87" t="s">
        <v>67</v>
      </c>
      <c r="I2397" s="223">
        <f>D2395*K2397</f>
        <v>142562.70000000001</v>
      </c>
      <c r="J2397" s="223">
        <f>I2397/D2395</f>
        <v>513</v>
      </c>
      <c r="K2397" s="223">
        <v>513</v>
      </c>
    </row>
    <row r="2398" spans="1:11" x14ac:dyDescent="0.25">
      <c r="A2398" s="347"/>
      <c r="B2398" s="347"/>
      <c r="C2398" s="350"/>
      <c r="D2398" s="329"/>
      <c r="E2398" s="329"/>
      <c r="F2398" s="332"/>
      <c r="G2398" s="309"/>
      <c r="H2398" s="87" t="s">
        <v>69</v>
      </c>
      <c r="I2398" s="226">
        <v>3041.62</v>
      </c>
      <c r="J2398" s="223">
        <f>I2398/D2395</f>
        <v>10.95</v>
      </c>
      <c r="K2398" s="223">
        <v>11</v>
      </c>
    </row>
    <row r="2399" spans="1:11" ht="15.75" customHeight="1" x14ac:dyDescent="0.25">
      <c r="A2399" s="361">
        <f>A2395+1</f>
        <v>27</v>
      </c>
      <c r="B2399" s="361">
        <v>8228</v>
      </c>
      <c r="C2399" s="348" t="s">
        <v>330</v>
      </c>
      <c r="D2399" s="318">
        <v>481.76</v>
      </c>
      <c r="E2399" s="318" t="s">
        <v>167</v>
      </c>
      <c r="F2399" s="330">
        <v>2</v>
      </c>
      <c r="G2399" s="307" t="s">
        <v>71</v>
      </c>
      <c r="H2399" s="87" t="s">
        <v>66</v>
      </c>
      <c r="I2399" s="223">
        <f>SUM(I2400:I2402)</f>
        <v>272649.65999999997</v>
      </c>
      <c r="J2399" s="223">
        <f t="shared" ref="J2399" si="80">SUM(J2400:J2402)</f>
        <v>565.94000000000005</v>
      </c>
      <c r="K2399" s="223">
        <f t="shared" ref="K2399" si="81">SUM(K2400:K2402)</f>
        <v>566</v>
      </c>
    </row>
    <row r="2400" spans="1:11" ht="63" x14ac:dyDescent="0.25">
      <c r="A2400" s="362"/>
      <c r="B2400" s="362"/>
      <c r="C2400" s="349"/>
      <c r="D2400" s="319"/>
      <c r="E2400" s="319"/>
      <c r="F2400" s="331"/>
      <c r="G2400" s="308"/>
      <c r="H2400" s="87" t="s">
        <v>168</v>
      </c>
      <c r="I2400" s="223">
        <f>D2399*K2400</f>
        <v>20233.919999999998</v>
      </c>
      <c r="J2400" s="223">
        <f>I2400/D2399</f>
        <v>42</v>
      </c>
      <c r="K2400" s="223">
        <v>42</v>
      </c>
    </row>
    <row r="2401" spans="1:144" x14ac:dyDescent="0.25">
      <c r="A2401" s="362"/>
      <c r="B2401" s="362"/>
      <c r="C2401" s="349"/>
      <c r="D2401" s="319"/>
      <c r="E2401" s="319"/>
      <c r="F2401" s="331"/>
      <c r="G2401" s="308"/>
      <c r="H2401" s="87" t="s">
        <v>67</v>
      </c>
      <c r="I2401" s="223">
        <f>D2399*K2401</f>
        <v>247142.88</v>
      </c>
      <c r="J2401" s="223">
        <f>I2401/D2399</f>
        <v>513</v>
      </c>
      <c r="K2401" s="223">
        <v>513</v>
      </c>
    </row>
    <row r="2402" spans="1:144" x14ac:dyDescent="0.25">
      <c r="A2402" s="347"/>
      <c r="B2402" s="347"/>
      <c r="C2402" s="350"/>
      <c r="D2402" s="329"/>
      <c r="E2402" s="329"/>
      <c r="F2402" s="332"/>
      <c r="G2402" s="309"/>
      <c r="H2402" s="87" t="s">
        <v>69</v>
      </c>
      <c r="I2402" s="226">
        <v>5272.86</v>
      </c>
      <c r="J2402" s="223">
        <f>I2402/D2399</f>
        <v>10.94</v>
      </c>
      <c r="K2402" s="223">
        <v>11</v>
      </c>
    </row>
    <row r="2403" spans="1:144" x14ac:dyDescent="0.25">
      <c r="A2403" s="81" t="s">
        <v>52</v>
      </c>
      <c r="B2403" s="216"/>
      <c r="C2403" s="81"/>
      <c r="D2403" s="80">
        <f>D2404</f>
        <v>907.8</v>
      </c>
      <c r="E2403" s="95"/>
      <c r="F2403" s="95"/>
      <c r="G2403" s="151"/>
      <c r="H2403" s="92"/>
      <c r="I2403" s="223">
        <f>I2404</f>
        <v>6688287.3099999996</v>
      </c>
      <c r="J2403" s="223"/>
      <c r="K2403" s="223"/>
      <c r="L2403" s="71"/>
      <c r="M2403" s="71"/>
      <c r="N2403" s="71"/>
      <c r="O2403" s="71"/>
      <c r="P2403" s="71"/>
      <c r="Q2403" s="71"/>
      <c r="R2403" s="71"/>
      <c r="S2403" s="71"/>
      <c r="T2403" s="71"/>
      <c r="U2403" s="71"/>
      <c r="V2403" s="71"/>
      <c r="W2403" s="71"/>
      <c r="X2403" s="71"/>
      <c r="Y2403" s="71"/>
      <c r="Z2403" s="71"/>
      <c r="AA2403" s="71"/>
      <c r="AB2403" s="71"/>
      <c r="AC2403" s="71"/>
      <c r="AD2403" s="71"/>
      <c r="AE2403" s="71"/>
      <c r="AF2403" s="71"/>
      <c r="AG2403" s="71"/>
      <c r="AH2403" s="71"/>
      <c r="AI2403" s="71"/>
      <c r="AJ2403" s="71"/>
      <c r="AK2403" s="71"/>
      <c r="AL2403" s="71"/>
      <c r="AM2403" s="71"/>
      <c r="AN2403" s="71"/>
      <c r="AO2403" s="71"/>
      <c r="AP2403" s="71"/>
      <c r="AQ2403" s="71"/>
      <c r="AR2403" s="71"/>
      <c r="AS2403" s="71"/>
      <c r="AT2403" s="71"/>
      <c r="AU2403" s="71"/>
      <c r="AV2403" s="71"/>
      <c r="AW2403" s="71"/>
      <c r="AX2403" s="71"/>
      <c r="AY2403" s="71"/>
      <c r="AZ2403" s="71"/>
      <c r="BA2403" s="71"/>
      <c r="BB2403" s="71"/>
      <c r="BC2403" s="71"/>
      <c r="BD2403" s="71"/>
      <c r="BE2403" s="71"/>
      <c r="BF2403" s="71"/>
      <c r="BG2403" s="71"/>
      <c r="BH2403" s="71"/>
      <c r="BI2403" s="71"/>
      <c r="BJ2403" s="71"/>
      <c r="BK2403" s="71"/>
      <c r="BL2403" s="71"/>
      <c r="BM2403" s="71"/>
      <c r="BN2403" s="71"/>
      <c r="BO2403" s="71"/>
      <c r="BP2403" s="71"/>
      <c r="BQ2403" s="71"/>
      <c r="BR2403" s="71"/>
      <c r="BS2403" s="71"/>
      <c r="BT2403" s="71"/>
      <c r="BU2403" s="71"/>
      <c r="BV2403" s="71"/>
      <c r="BW2403" s="71"/>
      <c r="BX2403" s="71"/>
      <c r="BY2403" s="71"/>
      <c r="BZ2403" s="71"/>
      <c r="CA2403" s="71"/>
      <c r="CB2403" s="71"/>
      <c r="CC2403" s="71"/>
      <c r="CD2403" s="71"/>
      <c r="CE2403" s="71"/>
      <c r="CF2403" s="71"/>
      <c r="CG2403" s="71"/>
      <c r="CH2403" s="71"/>
      <c r="CI2403" s="71"/>
      <c r="CJ2403" s="71"/>
      <c r="CK2403" s="71"/>
      <c r="CL2403" s="71"/>
      <c r="CM2403" s="71"/>
      <c r="CN2403" s="71"/>
      <c r="CO2403" s="71"/>
      <c r="CP2403" s="71"/>
      <c r="CQ2403" s="71"/>
      <c r="CR2403" s="71"/>
      <c r="CS2403" s="71"/>
      <c r="CT2403" s="71"/>
      <c r="CU2403" s="71"/>
      <c r="CV2403" s="71"/>
      <c r="CW2403" s="71"/>
      <c r="CX2403" s="71"/>
      <c r="CY2403" s="71"/>
      <c r="CZ2403" s="71"/>
      <c r="DA2403" s="71"/>
      <c r="DB2403" s="71"/>
      <c r="DC2403" s="71"/>
      <c r="DD2403" s="71"/>
      <c r="DE2403" s="71"/>
      <c r="DF2403" s="71"/>
      <c r="DG2403" s="71"/>
      <c r="DH2403" s="71"/>
      <c r="DI2403" s="71"/>
      <c r="DJ2403" s="71"/>
      <c r="DK2403" s="71"/>
      <c r="DL2403" s="71"/>
      <c r="DM2403" s="71"/>
      <c r="DN2403" s="71"/>
      <c r="DO2403" s="71"/>
      <c r="DP2403" s="71"/>
      <c r="DQ2403" s="71"/>
      <c r="DR2403" s="71"/>
      <c r="DS2403" s="71"/>
      <c r="DT2403" s="71"/>
      <c r="DU2403" s="71"/>
      <c r="DV2403" s="71"/>
      <c r="DW2403" s="71"/>
      <c r="DX2403" s="71"/>
      <c r="DY2403" s="71"/>
      <c r="DZ2403" s="71"/>
      <c r="EA2403" s="71"/>
      <c r="EB2403" s="71"/>
      <c r="EC2403" s="71"/>
      <c r="ED2403" s="71"/>
      <c r="EE2403" s="71"/>
      <c r="EF2403" s="71"/>
      <c r="EG2403" s="71"/>
      <c r="EH2403" s="71"/>
      <c r="EI2403" s="71"/>
      <c r="EJ2403" s="71"/>
      <c r="EK2403" s="71"/>
      <c r="EL2403" s="71"/>
      <c r="EM2403" s="71"/>
      <c r="EN2403" s="71"/>
    </row>
    <row r="2404" spans="1:144" x14ac:dyDescent="0.25">
      <c r="A2404" s="307">
        <v>1</v>
      </c>
      <c r="B2404" s="307">
        <v>4999</v>
      </c>
      <c r="C2404" s="315" t="s">
        <v>162</v>
      </c>
      <c r="D2404" s="318">
        <v>907.8</v>
      </c>
      <c r="E2404" s="330" t="s">
        <v>68</v>
      </c>
      <c r="F2404" s="330">
        <v>2</v>
      </c>
      <c r="G2404" s="307" t="s">
        <v>65</v>
      </c>
      <c r="H2404" s="87" t="s">
        <v>66</v>
      </c>
      <c r="I2404" s="223">
        <f>I2405+I2406</f>
        <v>6688287.3099999996</v>
      </c>
      <c r="J2404" s="223">
        <f t="shared" ref="J2404:K2404" si="82">J2405+J2406</f>
        <v>7367.58</v>
      </c>
      <c r="K2404" s="223">
        <f t="shared" si="82"/>
        <v>8203</v>
      </c>
      <c r="L2404" s="71"/>
      <c r="M2404" s="71"/>
      <c r="N2404" s="71"/>
      <c r="O2404" s="71"/>
      <c r="P2404" s="71"/>
      <c r="Q2404" s="71"/>
      <c r="R2404" s="71"/>
      <c r="S2404" s="71"/>
      <c r="T2404" s="71"/>
      <c r="U2404" s="71"/>
      <c r="V2404" s="71"/>
      <c r="W2404" s="71"/>
      <c r="X2404" s="71"/>
      <c r="Y2404" s="71"/>
      <c r="Z2404" s="71"/>
      <c r="AA2404" s="71"/>
      <c r="AB2404" s="71"/>
      <c r="AC2404" s="71"/>
      <c r="AD2404" s="71"/>
      <c r="AE2404" s="71"/>
      <c r="AF2404" s="71"/>
      <c r="AG2404" s="71"/>
      <c r="AH2404" s="71"/>
      <c r="AI2404" s="71"/>
      <c r="AJ2404" s="71"/>
      <c r="AK2404" s="71"/>
      <c r="AL2404" s="71"/>
      <c r="AM2404" s="71"/>
      <c r="AN2404" s="71"/>
      <c r="AO2404" s="71"/>
      <c r="AP2404" s="71"/>
      <c r="AQ2404" s="71"/>
      <c r="AR2404" s="71"/>
      <c r="AS2404" s="71"/>
      <c r="AT2404" s="71"/>
      <c r="AU2404" s="71"/>
      <c r="AV2404" s="71"/>
      <c r="AW2404" s="71"/>
      <c r="AX2404" s="71"/>
      <c r="AY2404" s="71"/>
      <c r="AZ2404" s="71"/>
      <c r="BA2404" s="71"/>
      <c r="BB2404" s="71"/>
      <c r="BC2404" s="71"/>
      <c r="BD2404" s="71"/>
      <c r="BE2404" s="71"/>
      <c r="BF2404" s="71"/>
      <c r="BG2404" s="71"/>
      <c r="BH2404" s="71"/>
      <c r="BI2404" s="71"/>
      <c r="BJ2404" s="71"/>
      <c r="BK2404" s="71"/>
      <c r="BL2404" s="71"/>
      <c r="BM2404" s="71"/>
      <c r="BN2404" s="71"/>
      <c r="BO2404" s="71"/>
      <c r="BP2404" s="71"/>
      <c r="BQ2404" s="71"/>
      <c r="BR2404" s="71"/>
      <c r="BS2404" s="71"/>
      <c r="BT2404" s="71"/>
      <c r="BU2404" s="71"/>
      <c r="BV2404" s="71"/>
      <c r="BW2404" s="71"/>
      <c r="BX2404" s="71"/>
      <c r="BY2404" s="71"/>
      <c r="BZ2404" s="71"/>
      <c r="CA2404" s="71"/>
      <c r="CB2404" s="71"/>
      <c r="CC2404" s="71"/>
      <c r="CD2404" s="71"/>
      <c r="CE2404" s="71"/>
      <c r="CF2404" s="71"/>
      <c r="CG2404" s="71"/>
      <c r="CH2404" s="71"/>
      <c r="CI2404" s="71"/>
      <c r="CJ2404" s="71"/>
      <c r="CK2404" s="71"/>
      <c r="CL2404" s="71"/>
      <c r="CM2404" s="71"/>
      <c r="CN2404" s="71"/>
      <c r="CO2404" s="71"/>
      <c r="CP2404" s="71"/>
      <c r="CQ2404" s="71"/>
      <c r="CR2404" s="71"/>
      <c r="CS2404" s="71"/>
      <c r="CT2404" s="71"/>
      <c r="CU2404" s="71"/>
      <c r="CV2404" s="71"/>
      <c r="CW2404" s="71"/>
      <c r="CX2404" s="71"/>
      <c r="CY2404" s="71"/>
      <c r="CZ2404" s="71"/>
      <c r="DA2404" s="71"/>
      <c r="DB2404" s="71"/>
      <c r="DC2404" s="71"/>
      <c r="DD2404" s="71"/>
      <c r="DE2404" s="71"/>
      <c r="DF2404" s="71"/>
      <c r="DG2404" s="71"/>
      <c r="DH2404" s="71"/>
      <c r="DI2404" s="71"/>
      <c r="DJ2404" s="71"/>
      <c r="DK2404" s="71"/>
      <c r="DL2404" s="71"/>
      <c r="DM2404" s="71"/>
      <c r="DN2404" s="71"/>
      <c r="DO2404" s="71"/>
      <c r="DP2404" s="71"/>
      <c r="DQ2404" s="71"/>
      <c r="DR2404" s="71"/>
      <c r="DS2404" s="71"/>
      <c r="DT2404" s="71"/>
      <c r="DU2404" s="71"/>
      <c r="DV2404" s="71"/>
      <c r="DW2404" s="71"/>
      <c r="DX2404" s="71"/>
      <c r="DY2404" s="71"/>
      <c r="DZ2404" s="71"/>
      <c r="EA2404" s="71"/>
      <c r="EB2404" s="71"/>
      <c r="EC2404" s="71"/>
      <c r="ED2404" s="71"/>
      <c r="EE2404" s="71"/>
      <c r="EF2404" s="71"/>
      <c r="EG2404" s="71"/>
      <c r="EH2404" s="71"/>
      <c r="EI2404" s="71"/>
      <c r="EJ2404" s="71"/>
      <c r="EK2404" s="71"/>
      <c r="EL2404" s="71"/>
      <c r="EM2404" s="71"/>
      <c r="EN2404" s="71"/>
    </row>
    <row r="2405" spans="1:144" x14ac:dyDescent="0.25">
      <c r="A2405" s="308"/>
      <c r="B2405" s="308"/>
      <c r="C2405" s="317"/>
      <c r="D2405" s="319"/>
      <c r="E2405" s="331"/>
      <c r="F2405" s="331"/>
      <c r="G2405" s="308"/>
      <c r="H2405" s="87" t="s">
        <v>67</v>
      </c>
      <c r="I2405" s="223">
        <v>6548842.5899999999</v>
      </c>
      <c r="J2405" s="223">
        <f>I2405/D2403</f>
        <v>7213.97</v>
      </c>
      <c r="K2405" s="223">
        <v>8031</v>
      </c>
      <c r="L2405" s="71"/>
      <c r="M2405" s="71"/>
      <c r="N2405" s="71"/>
      <c r="O2405" s="71"/>
      <c r="P2405" s="71"/>
      <c r="Q2405" s="71"/>
      <c r="R2405" s="71"/>
      <c r="S2405" s="71"/>
      <c r="T2405" s="71"/>
      <c r="U2405" s="71"/>
      <c r="V2405" s="71"/>
      <c r="W2405" s="71"/>
      <c r="X2405" s="71"/>
      <c r="Y2405" s="71"/>
      <c r="Z2405" s="71"/>
      <c r="AA2405" s="71"/>
      <c r="AB2405" s="71"/>
      <c r="AC2405" s="71"/>
      <c r="AD2405" s="71"/>
      <c r="AE2405" s="71"/>
      <c r="AF2405" s="71"/>
      <c r="AG2405" s="71"/>
      <c r="AH2405" s="71"/>
      <c r="AI2405" s="71"/>
      <c r="AJ2405" s="71"/>
      <c r="AK2405" s="71"/>
      <c r="AL2405" s="71"/>
      <c r="AM2405" s="71"/>
      <c r="AN2405" s="71"/>
      <c r="AO2405" s="71"/>
      <c r="AP2405" s="71"/>
      <c r="AQ2405" s="71"/>
      <c r="AR2405" s="71"/>
      <c r="AS2405" s="71"/>
      <c r="AT2405" s="71"/>
      <c r="AU2405" s="71"/>
      <c r="AV2405" s="71"/>
      <c r="AW2405" s="71"/>
      <c r="AX2405" s="71"/>
      <c r="AY2405" s="71"/>
      <c r="AZ2405" s="71"/>
      <c r="BA2405" s="71"/>
      <c r="BB2405" s="71"/>
      <c r="BC2405" s="71"/>
      <c r="BD2405" s="71"/>
      <c r="BE2405" s="71"/>
      <c r="BF2405" s="71"/>
      <c r="BG2405" s="71"/>
      <c r="BH2405" s="71"/>
      <c r="BI2405" s="71"/>
      <c r="BJ2405" s="71"/>
      <c r="BK2405" s="71"/>
      <c r="BL2405" s="71"/>
      <c r="BM2405" s="71"/>
      <c r="BN2405" s="71"/>
      <c r="BO2405" s="71"/>
      <c r="BP2405" s="71"/>
      <c r="BQ2405" s="71"/>
      <c r="BR2405" s="71"/>
      <c r="BS2405" s="71"/>
      <c r="BT2405" s="71"/>
      <c r="BU2405" s="71"/>
      <c r="BV2405" s="71"/>
      <c r="BW2405" s="71"/>
      <c r="BX2405" s="71"/>
      <c r="BY2405" s="71"/>
      <c r="BZ2405" s="71"/>
      <c r="CA2405" s="71"/>
      <c r="CB2405" s="71"/>
      <c r="CC2405" s="71"/>
      <c r="CD2405" s="71"/>
      <c r="CE2405" s="71"/>
      <c r="CF2405" s="71"/>
      <c r="CG2405" s="71"/>
      <c r="CH2405" s="71"/>
      <c r="CI2405" s="71"/>
      <c r="CJ2405" s="71"/>
      <c r="CK2405" s="71"/>
      <c r="CL2405" s="71"/>
      <c r="CM2405" s="71"/>
      <c r="CN2405" s="71"/>
      <c r="CO2405" s="71"/>
      <c r="CP2405" s="71"/>
      <c r="CQ2405" s="71"/>
      <c r="CR2405" s="71"/>
      <c r="CS2405" s="71"/>
      <c r="CT2405" s="71"/>
      <c r="CU2405" s="71"/>
      <c r="CV2405" s="71"/>
      <c r="CW2405" s="71"/>
      <c r="CX2405" s="71"/>
      <c r="CY2405" s="71"/>
      <c r="CZ2405" s="71"/>
      <c r="DA2405" s="71"/>
      <c r="DB2405" s="71"/>
      <c r="DC2405" s="71"/>
      <c r="DD2405" s="71"/>
      <c r="DE2405" s="71"/>
      <c r="DF2405" s="71"/>
      <c r="DG2405" s="71"/>
      <c r="DH2405" s="71"/>
      <c r="DI2405" s="71"/>
      <c r="DJ2405" s="71"/>
      <c r="DK2405" s="71"/>
      <c r="DL2405" s="71"/>
      <c r="DM2405" s="71"/>
      <c r="DN2405" s="71"/>
      <c r="DO2405" s="71"/>
      <c r="DP2405" s="71"/>
      <c r="DQ2405" s="71"/>
      <c r="DR2405" s="71"/>
      <c r="DS2405" s="71"/>
      <c r="DT2405" s="71"/>
      <c r="DU2405" s="71"/>
      <c r="DV2405" s="71"/>
      <c r="DW2405" s="71"/>
      <c r="DX2405" s="71"/>
      <c r="DY2405" s="71"/>
      <c r="DZ2405" s="71"/>
      <c r="EA2405" s="71"/>
      <c r="EB2405" s="71"/>
      <c r="EC2405" s="71"/>
      <c r="ED2405" s="71"/>
      <c r="EE2405" s="71"/>
      <c r="EF2405" s="71"/>
      <c r="EG2405" s="71"/>
      <c r="EH2405" s="71"/>
      <c r="EI2405" s="71"/>
      <c r="EJ2405" s="71"/>
      <c r="EK2405" s="71"/>
      <c r="EL2405" s="71"/>
      <c r="EM2405" s="71"/>
      <c r="EN2405" s="71"/>
    </row>
    <row r="2406" spans="1:144" x14ac:dyDescent="0.25">
      <c r="A2406" s="309">
        <v>1174</v>
      </c>
      <c r="B2406" s="309"/>
      <c r="C2406" s="316"/>
      <c r="D2406" s="329"/>
      <c r="E2406" s="332"/>
      <c r="F2406" s="332"/>
      <c r="G2406" s="309"/>
      <c r="H2406" s="87" t="s">
        <v>69</v>
      </c>
      <c r="I2406" s="223">
        <v>139444.72</v>
      </c>
      <c r="J2406" s="223">
        <f>I2406/D2404</f>
        <v>153.61000000000001</v>
      </c>
      <c r="K2406" s="223">
        <v>172</v>
      </c>
      <c r="L2406" s="71"/>
      <c r="M2406" s="71"/>
      <c r="N2406" s="71"/>
      <c r="O2406" s="71"/>
      <c r="P2406" s="71"/>
      <c r="Q2406" s="71"/>
      <c r="R2406" s="71"/>
      <c r="S2406" s="71"/>
      <c r="T2406" s="71"/>
      <c r="U2406" s="71"/>
      <c r="V2406" s="71"/>
      <c r="W2406" s="71"/>
      <c r="X2406" s="71"/>
      <c r="Y2406" s="71"/>
      <c r="Z2406" s="71"/>
      <c r="AA2406" s="71"/>
      <c r="AB2406" s="71"/>
      <c r="AC2406" s="71"/>
      <c r="AD2406" s="71"/>
      <c r="AE2406" s="71"/>
      <c r="AF2406" s="71"/>
      <c r="AG2406" s="71"/>
      <c r="AH2406" s="71"/>
      <c r="AI2406" s="71"/>
      <c r="AJ2406" s="71"/>
      <c r="AK2406" s="71"/>
      <c r="AL2406" s="71"/>
      <c r="AM2406" s="71"/>
      <c r="AN2406" s="71"/>
      <c r="AO2406" s="71"/>
      <c r="AP2406" s="71"/>
      <c r="AQ2406" s="71"/>
      <c r="AR2406" s="71"/>
      <c r="AS2406" s="71"/>
      <c r="AT2406" s="71"/>
      <c r="AU2406" s="71"/>
      <c r="AV2406" s="71"/>
      <c r="AW2406" s="71"/>
      <c r="AX2406" s="71"/>
      <c r="AY2406" s="71"/>
      <c r="AZ2406" s="71"/>
      <c r="BA2406" s="71"/>
      <c r="BB2406" s="71"/>
      <c r="BC2406" s="71"/>
      <c r="BD2406" s="71"/>
      <c r="BE2406" s="71"/>
      <c r="BF2406" s="71"/>
      <c r="BG2406" s="71"/>
      <c r="BH2406" s="71"/>
      <c r="BI2406" s="71"/>
      <c r="BJ2406" s="71"/>
      <c r="BK2406" s="71"/>
      <c r="BL2406" s="71"/>
      <c r="BM2406" s="71"/>
      <c r="BN2406" s="71"/>
      <c r="BO2406" s="71"/>
      <c r="BP2406" s="71"/>
      <c r="BQ2406" s="71"/>
      <c r="BR2406" s="71"/>
      <c r="BS2406" s="71"/>
      <c r="BT2406" s="71"/>
      <c r="BU2406" s="71"/>
      <c r="BV2406" s="71"/>
      <c r="BW2406" s="71"/>
      <c r="BX2406" s="71"/>
      <c r="BY2406" s="71"/>
      <c r="BZ2406" s="71"/>
      <c r="CA2406" s="71"/>
      <c r="CB2406" s="71"/>
      <c r="CC2406" s="71"/>
      <c r="CD2406" s="71"/>
      <c r="CE2406" s="71"/>
      <c r="CF2406" s="71"/>
      <c r="CG2406" s="71"/>
      <c r="CH2406" s="71"/>
      <c r="CI2406" s="71"/>
      <c r="CJ2406" s="71"/>
      <c r="CK2406" s="71"/>
      <c r="CL2406" s="71"/>
      <c r="CM2406" s="71"/>
      <c r="CN2406" s="71"/>
      <c r="CO2406" s="71"/>
      <c r="CP2406" s="71"/>
      <c r="CQ2406" s="71"/>
      <c r="CR2406" s="71"/>
      <c r="CS2406" s="71"/>
      <c r="CT2406" s="71"/>
      <c r="CU2406" s="71"/>
      <c r="CV2406" s="71"/>
      <c r="CW2406" s="71"/>
      <c r="CX2406" s="71"/>
      <c r="CY2406" s="71"/>
      <c r="CZ2406" s="71"/>
      <c r="DA2406" s="71"/>
      <c r="DB2406" s="71"/>
      <c r="DC2406" s="71"/>
      <c r="DD2406" s="71"/>
      <c r="DE2406" s="71"/>
      <c r="DF2406" s="71"/>
      <c r="DG2406" s="71"/>
      <c r="DH2406" s="71"/>
      <c r="DI2406" s="71"/>
      <c r="DJ2406" s="71"/>
      <c r="DK2406" s="71"/>
      <c r="DL2406" s="71"/>
      <c r="DM2406" s="71"/>
      <c r="DN2406" s="71"/>
      <c r="DO2406" s="71"/>
      <c r="DP2406" s="71"/>
      <c r="DQ2406" s="71"/>
      <c r="DR2406" s="71"/>
      <c r="DS2406" s="71"/>
      <c r="DT2406" s="71"/>
      <c r="DU2406" s="71"/>
      <c r="DV2406" s="71"/>
      <c r="DW2406" s="71"/>
      <c r="DX2406" s="71"/>
      <c r="DY2406" s="71"/>
      <c r="DZ2406" s="71"/>
      <c r="EA2406" s="71"/>
      <c r="EB2406" s="71"/>
      <c r="EC2406" s="71"/>
      <c r="ED2406" s="71"/>
      <c r="EE2406" s="71"/>
      <c r="EF2406" s="71"/>
      <c r="EG2406" s="71"/>
      <c r="EH2406" s="71"/>
      <c r="EI2406" s="71"/>
      <c r="EJ2406" s="71"/>
      <c r="EK2406" s="71"/>
      <c r="EL2406" s="71"/>
      <c r="EM2406" s="71"/>
      <c r="EN2406" s="71"/>
    </row>
    <row r="2407" spans="1:144" x14ac:dyDescent="0.25">
      <c r="A2407" s="81" t="s">
        <v>45</v>
      </c>
      <c r="B2407" s="216"/>
      <c r="C2407" s="81"/>
      <c r="D2407" s="80">
        <f>D2408+D2411+D2413</f>
        <v>2111.6999999999998</v>
      </c>
      <c r="E2407" s="83"/>
      <c r="F2407" s="83"/>
      <c r="G2407" s="151"/>
      <c r="H2407" s="92"/>
      <c r="I2407" s="223">
        <f>I2408+I2411+I2413</f>
        <v>6486169.1399999997</v>
      </c>
      <c r="J2407" s="223"/>
      <c r="K2407" s="223"/>
      <c r="L2407" s="71"/>
      <c r="M2407" s="71"/>
      <c r="N2407" s="71"/>
      <c r="O2407" s="71"/>
      <c r="P2407" s="71"/>
      <c r="Q2407" s="71"/>
      <c r="R2407" s="71"/>
      <c r="S2407" s="71"/>
      <c r="T2407" s="71"/>
      <c r="U2407" s="71"/>
      <c r="V2407" s="71"/>
      <c r="W2407" s="71"/>
      <c r="X2407" s="71"/>
      <c r="Y2407" s="71"/>
      <c r="Z2407" s="71"/>
      <c r="AA2407" s="71"/>
      <c r="AB2407" s="71"/>
      <c r="AC2407" s="71"/>
      <c r="AD2407" s="71"/>
      <c r="AE2407" s="71"/>
      <c r="AF2407" s="71"/>
      <c r="AG2407" s="71"/>
      <c r="AH2407" s="71"/>
      <c r="AI2407" s="71"/>
      <c r="AJ2407" s="71"/>
      <c r="AK2407" s="71"/>
      <c r="AL2407" s="71"/>
      <c r="AM2407" s="71"/>
      <c r="AN2407" s="71"/>
      <c r="AO2407" s="71"/>
      <c r="AP2407" s="71"/>
      <c r="AQ2407" s="71"/>
      <c r="AR2407" s="71"/>
      <c r="AS2407" s="71"/>
      <c r="AT2407" s="71"/>
      <c r="AU2407" s="71"/>
      <c r="AV2407" s="71"/>
      <c r="AW2407" s="71"/>
      <c r="AX2407" s="71"/>
      <c r="AY2407" s="71"/>
      <c r="AZ2407" s="71"/>
      <c r="BA2407" s="71"/>
      <c r="BB2407" s="71"/>
      <c r="BC2407" s="71"/>
      <c r="BD2407" s="71"/>
      <c r="BE2407" s="71"/>
      <c r="BF2407" s="71"/>
      <c r="BG2407" s="71"/>
      <c r="BH2407" s="71"/>
      <c r="BI2407" s="71"/>
      <c r="BJ2407" s="71"/>
      <c r="BK2407" s="71"/>
      <c r="BL2407" s="71"/>
      <c r="BM2407" s="71"/>
      <c r="BN2407" s="71"/>
      <c r="BO2407" s="71"/>
      <c r="BP2407" s="71"/>
      <c r="BQ2407" s="71"/>
      <c r="BR2407" s="71"/>
      <c r="BS2407" s="71"/>
      <c r="BT2407" s="71"/>
      <c r="BU2407" s="71"/>
      <c r="BV2407" s="71"/>
      <c r="BW2407" s="71"/>
      <c r="BX2407" s="71"/>
      <c r="BY2407" s="71"/>
      <c r="BZ2407" s="71"/>
      <c r="CA2407" s="71"/>
      <c r="CB2407" s="71"/>
      <c r="CC2407" s="71"/>
      <c r="CD2407" s="71"/>
      <c r="CE2407" s="71"/>
      <c r="CF2407" s="71"/>
      <c r="CG2407" s="71"/>
      <c r="CH2407" s="71"/>
      <c r="CI2407" s="71"/>
      <c r="CJ2407" s="71"/>
      <c r="CK2407" s="71"/>
      <c r="CL2407" s="71"/>
      <c r="CM2407" s="71"/>
      <c r="CN2407" s="71"/>
      <c r="CO2407" s="71"/>
      <c r="CP2407" s="71"/>
      <c r="CQ2407" s="71"/>
      <c r="CR2407" s="71"/>
      <c r="CS2407" s="71"/>
      <c r="CT2407" s="71"/>
      <c r="CU2407" s="71"/>
      <c r="CV2407" s="71"/>
      <c r="CW2407" s="71"/>
      <c r="CX2407" s="71"/>
      <c r="CY2407" s="71"/>
      <c r="CZ2407" s="71"/>
      <c r="DA2407" s="71"/>
      <c r="DB2407" s="71"/>
      <c r="DC2407" s="71"/>
      <c r="DD2407" s="71"/>
      <c r="DE2407" s="71"/>
      <c r="DF2407" s="71"/>
      <c r="DG2407" s="71"/>
      <c r="DH2407" s="71"/>
      <c r="DI2407" s="71"/>
      <c r="DJ2407" s="71"/>
      <c r="DK2407" s="71"/>
      <c r="DL2407" s="71"/>
      <c r="DM2407" s="71"/>
      <c r="DN2407" s="71"/>
      <c r="DO2407" s="71"/>
      <c r="DP2407" s="71"/>
      <c r="DQ2407" s="71"/>
      <c r="DR2407" s="71"/>
      <c r="DS2407" s="71"/>
      <c r="DT2407" s="71"/>
      <c r="DU2407" s="71"/>
      <c r="DV2407" s="71"/>
      <c r="DW2407" s="71"/>
      <c r="DX2407" s="71"/>
      <c r="DY2407" s="71"/>
      <c r="DZ2407" s="71"/>
      <c r="EA2407" s="71"/>
      <c r="EB2407" s="71"/>
      <c r="EC2407" s="71"/>
      <c r="ED2407" s="71"/>
      <c r="EE2407" s="71"/>
      <c r="EF2407" s="71"/>
      <c r="EG2407" s="71"/>
      <c r="EH2407" s="71"/>
      <c r="EI2407" s="71"/>
      <c r="EJ2407" s="71"/>
      <c r="EK2407" s="71"/>
      <c r="EL2407" s="71"/>
      <c r="EM2407" s="71"/>
      <c r="EN2407" s="71"/>
    </row>
    <row r="2408" spans="1:144" ht="15.75" customHeight="1" x14ac:dyDescent="0.25">
      <c r="A2408" s="345">
        <v>1</v>
      </c>
      <c r="B2408" s="345">
        <v>7170</v>
      </c>
      <c r="C2408" s="333" t="s">
        <v>301</v>
      </c>
      <c r="D2408" s="312">
        <v>864</v>
      </c>
      <c r="E2408" s="312" t="s">
        <v>68</v>
      </c>
      <c r="F2408" s="313">
        <v>2</v>
      </c>
      <c r="G2408" s="310" t="s">
        <v>65</v>
      </c>
      <c r="H2408" s="87" t="s">
        <v>66</v>
      </c>
      <c r="I2408" s="223">
        <f>I2410+I2409</f>
        <v>6187760.71</v>
      </c>
      <c r="J2408" s="223">
        <f>J2410+J2409</f>
        <v>7161.76</v>
      </c>
      <c r="K2408" s="223">
        <f>K2410+K2409</f>
        <v>7688</v>
      </c>
    </row>
    <row r="2409" spans="1:144" x14ac:dyDescent="0.25">
      <c r="A2409" s="345"/>
      <c r="B2409" s="345"/>
      <c r="C2409" s="333"/>
      <c r="D2409" s="312"/>
      <c r="E2409" s="312"/>
      <c r="F2409" s="313"/>
      <c r="G2409" s="310"/>
      <c r="H2409" s="87" t="s">
        <v>67</v>
      </c>
      <c r="I2409" s="226">
        <v>6058117.0099999998</v>
      </c>
      <c r="J2409" s="223">
        <f>I2409/D2408</f>
        <v>7011.71</v>
      </c>
      <c r="K2409" s="223">
        <v>7527</v>
      </c>
    </row>
    <row r="2410" spans="1:144" x14ac:dyDescent="0.25">
      <c r="A2410" s="345"/>
      <c r="B2410" s="345"/>
      <c r="C2410" s="333"/>
      <c r="D2410" s="312"/>
      <c r="E2410" s="312"/>
      <c r="F2410" s="313"/>
      <c r="G2410" s="310"/>
      <c r="H2410" s="87" t="s">
        <v>69</v>
      </c>
      <c r="I2410" s="226">
        <f>I2409*0.0214</f>
        <v>129643.7</v>
      </c>
      <c r="J2410" s="223">
        <f>I2410/D2408</f>
        <v>150.05000000000001</v>
      </c>
      <c r="K2410" s="223">
        <v>161</v>
      </c>
    </row>
    <row r="2411" spans="1:144" x14ac:dyDescent="0.25">
      <c r="A2411" s="307">
        <f>A2408+1</f>
        <v>2</v>
      </c>
      <c r="B2411" s="307">
        <v>7177</v>
      </c>
      <c r="C2411" s="315" t="s">
        <v>302</v>
      </c>
      <c r="D2411" s="318">
        <v>863</v>
      </c>
      <c r="E2411" s="318" t="s">
        <v>68</v>
      </c>
      <c r="F2411" s="330">
        <v>2</v>
      </c>
      <c r="G2411" s="161"/>
      <c r="H2411" s="87" t="s">
        <v>66</v>
      </c>
      <c r="I2411" s="223">
        <f>I2412</f>
        <v>203387.53</v>
      </c>
      <c r="J2411" s="223">
        <f t="shared" ref="J2411:K2411" si="83">J2412</f>
        <v>235.68</v>
      </c>
      <c r="K2411" s="223">
        <f t="shared" si="83"/>
        <v>247</v>
      </c>
      <c r="L2411" s="71"/>
      <c r="M2411" s="71"/>
      <c r="N2411" s="71"/>
      <c r="O2411" s="71"/>
      <c r="P2411" s="71"/>
      <c r="Q2411" s="71"/>
      <c r="R2411" s="71"/>
      <c r="S2411" s="71"/>
      <c r="T2411" s="71"/>
      <c r="U2411" s="71"/>
      <c r="V2411" s="71"/>
      <c r="W2411" s="71"/>
      <c r="X2411" s="71"/>
      <c r="Y2411" s="71"/>
      <c r="Z2411" s="71"/>
      <c r="AA2411" s="71"/>
      <c r="AB2411" s="71"/>
      <c r="AC2411" s="71"/>
      <c r="AD2411" s="71"/>
      <c r="AE2411" s="71"/>
      <c r="AF2411" s="71"/>
      <c r="AG2411" s="71"/>
      <c r="AH2411" s="71"/>
      <c r="AI2411" s="71"/>
      <c r="AJ2411" s="71"/>
      <c r="AK2411" s="71"/>
      <c r="AL2411" s="71"/>
      <c r="AM2411" s="71"/>
      <c r="AN2411" s="71"/>
      <c r="AO2411" s="71"/>
      <c r="AP2411" s="71"/>
      <c r="AQ2411" s="71"/>
      <c r="AR2411" s="71"/>
      <c r="AS2411" s="71"/>
      <c r="AT2411" s="71"/>
      <c r="AU2411" s="71"/>
      <c r="AV2411" s="71"/>
      <c r="AW2411" s="71"/>
      <c r="AX2411" s="71"/>
      <c r="AY2411" s="71"/>
      <c r="AZ2411" s="71"/>
      <c r="BA2411" s="71"/>
      <c r="BB2411" s="71"/>
      <c r="BC2411" s="71"/>
      <c r="BD2411" s="71"/>
      <c r="BE2411" s="71"/>
      <c r="BF2411" s="71"/>
      <c r="BG2411" s="71"/>
      <c r="BH2411" s="71"/>
      <c r="BI2411" s="71"/>
      <c r="BJ2411" s="71"/>
      <c r="BK2411" s="71"/>
      <c r="BL2411" s="71"/>
      <c r="BM2411" s="71"/>
      <c r="BN2411" s="71"/>
      <c r="BO2411" s="71"/>
      <c r="BP2411" s="71"/>
      <c r="BQ2411" s="71"/>
      <c r="BR2411" s="71"/>
      <c r="BS2411" s="71"/>
      <c r="BT2411" s="71"/>
      <c r="BU2411" s="71"/>
      <c r="BV2411" s="71"/>
      <c r="BW2411" s="71"/>
      <c r="BX2411" s="71"/>
      <c r="BY2411" s="71"/>
      <c r="BZ2411" s="71"/>
      <c r="CA2411" s="71"/>
      <c r="CB2411" s="71"/>
      <c r="CC2411" s="71"/>
      <c r="CD2411" s="71"/>
      <c r="CE2411" s="71"/>
      <c r="CF2411" s="71"/>
      <c r="CG2411" s="71"/>
      <c r="CH2411" s="71"/>
      <c r="CI2411" s="71"/>
      <c r="CJ2411" s="71"/>
      <c r="CK2411" s="71"/>
      <c r="CL2411" s="71"/>
      <c r="CM2411" s="71"/>
      <c r="CN2411" s="71"/>
      <c r="CO2411" s="71"/>
      <c r="CP2411" s="71"/>
      <c r="CQ2411" s="71"/>
      <c r="CR2411" s="71"/>
      <c r="CS2411" s="71"/>
      <c r="CT2411" s="71"/>
      <c r="CU2411" s="71"/>
      <c r="CV2411" s="71"/>
      <c r="CW2411" s="71"/>
      <c r="CX2411" s="71"/>
      <c r="CY2411" s="71"/>
      <c r="CZ2411" s="71"/>
      <c r="DA2411" s="71"/>
      <c r="DB2411" s="71"/>
      <c r="DC2411" s="71"/>
      <c r="DD2411" s="71"/>
      <c r="DE2411" s="71"/>
      <c r="DF2411" s="71"/>
      <c r="DG2411" s="71"/>
      <c r="DH2411" s="71"/>
      <c r="DI2411" s="71"/>
      <c r="DJ2411" s="71"/>
      <c r="DK2411" s="71"/>
      <c r="DL2411" s="71"/>
      <c r="DM2411" s="71"/>
      <c r="DN2411" s="71"/>
      <c r="DO2411" s="71"/>
      <c r="DP2411" s="71"/>
      <c r="DQ2411" s="71"/>
      <c r="DR2411" s="71"/>
      <c r="DS2411" s="71"/>
      <c r="DT2411" s="71"/>
      <c r="DU2411" s="71"/>
      <c r="DV2411" s="71"/>
      <c r="DW2411" s="71"/>
      <c r="DX2411" s="71"/>
      <c r="DY2411" s="71"/>
      <c r="DZ2411" s="71"/>
      <c r="EA2411" s="71"/>
      <c r="EB2411" s="71"/>
      <c r="EC2411" s="71"/>
      <c r="ED2411" s="71"/>
      <c r="EE2411" s="71"/>
      <c r="EF2411" s="71"/>
      <c r="EG2411" s="71"/>
      <c r="EH2411" s="71"/>
      <c r="EI2411" s="71"/>
      <c r="EJ2411" s="71"/>
      <c r="EK2411" s="71"/>
      <c r="EL2411" s="71"/>
      <c r="EM2411" s="71"/>
      <c r="EN2411" s="71"/>
    </row>
    <row r="2412" spans="1:144" ht="63" x14ac:dyDescent="0.25">
      <c r="A2412" s="308"/>
      <c r="B2412" s="308"/>
      <c r="C2412" s="317"/>
      <c r="D2412" s="319"/>
      <c r="E2412" s="319"/>
      <c r="F2412" s="331"/>
      <c r="G2412" s="145" t="s">
        <v>65</v>
      </c>
      <c r="H2412" s="87" t="s">
        <v>178</v>
      </c>
      <c r="I2412" s="223">
        <v>203387.53</v>
      </c>
      <c r="J2412" s="223">
        <f>I2412/D2411</f>
        <v>235.68</v>
      </c>
      <c r="K2412" s="223">
        <f>151+96</f>
        <v>247</v>
      </c>
      <c r="L2412" s="71"/>
      <c r="M2412" s="71"/>
      <c r="N2412" s="71"/>
      <c r="O2412" s="71"/>
      <c r="P2412" s="71"/>
      <c r="Q2412" s="71"/>
      <c r="R2412" s="71"/>
      <c r="S2412" s="71"/>
      <c r="T2412" s="71"/>
      <c r="U2412" s="71"/>
      <c r="V2412" s="71"/>
      <c r="W2412" s="71"/>
      <c r="X2412" s="71"/>
      <c r="Y2412" s="71"/>
      <c r="Z2412" s="71"/>
      <c r="AA2412" s="71"/>
      <c r="AB2412" s="71"/>
      <c r="AC2412" s="71"/>
      <c r="AD2412" s="71"/>
      <c r="AE2412" s="71"/>
      <c r="AF2412" s="71"/>
      <c r="AG2412" s="71"/>
      <c r="AH2412" s="71"/>
      <c r="AI2412" s="71"/>
      <c r="AJ2412" s="71"/>
      <c r="AK2412" s="71"/>
      <c r="AL2412" s="71"/>
      <c r="AM2412" s="71"/>
      <c r="AN2412" s="71"/>
      <c r="AO2412" s="71"/>
      <c r="AP2412" s="71"/>
      <c r="AQ2412" s="71"/>
      <c r="AR2412" s="71"/>
      <c r="AS2412" s="71"/>
      <c r="AT2412" s="71"/>
      <c r="AU2412" s="71"/>
      <c r="AV2412" s="71"/>
      <c r="AW2412" s="71"/>
      <c r="AX2412" s="71"/>
      <c r="AY2412" s="71"/>
      <c r="AZ2412" s="71"/>
      <c r="BA2412" s="71"/>
      <c r="BB2412" s="71"/>
      <c r="BC2412" s="71"/>
      <c r="BD2412" s="71"/>
      <c r="BE2412" s="71"/>
      <c r="BF2412" s="71"/>
      <c r="BG2412" s="71"/>
      <c r="BH2412" s="71"/>
      <c r="BI2412" s="71"/>
      <c r="BJ2412" s="71"/>
      <c r="BK2412" s="71"/>
      <c r="BL2412" s="71"/>
      <c r="BM2412" s="71"/>
      <c r="BN2412" s="71"/>
      <c r="BO2412" s="71"/>
      <c r="BP2412" s="71"/>
      <c r="BQ2412" s="71"/>
      <c r="BR2412" s="71"/>
      <c r="BS2412" s="71"/>
      <c r="BT2412" s="71"/>
      <c r="BU2412" s="71"/>
      <c r="BV2412" s="71"/>
      <c r="BW2412" s="71"/>
      <c r="BX2412" s="71"/>
      <c r="BY2412" s="71"/>
      <c r="BZ2412" s="71"/>
      <c r="CA2412" s="71"/>
      <c r="CB2412" s="71"/>
      <c r="CC2412" s="71"/>
      <c r="CD2412" s="71"/>
      <c r="CE2412" s="71"/>
      <c r="CF2412" s="71"/>
      <c r="CG2412" s="71"/>
      <c r="CH2412" s="71"/>
      <c r="CI2412" s="71"/>
      <c r="CJ2412" s="71"/>
      <c r="CK2412" s="71"/>
      <c r="CL2412" s="71"/>
      <c r="CM2412" s="71"/>
      <c r="CN2412" s="71"/>
      <c r="CO2412" s="71"/>
      <c r="CP2412" s="71"/>
      <c r="CQ2412" s="71"/>
      <c r="CR2412" s="71"/>
      <c r="CS2412" s="71"/>
      <c r="CT2412" s="71"/>
      <c r="CU2412" s="71"/>
      <c r="CV2412" s="71"/>
      <c r="CW2412" s="71"/>
      <c r="CX2412" s="71"/>
      <c r="CY2412" s="71"/>
      <c r="CZ2412" s="71"/>
      <c r="DA2412" s="71"/>
      <c r="DB2412" s="71"/>
      <c r="DC2412" s="71"/>
      <c r="DD2412" s="71"/>
      <c r="DE2412" s="71"/>
      <c r="DF2412" s="71"/>
      <c r="DG2412" s="71"/>
      <c r="DH2412" s="71"/>
      <c r="DI2412" s="71"/>
      <c r="DJ2412" s="71"/>
      <c r="DK2412" s="71"/>
      <c r="DL2412" s="71"/>
      <c r="DM2412" s="71"/>
      <c r="DN2412" s="71"/>
      <c r="DO2412" s="71"/>
      <c r="DP2412" s="71"/>
      <c r="DQ2412" s="71"/>
      <c r="DR2412" s="71"/>
      <c r="DS2412" s="71"/>
      <c r="DT2412" s="71"/>
      <c r="DU2412" s="71"/>
      <c r="DV2412" s="71"/>
      <c r="DW2412" s="71"/>
      <c r="DX2412" s="71"/>
      <c r="DY2412" s="71"/>
      <c r="DZ2412" s="71"/>
      <c r="EA2412" s="71"/>
      <c r="EB2412" s="71"/>
      <c r="EC2412" s="71"/>
      <c r="ED2412" s="71"/>
      <c r="EE2412" s="71"/>
      <c r="EF2412" s="71"/>
      <c r="EG2412" s="71"/>
      <c r="EH2412" s="71"/>
      <c r="EI2412" s="71"/>
      <c r="EJ2412" s="71"/>
      <c r="EK2412" s="71"/>
      <c r="EL2412" s="71"/>
      <c r="EM2412" s="71"/>
      <c r="EN2412" s="71"/>
    </row>
    <row r="2413" spans="1:144" s="118" customFormat="1" ht="15.75" customHeight="1" x14ac:dyDescent="0.25">
      <c r="A2413" s="340">
        <f>A2411+1</f>
        <v>3</v>
      </c>
      <c r="B2413" s="340">
        <v>7210</v>
      </c>
      <c r="C2413" s="340" t="s">
        <v>717</v>
      </c>
      <c r="D2413" s="322">
        <v>384.7</v>
      </c>
      <c r="E2413" s="322" t="s">
        <v>68</v>
      </c>
      <c r="F2413" s="324">
        <v>2</v>
      </c>
      <c r="G2413" s="116"/>
      <c r="H2413" s="117" t="s">
        <v>66</v>
      </c>
      <c r="I2413" s="226">
        <f>I2414</f>
        <v>95020.9</v>
      </c>
      <c r="J2413" s="226">
        <f>J2414</f>
        <v>247</v>
      </c>
      <c r="K2413" s="226">
        <f>K2414</f>
        <v>247</v>
      </c>
    </row>
    <row r="2414" spans="1:144" s="118" customFormat="1" ht="63" customHeight="1" x14ac:dyDescent="0.25">
      <c r="A2414" s="341"/>
      <c r="B2414" s="341"/>
      <c r="C2414" s="341"/>
      <c r="D2414" s="323"/>
      <c r="E2414" s="323"/>
      <c r="F2414" s="325"/>
      <c r="G2414" s="155" t="s">
        <v>65</v>
      </c>
      <c r="H2414" s="117" t="s">
        <v>178</v>
      </c>
      <c r="I2414" s="266">
        <f>D2413*K2414</f>
        <v>95020.9</v>
      </c>
      <c r="J2414" s="226">
        <f>I2414/D2413</f>
        <v>247</v>
      </c>
      <c r="K2414" s="226">
        <f>151+96</f>
        <v>247</v>
      </c>
    </row>
    <row r="2415" spans="1:144" x14ac:dyDescent="0.25">
      <c r="A2415" s="81" t="s">
        <v>283</v>
      </c>
      <c r="B2415" s="82"/>
      <c r="C2415" s="123"/>
      <c r="D2415" s="80">
        <f>D2416+D2433+D2489+D2499+D2502+D2643+D2739+D3045+D3051+D3055+D3064+D3123+D3134+D3142+D3149+D3174+D3177+D3266</f>
        <v>747284.36</v>
      </c>
      <c r="E2415" s="83"/>
      <c r="F2415" s="83"/>
      <c r="G2415" s="121"/>
      <c r="H2415" s="84"/>
      <c r="I2415" s="223">
        <f>I2416+I2433+I2489+I2499+I2502+I2643+I2739+I3045+I3051+I3055+I3064+I3123+I3134+I3142+I3149+I3174+I3177+I3266</f>
        <v>1263615522.3599999</v>
      </c>
      <c r="J2415" s="223"/>
      <c r="K2415" s="223"/>
      <c r="L2415" s="71"/>
      <c r="M2415" s="71"/>
      <c r="N2415" s="71"/>
      <c r="O2415" s="71"/>
      <c r="P2415" s="71"/>
      <c r="Q2415" s="71"/>
      <c r="R2415" s="71"/>
      <c r="S2415" s="71"/>
      <c r="T2415" s="71"/>
      <c r="U2415" s="71"/>
      <c r="V2415" s="71"/>
      <c r="W2415" s="71"/>
      <c r="X2415" s="71"/>
      <c r="Y2415" s="71"/>
      <c r="Z2415" s="71"/>
      <c r="AA2415" s="71"/>
      <c r="AB2415" s="71"/>
      <c r="AC2415" s="71"/>
      <c r="AD2415" s="71"/>
      <c r="AE2415" s="71"/>
      <c r="AF2415" s="71"/>
      <c r="AG2415" s="71"/>
      <c r="AH2415" s="71"/>
      <c r="AI2415" s="71"/>
      <c r="AJ2415" s="71"/>
      <c r="AK2415" s="71"/>
      <c r="AL2415" s="71"/>
      <c r="AM2415" s="71"/>
      <c r="AN2415" s="71"/>
      <c r="AO2415" s="71"/>
      <c r="AP2415" s="71"/>
      <c r="AQ2415" s="71"/>
      <c r="AR2415" s="71"/>
      <c r="AS2415" s="71"/>
      <c r="AT2415" s="71"/>
      <c r="AU2415" s="71"/>
      <c r="AV2415" s="71"/>
      <c r="AW2415" s="71"/>
      <c r="AX2415" s="71"/>
      <c r="AY2415" s="71"/>
      <c r="AZ2415" s="71"/>
      <c r="BA2415" s="71"/>
      <c r="BB2415" s="71"/>
      <c r="BC2415" s="71"/>
      <c r="BD2415" s="71"/>
      <c r="BE2415" s="71"/>
      <c r="BF2415" s="71"/>
      <c r="BG2415" s="71"/>
      <c r="BH2415" s="71"/>
      <c r="BI2415" s="71"/>
      <c r="BJ2415" s="71"/>
      <c r="BK2415" s="71"/>
      <c r="BL2415" s="71"/>
      <c r="BM2415" s="71"/>
      <c r="BN2415" s="71"/>
      <c r="BO2415" s="71"/>
      <c r="BP2415" s="71"/>
      <c r="BQ2415" s="71"/>
      <c r="BR2415" s="71"/>
      <c r="BS2415" s="71"/>
      <c r="BT2415" s="71"/>
      <c r="BU2415" s="71"/>
      <c r="BV2415" s="71"/>
      <c r="BW2415" s="71"/>
      <c r="BX2415" s="71"/>
      <c r="BY2415" s="71"/>
      <c r="BZ2415" s="71"/>
      <c r="CA2415" s="71"/>
      <c r="CB2415" s="71"/>
      <c r="CC2415" s="71"/>
      <c r="CD2415" s="71"/>
      <c r="CE2415" s="71"/>
      <c r="CF2415" s="71"/>
      <c r="CG2415" s="71"/>
      <c r="CH2415" s="71"/>
      <c r="CI2415" s="71"/>
      <c r="CJ2415" s="71"/>
      <c r="CK2415" s="71"/>
      <c r="CL2415" s="71"/>
      <c r="CM2415" s="71"/>
      <c r="CN2415" s="71"/>
      <c r="CO2415" s="71"/>
      <c r="CP2415" s="71"/>
      <c r="CQ2415" s="71"/>
      <c r="CR2415" s="71"/>
      <c r="CS2415" s="71"/>
      <c r="CT2415" s="71"/>
      <c r="CU2415" s="71"/>
      <c r="CV2415" s="71"/>
      <c r="CW2415" s="71"/>
      <c r="CX2415" s="71"/>
      <c r="CY2415" s="71"/>
      <c r="CZ2415" s="71"/>
      <c r="DA2415" s="71"/>
      <c r="DB2415" s="71"/>
      <c r="DC2415" s="71"/>
      <c r="DD2415" s="71"/>
      <c r="DE2415" s="71"/>
      <c r="DF2415" s="71"/>
      <c r="DG2415" s="71"/>
      <c r="DH2415" s="71"/>
      <c r="DI2415" s="71"/>
      <c r="DJ2415" s="71"/>
      <c r="DK2415" s="71"/>
      <c r="DL2415" s="71"/>
      <c r="DM2415" s="71"/>
      <c r="DN2415" s="71"/>
      <c r="DO2415" s="71"/>
      <c r="DP2415" s="71"/>
      <c r="DQ2415" s="71"/>
      <c r="DR2415" s="71"/>
      <c r="DS2415" s="71"/>
      <c r="DT2415" s="71"/>
      <c r="DU2415" s="71"/>
      <c r="DV2415" s="71"/>
      <c r="DW2415" s="71"/>
      <c r="DX2415" s="71"/>
      <c r="DY2415" s="71"/>
      <c r="DZ2415" s="71"/>
      <c r="EA2415" s="71"/>
      <c r="EB2415" s="71"/>
      <c r="EC2415" s="71"/>
      <c r="ED2415" s="71"/>
      <c r="EE2415" s="71"/>
      <c r="EF2415" s="71"/>
      <c r="EG2415" s="71"/>
      <c r="EH2415" s="71"/>
      <c r="EI2415" s="71"/>
      <c r="EJ2415" s="71"/>
      <c r="EK2415" s="71"/>
      <c r="EL2415" s="71"/>
      <c r="EM2415" s="71"/>
      <c r="EN2415" s="71"/>
    </row>
    <row r="2416" spans="1:144" x14ac:dyDescent="0.25">
      <c r="A2416" s="97" t="s">
        <v>16</v>
      </c>
      <c r="B2416" s="214"/>
      <c r="C2416" s="157"/>
      <c r="D2416" s="151">
        <f>D2417+D2420+D2423+D2427+D2430</f>
        <v>1859.5</v>
      </c>
      <c r="E2416" s="160"/>
      <c r="F2416" s="160"/>
      <c r="G2416" s="151"/>
      <c r="H2416" s="85"/>
      <c r="I2416" s="223">
        <f>I2417+I2420+I2423+I2427+I2430</f>
        <v>4948492.8</v>
      </c>
      <c r="J2416" s="223"/>
      <c r="K2416" s="223"/>
      <c r="L2416" s="71"/>
      <c r="M2416" s="71"/>
      <c r="N2416" s="71"/>
      <c r="O2416" s="71"/>
      <c r="P2416" s="71"/>
      <c r="Q2416" s="71"/>
      <c r="R2416" s="71"/>
      <c r="S2416" s="71"/>
      <c r="T2416" s="71"/>
      <c r="U2416" s="71"/>
      <c r="V2416" s="71"/>
      <c r="W2416" s="71"/>
      <c r="X2416" s="71"/>
      <c r="Y2416" s="71"/>
      <c r="Z2416" s="71"/>
      <c r="AA2416" s="71"/>
      <c r="AB2416" s="71"/>
      <c r="AC2416" s="71"/>
      <c r="AD2416" s="71"/>
      <c r="AE2416" s="71"/>
      <c r="AF2416" s="71"/>
      <c r="AG2416" s="71"/>
      <c r="AH2416" s="71"/>
      <c r="AI2416" s="71"/>
      <c r="AJ2416" s="71"/>
      <c r="AK2416" s="71"/>
      <c r="AL2416" s="71"/>
      <c r="AM2416" s="71"/>
      <c r="AN2416" s="71"/>
      <c r="AO2416" s="71"/>
      <c r="AP2416" s="71"/>
      <c r="AQ2416" s="71"/>
      <c r="AR2416" s="71"/>
      <c r="AS2416" s="71"/>
      <c r="AT2416" s="71"/>
      <c r="AU2416" s="71"/>
      <c r="AV2416" s="71"/>
      <c r="AW2416" s="71"/>
      <c r="AX2416" s="71"/>
      <c r="AY2416" s="71"/>
      <c r="AZ2416" s="71"/>
      <c r="BA2416" s="71"/>
      <c r="BB2416" s="71"/>
      <c r="BC2416" s="71"/>
      <c r="BD2416" s="71"/>
      <c r="BE2416" s="71"/>
      <c r="BF2416" s="71"/>
      <c r="BG2416" s="71"/>
      <c r="BH2416" s="71"/>
      <c r="BI2416" s="71"/>
      <c r="BJ2416" s="71"/>
      <c r="BK2416" s="71"/>
      <c r="BL2416" s="71"/>
      <c r="BM2416" s="71"/>
      <c r="BN2416" s="71"/>
      <c r="BO2416" s="71"/>
      <c r="BP2416" s="71"/>
      <c r="BQ2416" s="71"/>
      <c r="BR2416" s="71"/>
      <c r="BS2416" s="71"/>
      <c r="BT2416" s="71"/>
      <c r="BU2416" s="71"/>
      <c r="BV2416" s="71"/>
      <c r="BW2416" s="71"/>
      <c r="BX2416" s="71"/>
      <c r="BY2416" s="71"/>
      <c r="BZ2416" s="71"/>
      <c r="CA2416" s="71"/>
      <c r="CB2416" s="71"/>
      <c r="CC2416" s="71"/>
      <c r="CD2416" s="71"/>
      <c r="CE2416" s="71"/>
      <c r="CF2416" s="71"/>
      <c r="CG2416" s="71"/>
      <c r="CH2416" s="71"/>
      <c r="CI2416" s="71"/>
      <c r="CJ2416" s="71"/>
      <c r="CK2416" s="71"/>
      <c r="CL2416" s="71"/>
      <c r="CM2416" s="71"/>
      <c r="CN2416" s="71"/>
      <c r="CO2416" s="71"/>
      <c r="CP2416" s="71"/>
      <c r="CQ2416" s="71"/>
      <c r="CR2416" s="71"/>
      <c r="CS2416" s="71"/>
      <c r="CT2416" s="71"/>
      <c r="CU2416" s="71"/>
      <c r="CV2416" s="71"/>
      <c r="CW2416" s="71"/>
      <c r="CX2416" s="71"/>
      <c r="CY2416" s="71"/>
      <c r="CZ2416" s="71"/>
      <c r="DA2416" s="71"/>
      <c r="DB2416" s="71"/>
      <c r="DC2416" s="71"/>
      <c r="DD2416" s="71"/>
      <c r="DE2416" s="71"/>
      <c r="DF2416" s="71"/>
      <c r="DG2416" s="71"/>
      <c r="DH2416" s="71"/>
      <c r="DI2416" s="71"/>
      <c r="DJ2416" s="71"/>
      <c r="DK2416" s="71"/>
      <c r="DL2416" s="71"/>
      <c r="DM2416" s="71"/>
      <c r="DN2416" s="71"/>
      <c r="DO2416" s="71"/>
      <c r="DP2416" s="71"/>
      <c r="DQ2416" s="71"/>
      <c r="DR2416" s="71"/>
      <c r="DS2416" s="71"/>
      <c r="DT2416" s="71"/>
      <c r="DU2416" s="71"/>
      <c r="DV2416" s="71"/>
      <c r="DW2416" s="71"/>
      <c r="DX2416" s="71"/>
      <c r="DY2416" s="71"/>
      <c r="DZ2416" s="71"/>
      <c r="EA2416" s="71"/>
      <c r="EB2416" s="71"/>
      <c r="EC2416" s="71"/>
      <c r="ED2416" s="71"/>
      <c r="EE2416" s="71"/>
      <c r="EF2416" s="71"/>
      <c r="EG2416" s="71"/>
      <c r="EH2416" s="71"/>
      <c r="EI2416" s="71"/>
      <c r="EJ2416" s="71"/>
      <c r="EK2416" s="71"/>
      <c r="EL2416" s="71"/>
      <c r="EM2416" s="71"/>
      <c r="EN2416" s="71"/>
    </row>
    <row r="2417" spans="1:11" x14ac:dyDescent="0.25">
      <c r="A2417" s="310">
        <v>1</v>
      </c>
      <c r="B2417" s="310">
        <v>4709</v>
      </c>
      <c r="C2417" s="333" t="s">
        <v>728</v>
      </c>
      <c r="D2417" s="307">
        <v>334.8</v>
      </c>
      <c r="E2417" s="307" t="s">
        <v>167</v>
      </c>
      <c r="F2417" s="307">
        <v>2</v>
      </c>
      <c r="G2417" s="307" t="s">
        <v>65</v>
      </c>
      <c r="H2417" s="87" t="s">
        <v>66</v>
      </c>
      <c r="I2417" s="223">
        <f>SUM(I2418:I2419)</f>
        <v>2746364.4</v>
      </c>
      <c r="J2417" s="223">
        <f>SUM(J2418:J2419)</f>
        <v>8203</v>
      </c>
      <c r="K2417" s="223">
        <f>SUM(K2418:K2419)</f>
        <v>8203</v>
      </c>
    </row>
    <row r="2418" spans="1:11" ht="15.75" customHeight="1" x14ac:dyDescent="0.25">
      <c r="A2418" s="310"/>
      <c r="B2418" s="310"/>
      <c r="C2418" s="333"/>
      <c r="D2418" s="308"/>
      <c r="E2418" s="308"/>
      <c r="F2418" s="308"/>
      <c r="G2418" s="308"/>
      <c r="H2418" s="87" t="s">
        <v>67</v>
      </c>
      <c r="I2418" s="223">
        <f>K2418*D2417</f>
        <v>2688778.8</v>
      </c>
      <c r="J2418" s="223">
        <f>I2418/D2417</f>
        <v>8031</v>
      </c>
      <c r="K2418" s="223">
        <v>8031</v>
      </c>
    </row>
    <row r="2419" spans="1:11" x14ac:dyDescent="0.25">
      <c r="A2419" s="310"/>
      <c r="B2419" s="310"/>
      <c r="C2419" s="333"/>
      <c r="D2419" s="309"/>
      <c r="E2419" s="309"/>
      <c r="F2419" s="309"/>
      <c r="G2419" s="309"/>
      <c r="H2419" s="87" t="s">
        <v>69</v>
      </c>
      <c r="I2419" s="223">
        <f>K2419*D2417</f>
        <v>57585.599999999999</v>
      </c>
      <c r="J2419" s="223">
        <f>I2419/D2417</f>
        <v>172</v>
      </c>
      <c r="K2419" s="223">
        <v>172</v>
      </c>
    </row>
    <row r="2420" spans="1:11" x14ac:dyDescent="0.25">
      <c r="A2420" s="310">
        <f>A2417+1</f>
        <v>2</v>
      </c>
      <c r="B2420" s="310">
        <v>4664</v>
      </c>
      <c r="C2420" s="333" t="s">
        <v>729</v>
      </c>
      <c r="D2420" s="307">
        <v>227</v>
      </c>
      <c r="E2420" s="307" t="s">
        <v>167</v>
      </c>
      <c r="F2420" s="307">
        <v>2</v>
      </c>
      <c r="G2420" s="307" t="s">
        <v>65</v>
      </c>
      <c r="H2420" s="87" t="s">
        <v>66</v>
      </c>
      <c r="I2420" s="223">
        <f>SUM(I2421:I2422)</f>
        <v>1862081</v>
      </c>
      <c r="J2420" s="223">
        <f>SUM(J2421:J2422)</f>
        <v>8203</v>
      </c>
      <c r="K2420" s="223">
        <f>SUM(K2421:K2422)</f>
        <v>8203</v>
      </c>
    </row>
    <row r="2421" spans="1:11" ht="15.75" customHeight="1" x14ac:dyDescent="0.25">
      <c r="A2421" s="310"/>
      <c r="B2421" s="310"/>
      <c r="C2421" s="333"/>
      <c r="D2421" s="308"/>
      <c r="E2421" s="308"/>
      <c r="F2421" s="308"/>
      <c r="G2421" s="308"/>
      <c r="H2421" s="87" t="s">
        <v>67</v>
      </c>
      <c r="I2421" s="223">
        <f>K2421*D2420</f>
        <v>1823037</v>
      </c>
      <c r="J2421" s="223">
        <f>I2421/D2420</f>
        <v>8031</v>
      </c>
      <c r="K2421" s="223">
        <v>8031</v>
      </c>
    </row>
    <row r="2422" spans="1:11" x14ac:dyDescent="0.25">
      <c r="A2422" s="310"/>
      <c r="B2422" s="310"/>
      <c r="C2422" s="333"/>
      <c r="D2422" s="309"/>
      <c r="E2422" s="309"/>
      <c r="F2422" s="309"/>
      <c r="G2422" s="309"/>
      <c r="H2422" s="87" t="s">
        <v>69</v>
      </c>
      <c r="I2422" s="223">
        <f>K2422*D2420</f>
        <v>39044</v>
      </c>
      <c r="J2422" s="223">
        <f>I2422/D2420</f>
        <v>172</v>
      </c>
      <c r="K2422" s="223">
        <v>172</v>
      </c>
    </row>
    <row r="2423" spans="1:11" ht="15.75" customHeight="1" x14ac:dyDescent="0.25">
      <c r="A2423" s="415">
        <f>A2420+1</f>
        <v>3</v>
      </c>
      <c r="B2423" s="415">
        <v>4692</v>
      </c>
      <c r="C2423" s="418" t="s">
        <v>285</v>
      </c>
      <c r="D2423" s="415">
        <v>237.2</v>
      </c>
      <c r="E2423" s="415" t="s">
        <v>68</v>
      </c>
      <c r="F2423" s="415">
        <v>2</v>
      </c>
      <c r="G2423" s="307" t="s">
        <v>78</v>
      </c>
      <c r="H2423" s="121" t="s">
        <v>66</v>
      </c>
      <c r="I2423" s="223">
        <f>SUM(I2424:I2426)</f>
        <v>142794.4</v>
      </c>
      <c r="J2423" s="223">
        <f>SUM(J2424:J2426)</f>
        <v>602</v>
      </c>
      <c r="K2423" s="223">
        <f>SUM(K2424:K2426)</f>
        <v>602</v>
      </c>
    </row>
    <row r="2424" spans="1:11" ht="63" customHeight="1" x14ac:dyDescent="0.25">
      <c r="A2424" s="416"/>
      <c r="B2424" s="416"/>
      <c r="C2424" s="419"/>
      <c r="D2424" s="416"/>
      <c r="E2424" s="416"/>
      <c r="F2424" s="416"/>
      <c r="G2424" s="308"/>
      <c r="H2424" s="88" t="s">
        <v>168</v>
      </c>
      <c r="I2424" s="223">
        <f>D2423*K2424</f>
        <v>15180.8</v>
      </c>
      <c r="J2424" s="223">
        <f>I2424/D2423</f>
        <v>64</v>
      </c>
      <c r="K2424" s="223">
        <f>21+43</f>
        <v>64</v>
      </c>
    </row>
    <row r="2425" spans="1:11" ht="15.75" customHeight="1" x14ac:dyDescent="0.25">
      <c r="A2425" s="416"/>
      <c r="B2425" s="416"/>
      <c r="C2425" s="419"/>
      <c r="D2425" s="416"/>
      <c r="E2425" s="416"/>
      <c r="F2425" s="416"/>
      <c r="G2425" s="308"/>
      <c r="H2425" s="87" t="s">
        <v>67</v>
      </c>
      <c r="I2425" s="223">
        <f>D2423*K2425</f>
        <v>125004.4</v>
      </c>
      <c r="J2425" s="223">
        <f>I2425/D2423</f>
        <v>527</v>
      </c>
      <c r="K2425" s="223">
        <v>527</v>
      </c>
    </row>
    <row r="2426" spans="1:11" x14ac:dyDescent="0.25">
      <c r="A2426" s="417"/>
      <c r="B2426" s="417"/>
      <c r="C2426" s="420"/>
      <c r="D2426" s="417"/>
      <c r="E2426" s="417"/>
      <c r="F2426" s="417"/>
      <c r="G2426" s="309"/>
      <c r="H2426" s="87" t="s">
        <v>69</v>
      </c>
      <c r="I2426" s="223">
        <f>D2423*K2426</f>
        <v>2609.1999999999998</v>
      </c>
      <c r="J2426" s="223">
        <f>I2426/D2423</f>
        <v>11</v>
      </c>
      <c r="K2426" s="223">
        <v>11</v>
      </c>
    </row>
    <row r="2427" spans="1:11" ht="15.75" customHeight="1" x14ac:dyDescent="0.25">
      <c r="A2427" s="307">
        <f>A2423+1</f>
        <v>4</v>
      </c>
      <c r="B2427" s="369">
        <v>4737</v>
      </c>
      <c r="C2427" s="371" t="s">
        <v>730</v>
      </c>
      <c r="D2427" s="369">
        <v>336.6</v>
      </c>
      <c r="E2427" s="369" t="s">
        <v>167</v>
      </c>
      <c r="F2427" s="369">
        <v>2</v>
      </c>
      <c r="G2427" s="145"/>
      <c r="H2427" s="121" t="s">
        <v>66</v>
      </c>
      <c r="I2427" s="223">
        <f>SUM(I2428:I2429)</f>
        <v>62607.6</v>
      </c>
      <c r="J2427" s="223">
        <f>SUM(J2428:J2429)</f>
        <v>186</v>
      </c>
      <c r="K2427" s="223">
        <f>SUM(K2428:K2429)</f>
        <v>186</v>
      </c>
    </row>
    <row r="2428" spans="1:11" ht="63" x14ac:dyDescent="0.25">
      <c r="A2428" s="308"/>
      <c r="B2428" s="370"/>
      <c r="C2428" s="372"/>
      <c r="D2428" s="370"/>
      <c r="E2428" s="370"/>
      <c r="F2428" s="370"/>
      <c r="G2428" s="148" t="s">
        <v>70</v>
      </c>
      <c r="H2428" s="88" t="s">
        <v>168</v>
      </c>
      <c r="I2428" s="223">
        <f>D2427*K2428</f>
        <v>47124</v>
      </c>
      <c r="J2428" s="223">
        <f>I2428/D2427</f>
        <v>140</v>
      </c>
      <c r="K2428" s="223">
        <f>119+21</f>
        <v>140</v>
      </c>
    </row>
    <row r="2429" spans="1:11" ht="63" x14ac:dyDescent="0.25">
      <c r="A2429" s="308"/>
      <c r="B2429" s="370"/>
      <c r="C2429" s="372"/>
      <c r="D2429" s="370"/>
      <c r="E2429" s="370"/>
      <c r="F2429" s="370"/>
      <c r="G2429" s="148" t="s">
        <v>71</v>
      </c>
      <c r="H2429" s="88" t="s">
        <v>168</v>
      </c>
      <c r="I2429" s="223">
        <f>D2427*K2429</f>
        <v>15483.6</v>
      </c>
      <c r="J2429" s="223">
        <f>I2429/D2427</f>
        <v>46</v>
      </c>
      <c r="K2429" s="223">
        <f>25+21</f>
        <v>46</v>
      </c>
    </row>
    <row r="2430" spans="1:11" ht="15.75" customHeight="1" x14ac:dyDescent="0.25">
      <c r="A2430" s="310">
        <f>A2427+1</f>
        <v>5</v>
      </c>
      <c r="B2430" s="389">
        <v>4769</v>
      </c>
      <c r="C2430" s="390" t="s">
        <v>731</v>
      </c>
      <c r="D2430" s="389">
        <v>723.9</v>
      </c>
      <c r="E2430" s="389" t="s">
        <v>68</v>
      </c>
      <c r="F2430" s="389">
        <v>2</v>
      </c>
      <c r="G2430" s="145"/>
      <c r="H2430" s="121" t="s">
        <v>66</v>
      </c>
      <c r="I2430" s="223">
        <f>I2431+I2432</f>
        <v>134645.4</v>
      </c>
      <c r="J2430" s="223">
        <f>J2431+J2432</f>
        <v>186</v>
      </c>
      <c r="K2430" s="223">
        <f>K2431+K2432</f>
        <v>186</v>
      </c>
    </row>
    <row r="2431" spans="1:11" ht="63" x14ac:dyDescent="0.25">
      <c r="A2431" s="310"/>
      <c r="B2431" s="389"/>
      <c r="C2431" s="390"/>
      <c r="D2431" s="389"/>
      <c r="E2431" s="389"/>
      <c r="F2431" s="389"/>
      <c r="G2431" s="145" t="s">
        <v>70</v>
      </c>
      <c r="H2431" s="88" t="s">
        <v>168</v>
      </c>
      <c r="I2431" s="223">
        <f>D2430*K2431</f>
        <v>101346</v>
      </c>
      <c r="J2431" s="223">
        <f>I2431/D2430</f>
        <v>140</v>
      </c>
      <c r="K2431" s="223">
        <f>119+21</f>
        <v>140</v>
      </c>
    </row>
    <row r="2432" spans="1:11" ht="63" x14ac:dyDescent="0.25">
      <c r="A2432" s="310"/>
      <c r="B2432" s="389"/>
      <c r="C2432" s="390"/>
      <c r="D2432" s="389"/>
      <c r="E2432" s="389"/>
      <c r="F2432" s="389"/>
      <c r="G2432" s="145" t="s">
        <v>71</v>
      </c>
      <c r="H2432" s="88" t="s">
        <v>168</v>
      </c>
      <c r="I2432" s="223">
        <f>D2430*K2432</f>
        <v>33299.4</v>
      </c>
      <c r="J2432" s="223">
        <f>I2432/D2430</f>
        <v>46</v>
      </c>
      <c r="K2432" s="223">
        <f>25+21</f>
        <v>46</v>
      </c>
    </row>
    <row r="2433" spans="1:144" x14ac:dyDescent="0.25">
      <c r="A2433" s="97" t="s">
        <v>29</v>
      </c>
      <c r="B2433" s="214"/>
      <c r="C2433" s="157"/>
      <c r="D2433" s="151">
        <f>D2434+D2439+D2442+D2445+D2448+D2453+D2456+D2459+D2463+D2466+D2469+D2472+D2476+D2480+D2483+D2486</f>
        <v>10619.07</v>
      </c>
      <c r="E2433" s="160"/>
      <c r="F2433" s="160"/>
      <c r="G2433" s="151"/>
      <c r="H2433" s="85"/>
      <c r="I2433" s="223">
        <f>I2434+I2439+I2442+I2445+I2448+I2453+I2456+I2459+I2463+I2466+I2469+I2472+I2476+I2480+I2483+I2486</f>
        <v>33369154.48</v>
      </c>
      <c r="J2433" s="223"/>
      <c r="K2433" s="223"/>
      <c r="L2433" s="71"/>
      <c r="M2433" s="71"/>
      <c r="N2433" s="71"/>
      <c r="O2433" s="71"/>
      <c r="P2433" s="71"/>
      <c r="Q2433" s="71"/>
      <c r="R2433" s="71"/>
      <c r="S2433" s="71"/>
      <c r="T2433" s="71"/>
      <c r="U2433" s="71"/>
      <c r="V2433" s="71"/>
      <c r="W2433" s="71"/>
      <c r="X2433" s="71"/>
      <c r="Y2433" s="71"/>
      <c r="Z2433" s="71"/>
      <c r="AA2433" s="71"/>
      <c r="AB2433" s="71"/>
      <c r="AC2433" s="71"/>
      <c r="AD2433" s="71"/>
      <c r="AE2433" s="71"/>
      <c r="AF2433" s="71"/>
      <c r="AG2433" s="71"/>
      <c r="AH2433" s="71"/>
      <c r="AI2433" s="71"/>
      <c r="AJ2433" s="71"/>
      <c r="AK2433" s="71"/>
      <c r="AL2433" s="71"/>
      <c r="AM2433" s="71"/>
      <c r="AN2433" s="71"/>
      <c r="AO2433" s="71"/>
      <c r="AP2433" s="71"/>
      <c r="AQ2433" s="71"/>
      <c r="AR2433" s="71"/>
      <c r="AS2433" s="71"/>
      <c r="AT2433" s="71"/>
      <c r="AU2433" s="71"/>
      <c r="AV2433" s="71"/>
      <c r="AW2433" s="71"/>
      <c r="AX2433" s="71"/>
      <c r="AY2433" s="71"/>
      <c r="AZ2433" s="71"/>
      <c r="BA2433" s="71"/>
      <c r="BB2433" s="71"/>
      <c r="BC2433" s="71"/>
      <c r="BD2433" s="71"/>
      <c r="BE2433" s="71"/>
      <c r="BF2433" s="71"/>
      <c r="BG2433" s="71"/>
      <c r="BH2433" s="71"/>
      <c r="BI2433" s="71"/>
      <c r="BJ2433" s="71"/>
      <c r="BK2433" s="71"/>
      <c r="BL2433" s="71"/>
      <c r="BM2433" s="71"/>
      <c r="BN2433" s="71"/>
      <c r="BO2433" s="71"/>
      <c r="BP2433" s="71"/>
      <c r="BQ2433" s="71"/>
      <c r="BR2433" s="71"/>
      <c r="BS2433" s="71"/>
      <c r="BT2433" s="71"/>
      <c r="BU2433" s="71"/>
      <c r="BV2433" s="71"/>
      <c r="BW2433" s="71"/>
      <c r="BX2433" s="71"/>
      <c r="BY2433" s="71"/>
      <c r="BZ2433" s="71"/>
      <c r="CA2433" s="71"/>
      <c r="CB2433" s="71"/>
      <c r="CC2433" s="71"/>
      <c r="CD2433" s="71"/>
      <c r="CE2433" s="71"/>
      <c r="CF2433" s="71"/>
      <c r="CG2433" s="71"/>
      <c r="CH2433" s="71"/>
      <c r="CI2433" s="71"/>
      <c r="CJ2433" s="71"/>
      <c r="CK2433" s="71"/>
      <c r="CL2433" s="71"/>
      <c r="CM2433" s="71"/>
      <c r="CN2433" s="71"/>
      <c r="CO2433" s="71"/>
      <c r="CP2433" s="71"/>
      <c r="CQ2433" s="71"/>
      <c r="CR2433" s="71"/>
      <c r="CS2433" s="71"/>
      <c r="CT2433" s="71"/>
      <c r="CU2433" s="71"/>
      <c r="CV2433" s="71"/>
      <c r="CW2433" s="71"/>
      <c r="CX2433" s="71"/>
      <c r="CY2433" s="71"/>
      <c r="CZ2433" s="71"/>
      <c r="DA2433" s="71"/>
      <c r="DB2433" s="71"/>
      <c r="DC2433" s="71"/>
      <c r="DD2433" s="71"/>
      <c r="DE2433" s="71"/>
      <c r="DF2433" s="71"/>
      <c r="DG2433" s="71"/>
      <c r="DH2433" s="71"/>
      <c r="DI2433" s="71"/>
      <c r="DJ2433" s="71"/>
      <c r="DK2433" s="71"/>
      <c r="DL2433" s="71"/>
      <c r="DM2433" s="71"/>
      <c r="DN2433" s="71"/>
      <c r="DO2433" s="71"/>
      <c r="DP2433" s="71"/>
      <c r="DQ2433" s="71"/>
      <c r="DR2433" s="71"/>
      <c r="DS2433" s="71"/>
      <c r="DT2433" s="71"/>
      <c r="DU2433" s="71"/>
      <c r="DV2433" s="71"/>
      <c r="DW2433" s="71"/>
      <c r="DX2433" s="71"/>
      <c r="DY2433" s="71"/>
      <c r="DZ2433" s="71"/>
      <c r="EA2433" s="71"/>
      <c r="EB2433" s="71"/>
      <c r="EC2433" s="71"/>
      <c r="ED2433" s="71"/>
      <c r="EE2433" s="71"/>
      <c r="EF2433" s="71"/>
      <c r="EG2433" s="71"/>
      <c r="EH2433" s="71"/>
      <c r="EI2433" s="71"/>
      <c r="EJ2433" s="71"/>
      <c r="EK2433" s="71"/>
      <c r="EL2433" s="71"/>
      <c r="EM2433" s="71"/>
      <c r="EN2433" s="71"/>
    </row>
    <row r="2434" spans="1:144" x14ac:dyDescent="0.25">
      <c r="A2434" s="326">
        <v>1</v>
      </c>
      <c r="B2434" s="326">
        <v>4391</v>
      </c>
      <c r="C2434" s="278" t="s">
        <v>342</v>
      </c>
      <c r="D2434" s="391">
        <v>998.1</v>
      </c>
      <c r="E2434" s="326" t="s">
        <v>68</v>
      </c>
      <c r="F2434" s="326">
        <v>2</v>
      </c>
      <c r="G2434" s="145"/>
      <c r="H2434" s="87" t="s">
        <v>66</v>
      </c>
      <c r="I2434" s="223">
        <f>SUM(I2435:I2438)</f>
        <v>3490355.7</v>
      </c>
      <c r="J2434" s="223">
        <f>SUM(J2435:J2438)</f>
        <v>3497</v>
      </c>
      <c r="K2434" s="223">
        <f>SUM(K2435:K2438)</f>
        <v>3497</v>
      </c>
    </row>
    <row r="2435" spans="1:144" x14ac:dyDescent="0.25">
      <c r="A2435" s="326"/>
      <c r="B2435" s="326"/>
      <c r="C2435" s="278"/>
      <c r="D2435" s="391"/>
      <c r="E2435" s="326"/>
      <c r="F2435" s="326"/>
      <c r="G2435" s="307" t="s">
        <v>70</v>
      </c>
      <c r="H2435" s="87" t="s">
        <v>67</v>
      </c>
      <c r="I2435" s="223">
        <f>D2434*K2435</f>
        <v>2905469.1</v>
      </c>
      <c r="J2435" s="223">
        <f>I2435/D2434</f>
        <v>2911</v>
      </c>
      <c r="K2435" s="230">
        <v>2911</v>
      </c>
    </row>
    <row r="2436" spans="1:144" x14ac:dyDescent="0.25">
      <c r="A2436" s="326"/>
      <c r="B2436" s="326"/>
      <c r="C2436" s="278"/>
      <c r="D2436" s="391"/>
      <c r="E2436" s="326"/>
      <c r="F2436" s="326"/>
      <c r="G2436" s="309"/>
      <c r="H2436" s="87" t="s">
        <v>69</v>
      </c>
      <c r="I2436" s="223">
        <f>D2434*K2436</f>
        <v>61882.2</v>
      </c>
      <c r="J2436" s="223">
        <f>I2436/D2434</f>
        <v>62</v>
      </c>
      <c r="K2436" s="230">
        <v>62</v>
      </c>
    </row>
    <row r="2437" spans="1:144" x14ac:dyDescent="0.25">
      <c r="A2437" s="326"/>
      <c r="B2437" s="326"/>
      <c r="C2437" s="278"/>
      <c r="D2437" s="391"/>
      <c r="E2437" s="326"/>
      <c r="F2437" s="326"/>
      <c r="G2437" s="307" t="s">
        <v>71</v>
      </c>
      <c r="H2437" s="87" t="s">
        <v>67</v>
      </c>
      <c r="I2437" s="223">
        <f>D2434*K2437</f>
        <v>512025.3</v>
      </c>
      <c r="J2437" s="223">
        <f>I2437/D2434</f>
        <v>513</v>
      </c>
      <c r="K2437" s="230">
        <v>513</v>
      </c>
    </row>
    <row r="2438" spans="1:144" x14ac:dyDescent="0.25">
      <c r="A2438" s="326"/>
      <c r="B2438" s="326"/>
      <c r="C2438" s="278"/>
      <c r="D2438" s="391"/>
      <c r="E2438" s="326"/>
      <c r="F2438" s="326"/>
      <c r="G2438" s="309"/>
      <c r="H2438" s="87" t="s">
        <v>69</v>
      </c>
      <c r="I2438" s="223">
        <f>D2434*K2438</f>
        <v>10979.1</v>
      </c>
      <c r="J2438" s="223">
        <f>I2438/D2434</f>
        <v>11</v>
      </c>
      <c r="K2438" s="230">
        <v>11</v>
      </c>
    </row>
    <row r="2439" spans="1:144" x14ac:dyDescent="0.25">
      <c r="A2439" s="369">
        <f>A2434+1</f>
        <v>2</v>
      </c>
      <c r="B2439" s="369">
        <v>4593</v>
      </c>
      <c r="C2439" s="371" t="s">
        <v>664</v>
      </c>
      <c r="D2439" s="384">
        <v>977.75</v>
      </c>
      <c r="E2439" s="369" t="s">
        <v>68</v>
      </c>
      <c r="F2439" s="369">
        <v>2</v>
      </c>
      <c r="G2439" s="145"/>
      <c r="H2439" s="87" t="s">
        <v>66</v>
      </c>
      <c r="I2439" s="223">
        <f>SUM(I2440:I2441)</f>
        <v>175017.25</v>
      </c>
      <c r="J2439" s="223">
        <f>SUM(J2440:J2441)</f>
        <v>179</v>
      </c>
      <c r="K2439" s="223">
        <f>SUM(K2440:K2441)</f>
        <v>179</v>
      </c>
    </row>
    <row r="2440" spans="1:144" ht="63" x14ac:dyDescent="0.25">
      <c r="A2440" s="370"/>
      <c r="B2440" s="370"/>
      <c r="C2440" s="372"/>
      <c r="D2440" s="385"/>
      <c r="E2440" s="370"/>
      <c r="F2440" s="370"/>
      <c r="G2440" s="148" t="s">
        <v>70</v>
      </c>
      <c r="H2440" s="149" t="s">
        <v>168</v>
      </c>
      <c r="I2440" s="223">
        <f>D2439*K2440</f>
        <v>133951.75</v>
      </c>
      <c r="J2440" s="223">
        <f>I2440/D2439</f>
        <v>137</v>
      </c>
      <c r="K2440" s="223">
        <f>116+21</f>
        <v>137</v>
      </c>
    </row>
    <row r="2441" spans="1:144" ht="63" x14ac:dyDescent="0.25">
      <c r="A2441" s="370"/>
      <c r="B2441" s="370"/>
      <c r="C2441" s="372"/>
      <c r="D2441" s="385"/>
      <c r="E2441" s="370"/>
      <c r="F2441" s="370"/>
      <c r="G2441" s="148" t="s">
        <v>71</v>
      </c>
      <c r="H2441" s="149" t="s">
        <v>168</v>
      </c>
      <c r="I2441" s="223">
        <f>D2439*K2441</f>
        <v>41065.5</v>
      </c>
      <c r="J2441" s="223">
        <f>I2441/D2439</f>
        <v>42</v>
      </c>
      <c r="K2441" s="223">
        <f>21+21</f>
        <v>42</v>
      </c>
    </row>
    <row r="2442" spans="1:144" x14ac:dyDescent="0.25">
      <c r="A2442" s="369">
        <f>A2439+1</f>
        <v>3</v>
      </c>
      <c r="B2442" s="369">
        <v>4394</v>
      </c>
      <c r="C2442" s="371" t="s">
        <v>665</v>
      </c>
      <c r="D2442" s="384">
        <v>1471.5</v>
      </c>
      <c r="E2442" s="369" t="s">
        <v>68</v>
      </c>
      <c r="F2442" s="369">
        <v>2</v>
      </c>
      <c r="G2442" s="145"/>
      <c r="H2442" s="87" t="s">
        <v>66</v>
      </c>
      <c r="I2442" s="223">
        <f>SUM(I2443:I2444)</f>
        <v>244269</v>
      </c>
      <c r="J2442" s="223">
        <f>SUM(J2443:J2444)</f>
        <v>166</v>
      </c>
      <c r="K2442" s="223">
        <f>SUM(K2443:K2444)</f>
        <v>166</v>
      </c>
    </row>
    <row r="2443" spans="1:144" ht="63" x14ac:dyDescent="0.25">
      <c r="A2443" s="370"/>
      <c r="B2443" s="370"/>
      <c r="C2443" s="372"/>
      <c r="D2443" s="385"/>
      <c r="E2443" s="370"/>
      <c r="F2443" s="370"/>
      <c r="G2443" s="148" t="s">
        <v>70</v>
      </c>
      <c r="H2443" s="149" t="s">
        <v>168</v>
      </c>
      <c r="I2443" s="223">
        <f>D2442*K2443</f>
        <v>201595.5</v>
      </c>
      <c r="J2443" s="223">
        <f>I2443/D2442</f>
        <v>137</v>
      </c>
      <c r="K2443" s="223">
        <f>116+21</f>
        <v>137</v>
      </c>
    </row>
    <row r="2444" spans="1:144" ht="63" x14ac:dyDescent="0.25">
      <c r="A2444" s="370"/>
      <c r="B2444" s="370"/>
      <c r="C2444" s="372"/>
      <c r="D2444" s="385"/>
      <c r="E2444" s="370"/>
      <c r="F2444" s="370"/>
      <c r="G2444" s="148" t="s">
        <v>71</v>
      </c>
      <c r="H2444" s="149" t="s">
        <v>168</v>
      </c>
      <c r="I2444" s="223">
        <f>D2442*K2444</f>
        <v>42673.5</v>
      </c>
      <c r="J2444" s="223">
        <f>I2444/D2442</f>
        <v>29</v>
      </c>
      <c r="K2444" s="223">
        <f>21+8</f>
        <v>29</v>
      </c>
    </row>
    <row r="2445" spans="1:144" x14ac:dyDescent="0.25">
      <c r="A2445" s="326">
        <f>A2442+1</f>
        <v>4</v>
      </c>
      <c r="B2445" s="326">
        <v>4552</v>
      </c>
      <c r="C2445" s="278" t="s">
        <v>343</v>
      </c>
      <c r="D2445" s="326">
        <v>301.45999999999998</v>
      </c>
      <c r="E2445" s="326" t="s">
        <v>68</v>
      </c>
      <c r="F2445" s="326">
        <v>2</v>
      </c>
      <c r="G2445" s="307" t="s">
        <v>65</v>
      </c>
      <c r="H2445" s="87" t="s">
        <v>66</v>
      </c>
      <c r="I2445" s="223">
        <f>SUM(I2446:I2447)</f>
        <v>2317624.48</v>
      </c>
      <c r="J2445" s="223">
        <f>SUM(J2446:J2447)</f>
        <v>7688</v>
      </c>
      <c r="K2445" s="223">
        <f>SUM(K2446:K2447)</f>
        <v>7688</v>
      </c>
    </row>
    <row r="2446" spans="1:144" ht="15.75" customHeight="1" x14ac:dyDescent="0.25">
      <c r="A2446" s="326"/>
      <c r="B2446" s="326"/>
      <c r="C2446" s="278"/>
      <c r="D2446" s="326"/>
      <c r="E2446" s="326"/>
      <c r="F2446" s="326"/>
      <c r="G2446" s="308"/>
      <c r="H2446" s="87" t="s">
        <v>67</v>
      </c>
      <c r="I2446" s="223">
        <f>D2445*K2446</f>
        <v>2269089.42</v>
      </c>
      <c r="J2446" s="223">
        <f>I2446/D2445</f>
        <v>7527</v>
      </c>
      <c r="K2446" s="230">
        <v>7527</v>
      </c>
    </row>
    <row r="2447" spans="1:144" x14ac:dyDescent="0.25">
      <c r="A2447" s="326"/>
      <c r="B2447" s="326"/>
      <c r="C2447" s="278"/>
      <c r="D2447" s="326"/>
      <c r="E2447" s="326"/>
      <c r="F2447" s="326"/>
      <c r="G2447" s="309"/>
      <c r="H2447" s="87" t="s">
        <v>69</v>
      </c>
      <c r="I2447" s="223">
        <f>D2445*K2447</f>
        <v>48535.06</v>
      </c>
      <c r="J2447" s="223">
        <f>I2447/D2445</f>
        <v>161</v>
      </c>
      <c r="K2447" s="230">
        <v>161</v>
      </c>
    </row>
    <row r="2448" spans="1:144" x14ac:dyDescent="0.25">
      <c r="A2448" s="326">
        <f>A2445+1</f>
        <v>5</v>
      </c>
      <c r="B2448" s="326">
        <v>4486</v>
      </c>
      <c r="C2448" s="278" t="s">
        <v>345</v>
      </c>
      <c r="D2448" s="391">
        <v>285.2</v>
      </c>
      <c r="E2448" s="326" t="s">
        <v>68</v>
      </c>
      <c r="F2448" s="326">
        <v>2</v>
      </c>
      <c r="G2448" s="145"/>
      <c r="H2448" s="87" t="s">
        <v>66</v>
      </c>
      <c r="I2448" s="223">
        <f>SUM(I2449:I2452)</f>
        <v>997344.4</v>
      </c>
      <c r="J2448" s="223">
        <f>SUM(J2449:J2452)</f>
        <v>3497</v>
      </c>
      <c r="K2448" s="223">
        <f>SUM(K2449:K2452)</f>
        <v>3497</v>
      </c>
    </row>
    <row r="2449" spans="1:11" x14ac:dyDescent="0.25">
      <c r="A2449" s="326"/>
      <c r="B2449" s="326"/>
      <c r="C2449" s="278"/>
      <c r="D2449" s="391"/>
      <c r="E2449" s="326"/>
      <c r="F2449" s="326"/>
      <c r="G2449" s="307" t="s">
        <v>70</v>
      </c>
      <c r="H2449" s="87" t="s">
        <v>67</v>
      </c>
      <c r="I2449" s="223">
        <f>D2448*K2449</f>
        <v>830217.2</v>
      </c>
      <c r="J2449" s="223">
        <f>I2449/D2448</f>
        <v>2911</v>
      </c>
      <c r="K2449" s="230">
        <v>2911</v>
      </c>
    </row>
    <row r="2450" spans="1:11" x14ac:dyDescent="0.25">
      <c r="A2450" s="326"/>
      <c r="B2450" s="326"/>
      <c r="C2450" s="278"/>
      <c r="D2450" s="391"/>
      <c r="E2450" s="326"/>
      <c r="F2450" s="326"/>
      <c r="G2450" s="309"/>
      <c r="H2450" s="87" t="s">
        <v>69</v>
      </c>
      <c r="I2450" s="223">
        <f>D2448*K2450</f>
        <v>17682.400000000001</v>
      </c>
      <c r="J2450" s="223">
        <f>I2450/D2448</f>
        <v>62</v>
      </c>
      <c r="K2450" s="230">
        <v>62</v>
      </c>
    </row>
    <row r="2451" spans="1:11" x14ac:dyDescent="0.25">
      <c r="A2451" s="326"/>
      <c r="B2451" s="326"/>
      <c r="C2451" s="278"/>
      <c r="D2451" s="391"/>
      <c r="E2451" s="326"/>
      <c r="F2451" s="326"/>
      <c r="G2451" s="307" t="s">
        <v>71</v>
      </c>
      <c r="H2451" s="87" t="s">
        <v>67</v>
      </c>
      <c r="I2451" s="223">
        <f>D2448*K2451</f>
        <v>146307.6</v>
      </c>
      <c r="J2451" s="223">
        <f>I2451/D2448</f>
        <v>513</v>
      </c>
      <c r="K2451" s="230">
        <v>513</v>
      </c>
    </row>
    <row r="2452" spans="1:11" x14ac:dyDescent="0.25">
      <c r="A2452" s="326"/>
      <c r="B2452" s="326"/>
      <c r="C2452" s="278"/>
      <c r="D2452" s="391"/>
      <c r="E2452" s="326"/>
      <c r="F2452" s="326"/>
      <c r="G2452" s="309"/>
      <c r="H2452" s="87" t="s">
        <v>69</v>
      </c>
      <c r="I2452" s="223">
        <f>D2448*K2452</f>
        <v>3137.2</v>
      </c>
      <c r="J2452" s="223">
        <f>I2452/D2448</f>
        <v>11</v>
      </c>
      <c r="K2452" s="230">
        <v>11</v>
      </c>
    </row>
    <row r="2453" spans="1:11" x14ac:dyDescent="0.25">
      <c r="A2453" s="326">
        <f t="shared" ref="A2453" si="84">A2448+1</f>
        <v>6</v>
      </c>
      <c r="B2453" s="326">
        <v>4616</v>
      </c>
      <c r="C2453" s="278" t="s">
        <v>346</v>
      </c>
      <c r="D2453" s="326">
        <v>404.18</v>
      </c>
      <c r="E2453" s="326" t="s">
        <v>68</v>
      </c>
      <c r="F2453" s="326">
        <v>2</v>
      </c>
      <c r="G2453" s="307" t="s">
        <v>65</v>
      </c>
      <c r="H2453" s="87" t="s">
        <v>66</v>
      </c>
      <c r="I2453" s="223">
        <f>SUM(I2454:I2455)</f>
        <v>3107335.84</v>
      </c>
      <c r="J2453" s="223">
        <f>SUM(J2454:J2455)</f>
        <v>7688</v>
      </c>
      <c r="K2453" s="223">
        <f>SUM(K2454:K2455)</f>
        <v>7688</v>
      </c>
    </row>
    <row r="2454" spans="1:11" ht="15.75" customHeight="1" x14ac:dyDescent="0.25">
      <c r="A2454" s="326"/>
      <c r="B2454" s="326"/>
      <c r="C2454" s="278"/>
      <c r="D2454" s="326"/>
      <c r="E2454" s="326"/>
      <c r="F2454" s="326"/>
      <c r="G2454" s="308"/>
      <c r="H2454" s="87" t="s">
        <v>67</v>
      </c>
      <c r="I2454" s="223">
        <f>D2453*K2454</f>
        <v>3042262.86</v>
      </c>
      <c r="J2454" s="223">
        <f>I2454/D2453</f>
        <v>7527</v>
      </c>
      <c r="K2454" s="230">
        <v>7527</v>
      </c>
    </row>
    <row r="2455" spans="1:11" x14ac:dyDescent="0.25">
      <c r="A2455" s="326"/>
      <c r="B2455" s="326"/>
      <c r="C2455" s="278"/>
      <c r="D2455" s="326"/>
      <c r="E2455" s="326"/>
      <c r="F2455" s="326"/>
      <c r="G2455" s="309"/>
      <c r="H2455" s="87" t="s">
        <v>69</v>
      </c>
      <c r="I2455" s="223">
        <f>D2453*K2455</f>
        <v>65072.98</v>
      </c>
      <c r="J2455" s="223">
        <f>I2455/D2453</f>
        <v>161</v>
      </c>
      <c r="K2455" s="230">
        <v>161</v>
      </c>
    </row>
    <row r="2456" spans="1:11" x14ac:dyDescent="0.25">
      <c r="A2456" s="326">
        <f>A2453+1</f>
        <v>7</v>
      </c>
      <c r="B2456" s="326">
        <v>4399</v>
      </c>
      <c r="C2456" s="278" t="s">
        <v>431</v>
      </c>
      <c r="D2456" s="391">
        <v>351</v>
      </c>
      <c r="E2456" s="326" t="s">
        <v>68</v>
      </c>
      <c r="F2456" s="326">
        <v>2</v>
      </c>
      <c r="G2456" s="307" t="s">
        <v>65</v>
      </c>
      <c r="H2456" s="87" t="s">
        <v>66</v>
      </c>
      <c r="I2456" s="223">
        <f>SUM(I2457:I2458)</f>
        <v>2698488</v>
      </c>
      <c r="J2456" s="223">
        <f>SUM(J2457:J2458)</f>
        <v>7688</v>
      </c>
      <c r="K2456" s="223">
        <f t="shared" ref="K2456" si="85">SUM(K2457:K2458)</f>
        <v>7688</v>
      </c>
    </row>
    <row r="2457" spans="1:11" ht="15.75" customHeight="1" x14ac:dyDescent="0.25">
      <c r="A2457" s="326"/>
      <c r="B2457" s="326"/>
      <c r="C2457" s="278"/>
      <c r="D2457" s="391"/>
      <c r="E2457" s="326"/>
      <c r="F2457" s="326"/>
      <c r="G2457" s="308"/>
      <c r="H2457" s="87" t="s">
        <v>67</v>
      </c>
      <c r="I2457" s="223">
        <f>D2456*K2457</f>
        <v>2641977</v>
      </c>
      <c r="J2457" s="223">
        <f>I2457/D2456</f>
        <v>7527</v>
      </c>
      <c r="K2457" s="230">
        <v>7527</v>
      </c>
    </row>
    <row r="2458" spans="1:11" x14ac:dyDescent="0.25">
      <c r="A2458" s="326"/>
      <c r="B2458" s="326"/>
      <c r="C2458" s="278"/>
      <c r="D2458" s="391"/>
      <c r="E2458" s="326"/>
      <c r="F2458" s="326"/>
      <c r="G2458" s="309"/>
      <c r="H2458" s="87" t="s">
        <v>69</v>
      </c>
      <c r="I2458" s="223">
        <f>D2456*K2458</f>
        <v>56511</v>
      </c>
      <c r="J2458" s="223">
        <f>I2458/D2456</f>
        <v>161</v>
      </c>
      <c r="K2458" s="230">
        <v>161</v>
      </c>
    </row>
    <row r="2459" spans="1:11" x14ac:dyDescent="0.25">
      <c r="A2459" s="369">
        <f>A2456+1</f>
        <v>8</v>
      </c>
      <c r="B2459" s="369">
        <v>4517</v>
      </c>
      <c r="C2459" s="371" t="s">
        <v>666</v>
      </c>
      <c r="D2459" s="384">
        <v>714</v>
      </c>
      <c r="E2459" s="369" t="s">
        <v>68</v>
      </c>
      <c r="F2459" s="369">
        <v>2</v>
      </c>
      <c r="G2459" s="145"/>
      <c r="H2459" s="87" t="s">
        <v>66</v>
      </c>
      <c r="I2459" s="223">
        <f>SUM(I2460:I2462)</f>
        <v>157080</v>
      </c>
      <c r="J2459" s="223">
        <f>SUM(J2460:J2462)</f>
        <v>220</v>
      </c>
      <c r="K2459" s="223">
        <f>SUM(K2460:K2462)</f>
        <v>220</v>
      </c>
    </row>
    <row r="2460" spans="1:11" ht="63" x14ac:dyDescent="0.25">
      <c r="A2460" s="370"/>
      <c r="B2460" s="370"/>
      <c r="C2460" s="372"/>
      <c r="D2460" s="385"/>
      <c r="E2460" s="370"/>
      <c r="F2460" s="370"/>
      <c r="G2460" s="148" t="s">
        <v>70</v>
      </c>
      <c r="H2460" s="149" t="s">
        <v>168</v>
      </c>
      <c r="I2460" s="223">
        <f>D2459*K2460</f>
        <v>97818</v>
      </c>
      <c r="J2460" s="223">
        <f>I2460/D2459</f>
        <v>137</v>
      </c>
      <c r="K2460" s="223">
        <f>116+21</f>
        <v>137</v>
      </c>
    </row>
    <row r="2461" spans="1:11" ht="63" x14ac:dyDescent="0.25">
      <c r="A2461" s="370"/>
      <c r="B2461" s="370"/>
      <c r="C2461" s="372"/>
      <c r="D2461" s="385"/>
      <c r="E2461" s="370"/>
      <c r="F2461" s="370"/>
      <c r="G2461" s="148" t="s">
        <v>71</v>
      </c>
      <c r="H2461" s="149" t="s">
        <v>168</v>
      </c>
      <c r="I2461" s="223">
        <f>D2459*K2461</f>
        <v>29988</v>
      </c>
      <c r="J2461" s="223">
        <f>I2461/D2459</f>
        <v>42</v>
      </c>
      <c r="K2461" s="223">
        <f>21+21</f>
        <v>42</v>
      </c>
    </row>
    <row r="2462" spans="1:11" ht="63" x14ac:dyDescent="0.25">
      <c r="A2462" s="370"/>
      <c r="B2462" s="370"/>
      <c r="C2462" s="372"/>
      <c r="D2462" s="385"/>
      <c r="E2462" s="370"/>
      <c r="F2462" s="370"/>
      <c r="G2462" s="148" t="s">
        <v>72</v>
      </c>
      <c r="H2462" s="149" t="s">
        <v>168</v>
      </c>
      <c r="I2462" s="223">
        <f>K2462*D2459</f>
        <v>29274</v>
      </c>
      <c r="J2462" s="223">
        <f>I2462/D2459</f>
        <v>41</v>
      </c>
      <c r="K2462" s="223">
        <f>22+19</f>
        <v>41</v>
      </c>
    </row>
    <row r="2463" spans="1:11" x14ac:dyDescent="0.25">
      <c r="A2463" s="369">
        <f>A2459+1</f>
        <v>9</v>
      </c>
      <c r="B2463" s="369">
        <v>4519</v>
      </c>
      <c r="C2463" s="371" t="s">
        <v>667</v>
      </c>
      <c r="D2463" s="384">
        <v>493.4</v>
      </c>
      <c r="E2463" s="369" t="s">
        <v>68</v>
      </c>
      <c r="F2463" s="369">
        <v>2</v>
      </c>
      <c r="G2463" s="145"/>
      <c r="H2463" s="87" t="s">
        <v>66</v>
      </c>
      <c r="I2463" s="223">
        <f>SUM(I2464:I2465)</f>
        <v>88318.6</v>
      </c>
      <c r="J2463" s="223">
        <f>SUM(J2464:J2465)</f>
        <v>179</v>
      </c>
      <c r="K2463" s="223">
        <f>SUM(K2464:K2465)</f>
        <v>179</v>
      </c>
    </row>
    <row r="2464" spans="1:11" ht="63" x14ac:dyDescent="0.25">
      <c r="A2464" s="370"/>
      <c r="B2464" s="370"/>
      <c r="C2464" s="372"/>
      <c r="D2464" s="385"/>
      <c r="E2464" s="370"/>
      <c r="F2464" s="370"/>
      <c r="G2464" s="148" t="s">
        <v>70</v>
      </c>
      <c r="H2464" s="149" t="s">
        <v>168</v>
      </c>
      <c r="I2464" s="223">
        <f>D2463*K2464</f>
        <v>67595.8</v>
      </c>
      <c r="J2464" s="223">
        <f>I2464/D2463</f>
        <v>137</v>
      </c>
      <c r="K2464" s="223">
        <f>116+21</f>
        <v>137</v>
      </c>
    </row>
    <row r="2465" spans="1:11" ht="63" x14ac:dyDescent="0.25">
      <c r="A2465" s="370"/>
      <c r="B2465" s="370"/>
      <c r="C2465" s="372"/>
      <c r="D2465" s="385"/>
      <c r="E2465" s="370"/>
      <c r="F2465" s="370"/>
      <c r="G2465" s="148" t="s">
        <v>71</v>
      </c>
      <c r="H2465" s="149" t="s">
        <v>168</v>
      </c>
      <c r="I2465" s="223">
        <f>D2463*K2465</f>
        <v>20722.8</v>
      </c>
      <c r="J2465" s="223">
        <f>I2465/D2463</f>
        <v>42</v>
      </c>
      <c r="K2465" s="223">
        <f>21+21</f>
        <v>42</v>
      </c>
    </row>
    <row r="2466" spans="1:11" x14ac:dyDescent="0.25">
      <c r="A2466" s="326">
        <f>A2463+1</f>
        <v>10</v>
      </c>
      <c r="B2466" s="326">
        <v>4437</v>
      </c>
      <c r="C2466" s="278" t="s">
        <v>347</v>
      </c>
      <c r="D2466" s="391">
        <v>965.1</v>
      </c>
      <c r="E2466" s="326" t="s">
        <v>68</v>
      </c>
      <c r="F2466" s="326">
        <v>2</v>
      </c>
      <c r="G2466" s="307" t="s">
        <v>65</v>
      </c>
      <c r="H2466" s="87" t="s">
        <v>66</v>
      </c>
      <c r="I2466" s="223">
        <f>SUM(I2467:I2468)</f>
        <v>7419688.7999999998</v>
      </c>
      <c r="J2466" s="223">
        <f>SUM(J2467:J2468)</f>
        <v>7688</v>
      </c>
      <c r="K2466" s="223">
        <f t="shared" ref="K2466" si="86">SUM(K2467:K2468)</f>
        <v>7688</v>
      </c>
    </row>
    <row r="2467" spans="1:11" ht="15.75" customHeight="1" x14ac:dyDescent="0.25">
      <c r="A2467" s="326"/>
      <c r="B2467" s="326"/>
      <c r="C2467" s="278"/>
      <c r="D2467" s="391"/>
      <c r="E2467" s="326"/>
      <c r="F2467" s="326"/>
      <c r="G2467" s="308"/>
      <c r="H2467" s="87" t="s">
        <v>67</v>
      </c>
      <c r="I2467" s="223">
        <f>D2466*K2467</f>
        <v>7264307.7000000002</v>
      </c>
      <c r="J2467" s="223">
        <f>I2467/D2466</f>
        <v>7527</v>
      </c>
      <c r="K2467" s="230">
        <v>7527</v>
      </c>
    </row>
    <row r="2468" spans="1:11" x14ac:dyDescent="0.25">
      <c r="A2468" s="326"/>
      <c r="B2468" s="326"/>
      <c r="C2468" s="278"/>
      <c r="D2468" s="391"/>
      <c r="E2468" s="326"/>
      <c r="F2468" s="326"/>
      <c r="G2468" s="309"/>
      <c r="H2468" s="87" t="s">
        <v>69</v>
      </c>
      <c r="I2468" s="223">
        <f>D2466*K2468</f>
        <v>155381.1</v>
      </c>
      <c r="J2468" s="223">
        <f>I2468/D2466</f>
        <v>161</v>
      </c>
      <c r="K2468" s="230">
        <v>161</v>
      </c>
    </row>
    <row r="2469" spans="1:11" x14ac:dyDescent="0.25">
      <c r="A2469" s="326">
        <f>A2466+1</f>
        <v>11</v>
      </c>
      <c r="B2469" s="326">
        <v>4438</v>
      </c>
      <c r="C2469" s="278" t="s">
        <v>662</v>
      </c>
      <c r="D2469" s="391">
        <v>986.2</v>
      </c>
      <c r="E2469" s="326" t="s">
        <v>68</v>
      </c>
      <c r="F2469" s="326">
        <v>2</v>
      </c>
      <c r="G2469" s="310" t="s">
        <v>65</v>
      </c>
      <c r="H2469" s="87" t="s">
        <v>66</v>
      </c>
      <c r="I2469" s="223">
        <f>SUM(I2470:I2471)</f>
        <v>7581905.5999999996</v>
      </c>
      <c r="J2469" s="223">
        <f>SUM(J2470:J2471)</f>
        <v>7688</v>
      </c>
      <c r="K2469" s="223">
        <f>SUM(K2470:K2471)</f>
        <v>7688</v>
      </c>
    </row>
    <row r="2470" spans="1:11" x14ac:dyDescent="0.25">
      <c r="A2470" s="326"/>
      <c r="B2470" s="326"/>
      <c r="C2470" s="278"/>
      <c r="D2470" s="391"/>
      <c r="E2470" s="326"/>
      <c r="F2470" s="326"/>
      <c r="G2470" s="310"/>
      <c r="H2470" s="87" t="s">
        <v>67</v>
      </c>
      <c r="I2470" s="223">
        <f>K2470*D2469</f>
        <v>7423127.4000000004</v>
      </c>
      <c r="J2470" s="223">
        <f>I2470/D2469</f>
        <v>7527</v>
      </c>
      <c r="K2470" s="230">
        <v>7527</v>
      </c>
    </row>
    <row r="2471" spans="1:11" x14ac:dyDescent="0.25">
      <c r="A2471" s="326"/>
      <c r="B2471" s="326"/>
      <c r="C2471" s="278"/>
      <c r="D2471" s="391"/>
      <c r="E2471" s="326"/>
      <c r="F2471" s="326"/>
      <c r="G2471" s="310"/>
      <c r="H2471" s="87" t="s">
        <v>69</v>
      </c>
      <c r="I2471" s="223">
        <f>K2471*D2469</f>
        <v>158778.20000000001</v>
      </c>
      <c r="J2471" s="223">
        <f>I2471/D2469</f>
        <v>161</v>
      </c>
      <c r="K2471" s="230">
        <v>161</v>
      </c>
    </row>
    <row r="2472" spans="1:11" x14ac:dyDescent="0.25">
      <c r="A2472" s="369">
        <f>A2469+1</f>
        <v>12</v>
      </c>
      <c r="B2472" s="369">
        <v>4444</v>
      </c>
      <c r="C2472" s="371" t="s">
        <v>668</v>
      </c>
      <c r="D2472" s="384">
        <v>725.1</v>
      </c>
      <c r="E2472" s="369" t="s">
        <v>68</v>
      </c>
      <c r="F2472" s="369">
        <v>2</v>
      </c>
      <c r="G2472" s="145"/>
      <c r="H2472" s="87" t="s">
        <v>66</v>
      </c>
      <c r="I2472" s="223">
        <f>SUM(I2473:I2475)</f>
        <v>159522</v>
      </c>
      <c r="J2472" s="223">
        <f>SUM(J2473:J2475)</f>
        <v>220</v>
      </c>
      <c r="K2472" s="223">
        <f>SUM(K2473:K2475)</f>
        <v>220</v>
      </c>
    </row>
    <row r="2473" spans="1:11" ht="63" x14ac:dyDescent="0.25">
      <c r="A2473" s="370"/>
      <c r="B2473" s="370"/>
      <c r="C2473" s="372"/>
      <c r="D2473" s="385"/>
      <c r="E2473" s="370"/>
      <c r="F2473" s="370"/>
      <c r="G2473" s="148" t="s">
        <v>70</v>
      </c>
      <c r="H2473" s="149" t="s">
        <v>168</v>
      </c>
      <c r="I2473" s="223">
        <f>D2472*K2473</f>
        <v>99338.7</v>
      </c>
      <c r="J2473" s="223">
        <f>I2473/D2472</f>
        <v>137</v>
      </c>
      <c r="K2473" s="223">
        <f>116+21</f>
        <v>137</v>
      </c>
    </row>
    <row r="2474" spans="1:11" ht="63" x14ac:dyDescent="0.25">
      <c r="A2474" s="370"/>
      <c r="B2474" s="370"/>
      <c r="C2474" s="372"/>
      <c r="D2474" s="385"/>
      <c r="E2474" s="370"/>
      <c r="F2474" s="370"/>
      <c r="G2474" s="148" t="s">
        <v>71</v>
      </c>
      <c r="H2474" s="149" t="s">
        <v>168</v>
      </c>
      <c r="I2474" s="223">
        <f>D2472*K2474</f>
        <v>30454.2</v>
      </c>
      <c r="J2474" s="223">
        <f>I2474/D2472</f>
        <v>42</v>
      </c>
      <c r="K2474" s="223">
        <f>21+21</f>
        <v>42</v>
      </c>
    </row>
    <row r="2475" spans="1:11" ht="63" x14ac:dyDescent="0.25">
      <c r="A2475" s="370"/>
      <c r="B2475" s="370"/>
      <c r="C2475" s="372"/>
      <c r="D2475" s="385"/>
      <c r="E2475" s="370"/>
      <c r="F2475" s="370"/>
      <c r="G2475" s="148" t="s">
        <v>72</v>
      </c>
      <c r="H2475" s="149" t="s">
        <v>168</v>
      </c>
      <c r="I2475" s="223">
        <f>K2475*D2472</f>
        <v>29729.1</v>
      </c>
      <c r="J2475" s="223">
        <f>I2475/D2472</f>
        <v>41</v>
      </c>
      <c r="K2475" s="223">
        <f>22+19</f>
        <v>41</v>
      </c>
    </row>
    <row r="2476" spans="1:11" x14ac:dyDescent="0.25">
      <c r="A2476" s="369">
        <f>A2472+1</f>
        <v>13</v>
      </c>
      <c r="B2476" s="369">
        <v>4602</v>
      </c>
      <c r="C2476" s="371" t="s">
        <v>669</v>
      </c>
      <c r="D2476" s="384">
        <v>708.47</v>
      </c>
      <c r="E2476" s="369" t="s">
        <v>68</v>
      </c>
      <c r="F2476" s="369">
        <v>2</v>
      </c>
      <c r="G2476" s="145"/>
      <c r="H2476" s="87" t="s">
        <v>66</v>
      </c>
      <c r="I2476" s="223">
        <f>SUM(I2477:I2479)</f>
        <v>155863.4</v>
      </c>
      <c r="J2476" s="223">
        <f>SUM(J2477:J2479)</f>
        <v>220</v>
      </c>
      <c r="K2476" s="223">
        <f>SUM(K2477:K2479)</f>
        <v>220</v>
      </c>
    </row>
    <row r="2477" spans="1:11" ht="63" x14ac:dyDescent="0.25">
      <c r="A2477" s="370"/>
      <c r="B2477" s="370"/>
      <c r="C2477" s="372"/>
      <c r="D2477" s="385"/>
      <c r="E2477" s="370"/>
      <c r="F2477" s="370"/>
      <c r="G2477" s="148" t="s">
        <v>70</v>
      </c>
      <c r="H2477" s="149" t="s">
        <v>168</v>
      </c>
      <c r="I2477" s="223">
        <f>D2476*K2477</f>
        <v>97060.39</v>
      </c>
      <c r="J2477" s="223">
        <f>I2477/D2476</f>
        <v>137</v>
      </c>
      <c r="K2477" s="223">
        <f>116+21</f>
        <v>137</v>
      </c>
    </row>
    <row r="2478" spans="1:11" ht="63" x14ac:dyDescent="0.25">
      <c r="A2478" s="370"/>
      <c r="B2478" s="370"/>
      <c r="C2478" s="372"/>
      <c r="D2478" s="385"/>
      <c r="E2478" s="370"/>
      <c r="F2478" s="370"/>
      <c r="G2478" s="148" t="s">
        <v>71</v>
      </c>
      <c r="H2478" s="149" t="s">
        <v>168</v>
      </c>
      <c r="I2478" s="223">
        <f>D2476*K2478</f>
        <v>29755.74</v>
      </c>
      <c r="J2478" s="223">
        <f>I2478/D2476</f>
        <v>42</v>
      </c>
      <c r="K2478" s="223">
        <f>21+21</f>
        <v>42</v>
      </c>
    </row>
    <row r="2479" spans="1:11" ht="63" x14ac:dyDescent="0.25">
      <c r="A2479" s="370"/>
      <c r="B2479" s="370"/>
      <c r="C2479" s="372"/>
      <c r="D2479" s="385"/>
      <c r="E2479" s="370"/>
      <c r="F2479" s="370"/>
      <c r="G2479" s="148" t="s">
        <v>72</v>
      </c>
      <c r="H2479" s="149" t="s">
        <v>168</v>
      </c>
      <c r="I2479" s="223">
        <f>K2479*D2476</f>
        <v>29047.27</v>
      </c>
      <c r="J2479" s="223">
        <f>I2479/D2476</f>
        <v>41</v>
      </c>
      <c r="K2479" s="223">
        <f>22+19</f>
        <v>41</v>
      </c>
    </row>
    <row r="2480" spans="1:11" x14ac:dyDescent="0.25">
      <c r="A2480" s="326">
        <f>A2476+1</f>
        <v>14</v>
      </c>
      <c r="B2480" s="326">
        <v>4481</v>
      </c>
      <c r="C2480" s="278" t="s">
        <v>351</v>
      </c>
      <c r="D2480" s="391">
        <v>388.18</v>
      </c>
      <c r="E2480" s="326" t="s">
        <v>68</v>
      </c>
      <c r="F2480" s="326">
        <v>2</v>
      </c>
      <c r="G2480" s="307" t="s">
        <v>65</v>
      </c>
      <c r="H2480" s="87" t="s">
        <v>66</v>
      </c>
      <c r="I2480" s="223">
        <f>SUM(I2481:I2482)</f>
        <v>2984327.84</v>
      </c>
      <c r="J2480" s="223">
        <f>SUM(J2481:J2482)</f>
        <v>7688</v>
      </c>
      <c r="K2480" s="223">
        <f t="shared" ref="K2480" si="87">SUM(K2481:K2482)</f>
        <v>7688</v>
      </c>
    </row>
    <row r="2481" spans="1:142" ht="15.75" customHeight="1" x14ac:dyDescent="0.25">
      <c r="A2481" s="326"/>
      <c r="B2481" s="326"/>
      <c r="C2481" s="278"/>
      <c r="D2481" s="391"/>
      <c r="E2481" s="326"/>
      <c r="F2481" s="326"/>
      <c r="G2481" s="308"/>
      <c r="H2481" s="87" t="s">
        <v>67</v>
      </c>
      <c r="I2481" s="223">
        <f>D2480*K2481</f>
        <v>2921830.86</v>
      </c>
      <c r="J2481" s="223">
        <f>I2481/D2480</f>
        <v>7527</v>
      </c>
      <c r="K2481" s="230">
        <v>7527</v>
      </c>
    </row>
    <row r="2482" spans="1:142" x14ac:dyDescent="0.25">
      <c r="A2482" s="326"/>
      <c r="B2482" s="326"/>
      <c r="C2482" s="278"/>
      <c r="D2482" s="391"/>
      <c r="E2482" s="326"/>
      <c r="F2482" s="326"/>
      <c r="G2482" s="309"/>
      <c r="H2482" s="87" t="s">
        <v>69</v>
      </c>
      <c r="I2482" s="223">
        <f>D2480*K2482</f>
        <v>62496.98</v>
      </c>
      <c r="J2482" s="223">
        <f>I2482/D2480</f>
        <v>161</v>
      </c>
      <c r="K2482" s="230">
        <v>161</v>
      </c>
    </row>
    <row r="2483" spans="1:142" x14ac:dyDescent="0.25">
      <c r="A2483" s="369">
        <f>A2480+1</f>
        <v>15</v>
      </c>
      <c r="B2483" s="369">
        <v>4459</v>
      </c>
      <c r="C2483" s="371" t="s">
        <v>670</v>
      </c>
      <c r="D2483" s="384">
        <v>631.03</v>
      </c>
      <c r="E2483" s="369" t="s">
        <v>68</v>
      </c>
      <c r="F2483" s="369">
        <v>2</v>
      </c>
      <c r="G2483" s="145"/>
      <c r="H2483" s="87" t="s">
        <v>66</v>
      </c>
      <c r="I2483" s="223">
        <f>SUM(I2484:I2485)</f>
        <v>112954.37</v>
      </c>
      <c r="J2483" s="223">
        <f>SUM(J2484:J2485)</f>
        <v>179</v>
      </c>
      <c r="K2483" s="223">
        <f>SUM(K2484:K2485)</f>
        <v>179</v>
      </c>
    </row>
    <row r="2484" spans="1:142" ht="63" x14ac:dyDescent="0.25">
      <c r="A2484" s="370"/>
      <c r="B2484" s="370"/>
      <c r="C2484" s="372"/>
      <c r="D2484" s="385"/>
      <c r="E2484" s="370"/>
      <c r="F2484" s="370"/>
      <c r="G2484" s="148" t="s">
        <v>70</v>
      </c>
      <c r="H2484" s="149" t="s">
        <v>168</v>
      </c>
      <c r="I2484" s="223">
        <f>D2483*K2484</f>
        <v>86451.11</v>
      </c>
      <c r="J2484" s="223">
        <f>I2484/D2483</f>
        <v>137</v>
      </c>
      <c r="K2484" s="223">
        <f>116+21</f>
        <v>137</v>
      </c>
    </row>
    <row r="2485" spans="1:142" ht="63" x14ac:dyDescent="0.25">
      <c r="A2485" s="370"/>
      <c r="B2485" s="370"/>
      <c r="C2485" s="372"/>
      <c r="D2485" s="385"/>
      <c r="E2485" s="370"/>
      <c r="F2485" s="370"/>
      <c r="G2485" s="148" t="s">
        <v>71</v>
      </c>
      <c r="H2485" s="149" t="s">
        <v>168</v>
      </c>
      <c r="I2485" s="223">
        <f>D2483*K2485</f>
        <v>26503.26</v>
      </c>
      <c r="J2485" s="223">
        <f>I2485/D2483</f>
        <v>42</v>
      </c>
      <c r="K2485" s="223">
        <f>21+21</f>
        <v>42</v>
      </c>
    </row>
    <row r="2486" spans="1:142" x14ac:dyDescent="0.25">
      <c r="A2486" s="326">
        <f>A2483+1</f>
        <v>16</v>
      </c>
      <c r="B2486" s="326">
        <v>4624</v>
      </c>
      <c r="C2486" s="278" t="s">
        <v>663</v>
      </c>
      <c r="D2486" s="391">
        <v>218.4</v>
      </c>
      <c r="E2486" s="326" t="s">
        <v>68</v>
      </c>
      <c r="F2486" s="326">
        <v>2</v>
      </c>
      <c r="G2486" s="310" t="s">
        <v>65</v>
      </c>
      <c r="H2486" s="87" t="s">
        <v>66</v>
      </c>
      <c r="I2486" s="223">
        <f>SUM(I2487:I2488)</f>
        <v>1679059.2</v>
      </c>
      <c r="J2486" s="223">
        <f>SUM(J2487:J2488)</f>
        <v>7688</v>
      </c>
      <c r="K2486" s="223">
        <f>SUM(K2487:K2488)</f>
        <v>7688</v>
      </c>
    </row>
    <row r="2487" spans="1:142" x14ac:dyDescent="0.25">
      <c r="A2487" s="326"/>
      <c r="B2487" s="326"/>
      <c r="C2487" s="278"/>
      <c r="D2487" s="391"/>
      <c r="E2487" s="326"/>
      <c r="F2487" s="326"/>
      <c r="G2487" s="310"/>
      <c r="H2487" s="87" t="s">
        <v>67</v>
      </c>
      <c r="I2487" s="223">
        <f>K2487*D2486</f>
        <v>1643896.8</v>
      </c>
      <c r="J2487" s="223">
        <f>I2487/D2486</f>
        <v>7527</v>
      </c>
      <c r="K2487" s="230">
        <v>7527</v>
      </c>
    </row>
    <row r="2488" spans="1:142" x14ac:dyDescent="0.25">
      <c r="A2488" s="326"/>
      <c r="B2488" s="326"/>
      <c r="C2488" s="278"/>
      <c r="D2488" s="391"/>
      <c r="E2488" s="326"/>
      <c r="F2488" s="326"/>
      <c r="G2488" s="310"/>
      <c r="H2488" s="87" t="s">
        <v>69</v>
      </c>
      <c r="I2488" s="223">
        <f>K2488*D2486</f>
        <v>35162.400000000001</v>
      </c>
      <c r="J2488" s="223">
        <f>I2488/D2486</f>
        <v>161</v>
      </c>
      <c r="K2488" s="230">
        <v>161</v>
      </c>
    </row>
    <row r="2489" spans="1:142" x14ac:dyDescent="0.25">
      <c r="A2489" s="271" t="s">
        <v>515</v>
      </c>
      <c r="B2489" s="272"/>
      <c r="C2489" s="273"/>
      <c r="D2489" s="151">
        <f>D2490+D2492</f>
        <v>745.3</v>
      </c>
      <c r="E2489" s="151"/>
      <c r="F2489" s="151"/>
      <c r="G2489" s="145"/>
      <c r="H2489" s="87"/>
      <c r="I2489" s="223">
        <f>I2490+I2492</f>
        <v>3182359.9</v>
      </c>
      <c r="J2489" s="223"/>
      <c r="K2489" s="223"/>
    </row>
    <row r="2490" spans="1:142" x14ac:dyDescent="0.25">
      <c r="A2490" s="326">
        <v>1</v>
      </c>
      <c r="B2490" s="326">
        <v>4771</v>
      </c>
      <c r="C2490" s="278" t="s">
        <v>672</v>
      </c>
      <c r="D2490" s="391">
        <v>369</v>
      </c>
      <c r="E2490" s="326" t="s">
        <v>167</v>
      </c>
      <c r="F2490" s="326">
        <v>2</v>
      </c>
      <c r="G2490" s="307" t="s">
        <v>65</v>
      </c>
      <c r="H2490" s="121" t="s">
        <v>66</v>
      </c>
      <c r="I2490" s="223">
        <f>I2491</f>
        <v>95571</v>
      </c>
      <c r="J2490" s="223">
        <f>J2491</f>
        <v>259</v>
      </c>
      <c r="K2490" s="223">
        <f>K2491</f>
        <v>259</v>
      </c>
    </row>
    <row r="2491" spans="1:142" ht="63" x14ac:dyDescent="0.25">
      <c r="A2491" s="326"/>
      <c r="B2491" s="326"/>
      <c r="C2491" s="278"/>
      <c r="D2491" s="391"/>
      <c r="E2491" s="326"/>
      <c r="F2491" s="326"/>
      <c r="G2491" s="309"/>
      <c r="H2491" s="87" t="s">
        <v>168</v>
      </c>
      <c r="I2491" s="223">
        <f>D2490*K2491</f>
        <v>95571</v>
      </c>
      <c r="J2491" s="223">
        <f>I2491/D2490</f>
        <v>259</v>
      </c>
      <c r="K2491" s="224">
        <f>163+96</f>
        <v>259</v>
      </c>
    </row>
    <row r="2492" spans="1:142" x14ac:dyDescent="0.25">
      <c r="A2492" s="441">
        <f>A2490+1</f>
        <v>2</v>
      </c>
      <c r="B2492" s="326">
        <v>4777</v>
      </c>
      <c r="C2492" s="278" t="s">
        <v>542</v>
      </c>
      <c r="D2492" s="318">
        <v>376.3</v>
      </c>
      <c r="E2492" s="318" t="s">
        <v>68</v>
      </c>
      <c r="F2492" s="330">
        <v>2</v>
      </c>
      <c r="G2492" s="307" t="s">
        <v>65</v>
      </c>
      <c r="H2492" s="87" t="s">
        <v>66</v>
      </c>
      <c r="I2492" s="223">
        <f>SUM(I2493:I2494)</f>
        <v>3086788.9</v>
      </c>
      <c r="J2492" s="223">
        <f>SUM(J2493:J2494)</f>
        <v>8203</v>
      </c>
      <c r="K2492" s="223">
        <f>SUM(K2493:K2494)</f>
        <v>8203</v>
      </c>
    </row>
    <row r="2493" spans="1:142" x14ac:dyDescent="0.25">
      <c r="A2493" s="442"/>
      <c r="B2493" s="326"/>
      <c r="C2493" s="278"/>
      <c r="D2493" s="319"/>
      <c r="E2493" s="319"/>
      <c r="F2493" s="331"/>
      <c r="G2493" s="308"/>
      <c r="H2493" s="87" t="s">
        <v>67</v>
      </c>
      <c r="I2493" s="223">
        <f>K2493*D2492</f>
        <v>3022065.3</v>
      </c>
      <c r="J2493" s="223">
        <f>I2493/D2492</f>
        <v>8031</v>
      </c>
      <c r="K2493" s="223">
        <v>8031</v>
      </c>
    </row>
    <row r="2494" spans="1:142" x14ac:dyDescent="0.25">
      <c r="A2494" s="443"/>
      <c r="B2494" s="326"/>
      <c r="C2494" s="278"/>
      <c r="D2494" s="329"/>
      <c r="E2494" s="329"/>
      <c r="F2494" s="332"/>
      <c r="G2494" s="309"/>
      <c r="H2494" s="87" t="s">
        <v>69</v>
      </c>
      <c r="I2494" s="223">
        <f>K2494*D2492</f>
        <v>64723.6</v>
      </c>
      <c r="J2494" s="223">
        <f>I2494/D2492</f>
        <v>172</v>
      </c>
      <c r="K2494" s="223">
        <v>172</v>
      </c>
    </row>
    <row r="2495" spans="1:142" s="71" customFormat="1" x14ac:dyDescent="0.25">
      <c r="A2495" s="97" t="s">
        <v>30</v>
      </c>
      <c r="B2495" s="214"/>
      <c r="C2495" s="157"/>
      <c r="D2495" s="151">
        <f>D2496</f>
        <v>678.5</v>
      </c>
      <c r="E2495" s="160"/>
      <c r="F2495" s="160"/>
      <c r="G2495" s="151"/>
      <c r="H2495" s="85"/>
      <c r="I2495" s="223">
        <f>I2496</f>
        <v>5565735.5</v>
      </c>
      <c r="J2495" s="223"/>
      <c r="K2495" s="223"/>
      <c r="L2495" s="72"/>
      <c r="M2495" s="72"/>
      <c r="N2495" s="72"/>
      <c r="O2495" s="72"/>
      <c r="P2495" s="72"/>
      <c r="Q2495" s="72"/>
      <c r="R2495" s="72"/>
      <c r="S2495" s="72"/>
      <c r="T2495" s="72"/>
      <c r="U2495" s="72"/>
      <c r="V2495" s="72"/>
      <c r="W2495" s="72"/>
      <c r="X2495" s="72"/>
      <c r="Y2495" s="72"/>
      <c r="Z2495" s="72"/>
      <c r="AA2495" s="72"/>
      <c r="AB2495" s="72"/>
      <c r="AC2495" s="72"/>
      <c r="AD2495" s="72"/>
      <c r="AE2495" s="72"/>
      <c r="AF2495" s="72"/>
      <c r="AG2495" s="72"/>
      <c r="AH2495" s="72"/>
      <c r="AI2495" s="72"/>
      <c r="AJ2495" s="72"/>
      <c r="AK2495" s="72"/>
      <c r="AL2495" s="72"/>
      <c r="AM2495" s="72"/>
      <c r="AN2495" s="72"/>
      <c r="AO2495" s="72"/>
      <c r="AP2495" s="72"/>
      <c r="AQ2495" s="72"/>
      <c r="AR2495" s="72"/>
      <c r="AS2495" s="72"/>
      <c r="AT2495" s="72"/>
      <c r="AU2495" s="72"/>
      <c r="AV2495" s="72"/>
      <c r="AW2495" s="72"/>
      <c r="AX2495" s="72"/>
      <c r="AY2495" s="72"/>
      <c r="AZ2495" s="72"/>
      <c r="BA2495" s="72"/>
      <c r="BB2495" s="72"/>
      <c r="BC2495" s="72"/>
      <c r="BD2495" s="72"/>
      <c r="BE2495" s="72"/>
      <c r="BF2495" s="72"/>
      <c r="BG2495" s="72"/>
      <c r="BH2495" s="72"/>
      <c r="BI2495" s="72"/>
      <c r="BJ2495" s="72"/>
      <c r="BK2495" s="72"/>
      <c r="BL2495" s="72"/>
      <c r="BM2495" s="72"/>
      <c r="BN2495" s="72"/>
      <c r="BO2495" s="72"/>
      <c r="BP2495" s="72"/>
      <c r="BQ2495" s="72"/>
      <c r="BR2495" s="72"/>
      <c r="BS2495" s="72"/>
      <c r="BT2495" s="72"/>
      <c r="BU2495" s="72"/>
      <c r="BV2495" s="72"/>
      <c r="BW2495" s="72"/>
      <c r="BX2495" s="72"/>
      <c r="BY2495" s="72"/>
      <c r="BZ2495" s="72"/>
      <c r="CA2495" s="72"/>
      <c r="CB2495" s="72"/>
      <c r="CC2495" s="72"/>
      <c r="CD2495" s="72"/>
      <c r="CE2495" s="72"/>
      <c r="CF2495" s="72"/>
      <c r="CG2495" s="72"/>
      <c r="CH2495" s="72"/>
      <c r="CI2495" s="72"/>
      <c r="CJ2495" s="72"/>
      <c r="CK2495" s="72"/>
      <c r="CL2495" s="72"/>
      <c r="CM2495" s="72"/>
      <c r="CN2495" s="72"/>
      <c r="CO2495" s="72"/>
      <c r="CP2495" s="72"/>
      <c r="CQ2495" s="72"/>
      <c r="CR2495" s="72"/>
      <c r="CS2495" s="72"/>
      <c r="CT2495" s="72"/>
      <c r="CU2495" s="72"/>
      <c r="CV2495" s="72"/>
      <c r="CW2495" s="72"/>
      <c r="CX2495" s="72"/>
      <c r="CY2495" s="72"/>
      <c r="CZ2495" s="72"/>
      <c r="DA2495" s="72"/>
      <c r="DB2495" s="72"/>
      <c r="DC2495" s="72"/>
      <c r="DD2495" s="72"/>
      <c r="DE2495" s="72"/>
      <c r="DF2495" s="72"/>
      <c r="DG2495" s="72"/>
      <c r="DH2495" s="72"/>
      <c r="DI2495" s="72"/>
      <c r="DJ2495" s="72"/>
      <c r="DK2495" s="72"/>
      <c r="DL2495" s="72"/>
      <c r="DM2495" s="72"/>
      <c r="DN2495" s="72"/>
      <c r="DO2495" s="72"/>
      <c r="DP2495" s="72"/>
      <c r="DQ2495" s="72"/>
      <c r="DR2495" s="72"/>
      <c r="DS2495" s="72"/>
      <c r="DT2495" s="72"/>
      <c r="DU2495" s="72"/>
      <c r="DV2495" s="72"/>
      <c r="DW2495" s="72"/>
      <c r="DX2495" s="72"/>
      <c r="DY2495" s="72"/>
      <c r="DZ2495" s="72"/>
      <c r="EA2495" s="72"/>
      <c r="EB2495" s="72"/>
      <c r="EC2495" s="72"/>
      <c r="ED2495" s="72"/>
      <c r="EE2495" s="72"/>
      <c r="EF2495" s="72"/>
      <c r="EG2495" s="72"/>
      <c r="EH2495" s="72"/>
      <c r="EI2495" s="72"/>
      <c r="EJ2495" s="72"/>
      <c r="EK2495" s="72"/>
      <c r="EL2495" s="72"/>
    </row>
    <row r="2496" spans="1:142" s="71" customFormat="1" x14ac:dyDescent="0.25">
      <c r="A2496" s="392">
        <v>1</v>
      </c>
      <c r="B2496" s="392">
        <v>6712</v>
      </c>
      <c r="C2496" s="408" t="s">
        <v>673</v>
      </c>
      <c r="D2496" s="318">
        <v>678.5</v>
      </c>
      <c r="E2496" s="330" t="s">
        <v>68</v>
      </c>
      <c r="F2496" s="330">
        <v>2</v>
      </c>
      <c r="G2496" s="307" t="s">
        <v>65</v>
      </c>
      <c r="H2496" s="121" t="s">
        <v>66</v>
      </c>
      <c r="I2496" s="223">
        <f>I2497+I2498</f>
        <v>5565735.5</v>
      </c>
      <c r="J2496" s="223">
        <f>J2497+J2498</f>
        <v>8203</v>
      </c>
      <c r="K2496" s="223">
        <f>K2497+K2498</f>
        <v>8203</v>
      </c>
      <c r="L2496" s="72"/>
      <c r="M2496" s="72"/>
      <c r="N2496" s="72"/>
      <c r="O2496" s="72"/>
      <c r="P2496" s="72"/>
      <c r="Q2496" s="72"/>
      <c r="R2496" s="72"/>
      <c r="S2496" s="72"/>
      <c r="T2496" s="72"/>
      <c r="U2496" s="72"/>
      <c r="V2496" s="72"/>
      <c r="W2496" s="72"/>
      <c r="X2496" s="72"/>
      <c r="Y2496" s="72"/>
      <c r="Z2496" s="72"/>
      <c r="AA2496" s="72"/>
      <c r="AB2496" s="72"/>
      <c r="AC2496" s="72"/>
      <c r="AD2496" s="72"/>
      <c r="AE2496" s="72"/>
      <c r="AF2496" s="72"/>
      <c r="AG2496" s="72"/>
      <c r="AH2496" s="72"/>
      <c r="AI2496" s="72"/>
      <c r="AJ2496" s="72"/>
      <c r="AK2496" s="72"/>
      <c r="AL2496" s="72"/>
      <c r="AM2496" s="72"/>
      <c r="AN2496" s="72"/>
      <c r="AO2496" s="72"/>
      <c r="AP2496" s="72"/>
      <c r="AQ2496" s="72"/>
      <c r="AR2496" s="72"/>
      <c r="AS2496" s="72"/>
      <c r="AT2496" s="72"/>
      <c r="AU2496" s="72"/>
      <c r="AV2496" s="72"/>
      <c r="AW2496" s="72"/>
      <c r="AX2496" s="72"/>
      <c r="AY2496" s="72"/>
      <c r="AZ2496" s="72"/>
      <c r="BA2496" s="72"/>
      <c r="BB2496" s="72"/>
      <c r="BC2496" s="72"/>
      <c r="BD2496" s="72"/>
      <c r="BE2496" s="72"/>
      <c r="BF2496" s="72"/>
      <c r="BG2496" s="72"/>
      <c r="BH2496" s="72"/>
      <c r="BI2496" s="72"/>
      <c r="BJ2496" s="72"/>
      <c r="BK2496" s="72"/>
      <c r="BL2496" s="72"/>
      <c r="BM2496" s="72"/>
      <c r="BN2496" s="72"/>
      <c r="BO2496" s="72"/>
      <c r="BP2496" s="72"/>
      <c r="BQ2496" s="72"/>
      <c r="BR2496" s="72"/>
      <c r="BS2496" s="72"/>
      <c r="BT2496" s="72"/>
      <c r="BU2496" s="72"/>
      <c r="BV2496" s="72"/>
      <c r="BW2496" s="72"/>
      <c r="BX2496" s="72"/>
      <c r="BY2496" s="72"/>
      <c r="BZ2496" s="72"/>
      <c r="CA2496" s="72"/>
      <c r="CB2496" s="72"/>
      <c r="CC2496" s="72"/>
      <c r="CD2496" s="72"/>
      <c r="CE2496" s="72"/>
      <c r="CF2496" s="72"/>
      <c r="CG2496" s="72"/>
      <c r="CH2496" s="72"/>
      <c r="CI2496" s="72"/>
      <c r="CJ2496" s="72"/>
      <c r="CK2496" s="72"/>
      <c r="CL2496" s="72"/>
      <c r="CM2496" s="72"/>
      <c r="CN2496" s="72"/>
      <c r="CO2496" s="72"/>
      <c r="CP2496" s="72"/>
      <c r="CQ2496" s="72"/>
      <c r="CR2496" s="72"/>
      <c r="CS2496" s="72"/>
      <c r="CT2496" s="72"/>
      <c r="CU2496" s="72"/>
      <c r="CV2496" s="72"/>
      <c r="CW2496" s="72"/>
      <c r="CX2496" s="72"/>
      <c r="CY2496" s="72"/>
      <c r="CZ2496" s="72"/>
      <c r="DA2496" s="72"/>
      <c r="DB2496" s="72"/>
      <c r="DC2496" s="72"/>
      <c r="DD2496" s="72"/>
      <c r="DE2496" s="72"/>
      <c r="DF2496" s="72"/>
      <c r="DG2496" s="72"/>
      <c r="DH2496" s="72"/>
      <c r="DI2496" s="72"/>
      <c r="DJ2496" s="72"/>
      <c r="DK2496" s="72"/>
      <c r="DL2496" s="72"/>
      <c r="DM2496" s="72"/>
      <c r="DN2496" s="72"/>
      <c r="DO2496" s="72"/>
      <c r="DP2496" s="72"/>
      <c r="DQ2496" s="72"/>
      <c r="DR2496" s="72"/>
      <c r="DS2496" s="72"/>
      <c r="DT2496" s="72"/>
      <c r="DU2496" s="72"/>
      <c r="DV2496" s="72"/>
      <c r="DW2496" s="72"/>
      <c r="DX2496" s="72"/>
      <c r="DY2496" s="72"/>
      <c r="DZ2496" s="72"/>
      <c r="EA2496" s="72"/>
      <c r="EB2496" s="72"/>
      <c r="EC2496" s="72"/>
      <c r="ED2496" s="72"/>
      <c r="EE2496" s="72"/>
      <c r="EF2496" s="72"/>
      <c r="EG2496" s="72"/>
      <c r="EH2496" s="72"/>
      <c r="EI2496" s="72"/>
      <c r="EJ2496" s="72"/>
      <c r="EK2496" s="72"/>
      <c r="EL2496" s="72"/>
    </row>
    <row r="2497" spans="1:144" s="71" customFormat="1" ht="15.75" customHeight="1" x14ac:dyDescent="0.25">
      <c r="A2497" s="407"/>
      <c r="B2497" s="407"/>
      <c r="C2497" s="409"/>
      <c r="D2497" s="319"/>
      <c r="E2497" s="331"/>
      <c r="F2497" s="331"/>
      <c r="G2497" s="308"/>
      <c r="H2497" s="121" t="s">
        <v>67</v>
      </c>
      <c r="I2497" s="223">
        <f>K2497*D2496</f>
        <v>5449033.5</v>
      </c>
      <c r="J2497" s="223">
        <f>I2497/D2496</f>
        <v>8031</v>
      </c>
      <c r="K2497" s="223">
        <v>8031</v>
      </c>
      <c r="L2497" s="72"/>
      <c r="M2497" s="72"/>
      <c r="N2497" s="72"/>
      <c r="O2497" s="72"/>
      <c r="P2497" s="72"/>
      <c r="Q2497" s="72"/>
      <c r="R2497" s="72"/>
      <c r="S2497" s="72"/>
      <c r="T2497" s="72"/>
      <c r="U2497" s="72"/>
      <c r="V2497" s="72"/>
      <c r="W2497" s="72"/>
      <c r="X2497" s="72"/>
      <c r="Y2497" s="72"/>
      <c r="Z2497" s="72"/>
      <c r="AA2497" s="72"/>
      <c r="AB2497" s="72"/>
      <c r="AC2497" s="72"/>
      <c r="AD2497" s="72"/>
      <c r="AE2497" s="72"/>
      <c r="AF2497" s="72"/>
      <c r="AG2497" s="72"/>
      <c r="AH2497" s="72"/>
      <c r="AI2497" s="72"/>
      <c r="AJ2497" s="72"/>
      <c r="AK2497" s="72"/>
      <c r="AL2497" s="72"/>
      <c r="AM2497" s="72"/>
      <c r="AN2497" s="72"/>
      <c r="AO2497" s="72"/>
      <c r="AP2497" s="72"/>
      <c r="AQ2497" s="72"/>
      <c r="AR2497" s="72"/>
      <c r="AS2497" s="72"/>
      <c r="AT2497" s="72"/>
      <c r="AU2497" s="72"/>
      <c r="AV2497" s="72"/>
      <c r="AW2497" s="72"/>
      <c r="AX2497" s="72"/>
      <c r="AY2497" s="72"/>
      <c r="AZ2497" s="72"/>
      <c r="BA2497" s="72"/>
      <c r="BB2497" s="72"/>
      <c r="BC2497" s="72"/>
      <c r="BD2497" s="72"/>
      <c r="BE2497" s="72"/>
      <c r="BF2497" s="72"/>
      <c r="BG2497" s="72"/>
      <c r="BH2497" s="72"/>
      <c r="BI2497" s="72"/>
      <c r="BJ2497" s="72"/>
      <c r="BK2497" s="72"/>
      <c r="BL2497" s="72"/>
      <c r="BM2497" s="72"/>
      <c r="BN2497" s="72"/>
      <c r="BO2497" s="72"/>
      <c r="BP2497" s="72"/>
      <c r="BQ2497" s="72"/>
      <c r="BR2497" s="72"/>
      <c r="BS2497" s="72"/>
      <c r="BT2497" s="72"/>
      <c r="BU2497" s="72"/>
      <c r="BV2497" s="72"/>
      <c r="BW2497" s="72"/>
      <c r="BX2497" s="72"/>
      <c r="BY2497" s="72"/>
      <c r="BZ2497" s="72"/>
      <c r="CA2497" s="72"/>
      <c r="CB2497" s="72"/>
      <c r="CC2497" s="72"/>
      <c r="CD2497" s="72"/>
      <c r="CE2497" s="72"/>
      <c r="CF2497" s="72"/>
      <c r="CG2497" s="72"/>
      <c r="CH2497" s="72"/>
      <c r="CI2497" s="72"/>
      <c r="CJ2497" s="72"/>
      <c r="CK2497" s="72"/>
      <c r="CL2497" s="72"/>
      <c r="CM2497" s="72"/>
      <c r="CN2497" s="72"/>
      <c r="CO2497" s="72"/>
      <c r="CP2497" s="72"/>
      <c r="CQ2497" s="72"/>
      <c r="CR2497" s="72"/>
      <c r="CS2497" s="72"/>
      <c r="CT2497" s="72"/>
      <c r="CU2497" s="72"/>
      <c r="CV2497" s="72"/>
      <c r="CW2497" s="72"/>
      <c r="CX2497" s="72"/>
      <c r="CY2497" s="72"/>
      <c r="CZ2497" s="72"/>
      <c r="DA2497" s="72"/>
      <c r="DB2497" s="72"/>
      <c r="DC2497" s="72"/>
      <c r="DD2497" s="72"/>
      <c r="DE2497" s="72"/>
      <c r="DF2497" s="72"/>
      <c r="DG2497" s="72"/>
      <c r="DH2497" s="72"/>
      <c r="DI2497" s="72"/>
      <c r="DJ2497" s="72"/>
      <c r="DK2497" s="72"/>
      <c r="DL2497" s="72"/>
      <c r="DM2497" s="72"/>
      <c r="DN2497" s="72"/>
      <c r="DO2497" s="72"/>
      <c r="DP2497" s="72"/>
      <c r="DQ2497" s="72"/>
      <c r="DR2497" s="72"/>
      <c r="DS2497" s="72"/>
      <c r="DT2497" s="72"/>
      <c r="DU2497" s="72"/>
      <c r="DV2497" s="72"/>
      <c r="DW2497" s="72"/>
      <c r="DX2497" s="72"/>
      <c r="DY2497" s="72"/>
      <c r="DZ2497" s="72"/>
      <c r="EA2497" s="72"/>
      <c r="EB2497" s="72"/>
      <c r="EC2497" s="72"/>
      <c r="ED2497" s="72"/>
      <c r="EE2497" s="72"/>
      <c r="EF2497" s="72"/>
      <c r="EG2497" s="72"/>
      <c r="EH2497" s="72"/>
      <c r="EI2497" s="72"/>
      <c r="EJ2497" s="72"/>
      <c r="EK2497" s="72"/>
      <c r="EL2497" s="72"/>
    </row>
    <row r="2498" spans="1:144" s="71" customFormat="1" x14ac:dyDescent="0.25">
      <c r="A2498" s="393"/>
      <c r="B2498" s="393"/>
      <c r="C2498" s="410"/>
      <c r="D2498" s="329"/>
      <c r="E2498" s="332"/>
      <c r="F2498" s="332"/>
      <c r="G2498" s="309"/>
      <c r="H2498" s="121" t="s">
        <v>69</v>
      </c>
      <c r="I2498" s="223">
        <f>K2498*D2496</f>
        <v>116702</v>
      </c>
      <c r="J2498" s="223">
        <f>I2498/D2496</f>
        <v>172</v>
      </c>
      <c r="K2498" s="223">
        <v>172</v>
      </c>
      <c r="L2498" s="72"/>
      <c r="M2498" s="72"/>
      <c r="N2498" s="72"/>
      <c r="O2498" s="72"/>
      <c r="P2498" s="72"/>
      <c r="Q2498" s="72"/>
      <c r="R2498" s="72"/>
      <c r="S2498" s="72"/>
      <c r="T2498" s="72"/>
      <c r="U2498" s="72"/>
      <c r="V2498" s="72"/>
      <c r="W2498" s="72"/>
      <c r="X2498" s="72"/>
      <c r="Y2498" s="72"/>
      <c r="Z2498" s="72"/>
      <c r="AA2498" s="72"/>
      <c r="AB2498" s="72"/>
      <c r="AC2498" s="72"/>
      <c r="AD2498" s="72"/>
      <c r="AE2498" s="72"/>
      <c r="AF2498" s="72"/>
      <c r="AG2498" s="72"/>
      <c r="AH2498" s="72"/>
      <c r="AI2498" s="72"/>
      <c r="AJ2498" s="72"/>
      <c r="AK2498" s="72"/>
      <c r="AL2498" s="72"/>
      <c r="AM2498" s="72"/>
      <c r="AN2498" s="72"/>
      <c r="AO2498" s="72"/>
      <c r="AP2498" s="72"/>
      <c r="AQ2498" s="72"/>
      <c r="AR2498" s="72"/>
      <c r="AS2498" s="72"/>
      <c r="AT2498" s="72"/>
      <c r="AU2498" s="72"/>
      <c r="AV2498" s="72"/>
      <c r="AW2498" s="72"/>
      <c r="AX2498" s="72"/>
      <c r="AY2498" s="72"/>
      <c r="AZ2498" s="72"/>
      <c r="BA2498" s="72"/>
      <c r="BB2498" s="72"/>
      <c r="BC2498" s="72"/>
      <c r="BD2498" s="72"/>
      <c r="BE2498" s="72"/>
      <c r="BF2498" s="72"/>
      <c r="BG2498" s="72"/>
      <c r="BH2498" s="72"/>
      <c r="BI2498" s="72"/>
      <c r="BJ2498" s="72"/>
      <c r="BK2498" s="72"/>
      <c r="BL2498" s="72"/>
      <c r="BM2498" s="72"/>
      <c r="BN2498" s="72"/>
      <c r="BO2498" s="72"/>
      <c r="BP2498" s="72"/>
      <c r="BQ2498" s="72"/>
      <c r="BR2498" s="72"/>
      <c r="BS2498" s="72"/>
      <c r="BT2498" s="72"/>
      <c r="BU2498" s="72"/>
      <c r="BV2498" s="72"/>
      <c r="BW2498" s="72"/>
      <c r="BX2498" s="72"/>
      <c r="BY2498" s="72"/>
      <c r="BZ2498" s="72"/>
      <c r="CA2498" s="72"/>
      <c r="CB2498" s="72"/>
      <c r="CC2498" s="72"/>
      <c r="CD2498" s="72"/>
      <c r="CE2498" s="72"/>
      <c r="CF2498" s="72"/>
      <c r="CG2498" s="72"/>
      <c r="CH2498" s="72"/>
      <c r="CI2498" s="72"/>
      <c r="CJ2498" s="72"/>
      <c r="CK2498" s="72"/>
      <c r="CL2498" s="72"/>
      <c r="CM2498" s="72"/>
      <c r="CN2498" s="72"/>
      <c r="CO2498" s="72"/>
      <c r="CP2498" s="72"/>
      <c r="CQ2498" s="72"/>
      <c r="CR2498" s="72"/>
      <c r="CS2498" s="72"/>
      <c r="CT2498" s="72"/>
      <c r="CU2498" s="72"/>
      <c r="CV2498" s="72"/>
      <c r="CW2498" s="72"/>
      <c r="CX2498" s="72"/>
      <c r="CY2498" s="72"/>
      <c r="CZ2498" s="72"/>
      <c r="DA2498" s="72"/>
      <c r="DB2498" s="72"/>
      <c r="DC2498" s="72"/>
      <c r="DD2498" s="72"/>
      <c r="DE2498" s="72"/>
      <c r="DF2498" s="72"/>
      <c r="DG2498" s="72"/>
      <c r="DH2498" s="72"/>
      <c r="DI2498" s="72"/>
      <c r="DJ2498" s="72"/>
      <c r="DK2498" s="72"/>
      <c r="DL2498" s="72"/>
      <c r="DM2498" s="72"/>
      <c r="DN2498" s="72"/>
      <c r="DO2498" s="72"/>
      <c r="DP2498" s="72"/>
      <c r="DQ2498" s="72"/>
      <c r="DR2498" s="72"/>
      <c r="DS2498" s="72"/>
      <c r="DT2498" s="72"/>
      <c r="DU2498" s="72"/>
      <c r="DV2498" s="72"/>
      <c r="DW2498" s="72"/>
      <c r="DX2498" s="72"/>
      <c r="DY2498" s="72"/>
      <c r="DZ2498" s="72"/>
      <c r="EA2498" s="72"/>
      <c r="EB2498" s="72"/>
      <c r="EC2498" s="72"/>
      <c r="ED2498" s="72"/>
      <c r="EE2498" s="72"/>
      <c r="EF2498" s="72"/>
      <c r="EG2498" s="72"/>
      <c r="EH2498" s="72"/>
      <c r="EI2498" s="72"/>
      <c r="EJ2498" s="72"/>
      <c r="EK2498" s="72"/>
      <c r="EL2498" s="72"/>
    </row>
    <row r="2499" spans="1:144" x14ac:dyDescent="0.25">
      <c r="A2499" s="97" t="s">
        <v>33</v>
      </c>
      <c r="B2499" s="214"/>
      <c r="C2499" s="157"/>
      <c r="D2499" s="80">
        <f>D2500</f>
        <v>7239.6</v>
      </c>
      <c r="E2499" s="95"/>
      <c r="F2499" s="95"/>
      <c r="G2499" s="145"/>
      <c r="H2499" s="84"/>
      <c r="I2499" s="223">
        <f>I2500</f>
        <v>1245211.2</v>
      </c>
      <c r="J2499" s="223"/>
      <c r="K2499" s="223"/>
      <c r="L2499" s="71"/>
      <c r="M2499" s="71"/>
      <c r="N2499" s="71"/>
      <c r="O2499" s="71"/>
      <c r="P2499" s="71"/>
      <c r="Q2499" s="71"/>
      <c r="R2499" s="71"/>
      <c r="S2499" s="71"/>
      <c r="T2499" s="71"/>
      <c r="U2499" s="71"/>
      <c r="V2499" s="71"/>
      <c r="W2499" s="71"/>
      <c r="X2499" s="71"/>
      <c r="Y2499" s="71"/>
      <c r="Z2499" s="71"/>
      <c r="AA2499" s="71"/>
      <c r="AB2499" s="71"/>
      <c r="AC2499" s="71"/>
      <c r="AD2499" s="71"/>
      <c r="AE2499" s="71"/>
      <c r="AF2499" s="71"/>
      <c r="AG2499" s="71"/>
      <c r="AH2499" s="71"/>
      <c r="AI2499" s="71"/>
      <c r="AJ2499" s="71"/>
      <c r="AK2499" s="71"/>
      <c r="AL2499" s="71"/>
      <c r="AM2499" s="71"/>
      <c r="AN2499" s="71"/>
      <c r="AO2499" s="71"/>
      <c r="AP2499" s="71"/>
      <c r="AQ2499" s="71"/>
      <c r="AR2499" s="71"/>
      <c r="AS2499" s="71"/>
      <c r="AT2499" s="71"/>
      <c r="AU2499" s="71"/>
      <c r="AV2499" s="71"/>
      <c r="AW2499" s="71"/>
      <c r="AX2499" s="71"/>
      <c r="AY2499" s="71"/>
      <c r="AZ2499" s="71"/>
      <c r="BA2499" s="71"/>
      <c r="BB2499" s="71"/>
      <c r="BC2499" s="71"/>
      <c r="BD2499" s="71"/>
      <c r="BE2499" s="71"/>
      <c r="BF2499" s="71"/>
      <c r="BG2499" s="71"/>
      <c r="BH2499" s="71"/>
      <c r="BI2499" s="71"/>
      <c r="BJ2499" s="71"/>
      <c r="BK2499" s="71"/>
      <c r="BL2499" s="71"/>
      <c r="BM2499" s="71"/>
      <c r="BN2499" s="71"/>
      <c r="BO2499" s="71"/>
      <c r="BP2499" s="71"/>
      <c r="BQ2499" s="71"/>
      <c r="BR2499" s="71"/>
      <c r="BS2499" s="71"/>
      <c r="BT2499" s="71"/>
      <c r="BU2499" s="71"/>
      <c r="BV2499" s="71"/>
      <c r="BW2499" s="71"/>
      <c r="BX2499" s="71"/>
      <c r="BY2499" s="71"/>
      <c r="BZ2499" s="71"/>
      <c r="CA2499" s="71"/>
      <c r="CB2499" s="71"/>
      <c r="CC2499" s="71"/>
      <c r="CD2499" s="71"/>
      <c r="CE2499" s="71"/>
      <c r="CF2499" s="71"/>
      <c r="CG2499" s="71"/>
      <c r="CH2499" s="71"/>
      <c r="CI2499" s="71"/>
      <c r="CJ2499" s="71"/>
      <c r="CK2499" s="71"/>
      <c r="CL2499" s="71"/>
      <c r="CM2499" s="71"/>
      <c r="CN2499" s="71"/>
      <c r="CO2499" s="71"/>
      <c r="CP2499" s="71"/>
      <c r="CQ2499" s="71"/>
      <c r="CR2499" s="71"/>
      <c r="CS2499" s="71"/>
      <c r="CT2499" s="71"/>
      <c r="CU2499" s="71"/>
      <c r="CV2499" s="71"/>
      <c r="CW2499" s="71"/>
      <c r="CX2499" s="71"/>
      <c r="CY2499" s="71"/>
      <c r="CZ2499" s="71"/>
      <c r="DA2499" s="71"/>
      <c r="DB2499" s="71"/>
      <c r="DC2499" s="71"/>
      <c r="DD2499" s="71"/>
      <c r="DE2499" s="71"/>
      <c r="DF2499" s="71"/>
      <c r="DG2499" s="71"/>
      <c r="DH2499" s="71"/>
      <c r="DI2499" s="71"/>
      <c r="DJ2499" s="71"/>
      <c r="DK2499" s="71"/>
      <c r="DL2499" s="71"/>
      <c r="DM2499" s="71"/>
      <c r="DN2499" s="71"/>
      <c r="DO2499" s="71"/>
      <c r="DP2499" s="71"/>
      <c r="DQ2499" s="71"/>
      <c r="DR2499" s="71"/>
      <c r="DS2499" s="71"/>
      <c r="DT2499" s="71"/>
      <c r="DU2499" s="71"/>
      <c r="DV2499" s="71"/>
      <c r="DW2499" s="71"/>
      <c r="DX2499" s="71"/>
      <c r="DY2499" s="71"/>
      <c r="DZ2499" s="71"/>
      <c r="EA2499" s="71"/>
      <c r="EB2499" s="71"/>
      <c r="EC2499" s="71"/>
      <c r="ED2499" s="71"/>
      <c r="EE2499" s="71"/>
      <c r="EF2499" s="71"/>
      <c r="EG2499" s="71"/>
      <c r="EH2499" s="71"/>
      <c r="EI2499" s="71"/>
      <c r="EJ2499" s="71"/>
      <c r="EK2499" s="71"/>
      <c r="EL2499" s="71"/>
      <c r="EM2499" s="71"/>
      <c r="EN2499" s="71"/>
    </row>
    <row r="2500" spans="1:144" x14ac:dyDescent="0.25">
      <c r="A2500" s="433">
        <v>1</v>
      </c>
      <c r="B2500" s="307">
        <v>5055</v>
      </c>
      <c r="C2500" s="315" t="s">
        <v>287</v>
      </c>
      <c r="D2500" s="318">
        <v>7239.6</v>
      </c>
      <c r="E2500" s="330" t="s">
        <v>64</v>
      </c>
      <c r="F2500" s="330">
        <v>5</v>
      </c>
      <c r="G2500" s="307" t="s">
        <v>65</v>
      </c>
      <c r="H2500" s="84" t="s">
        <v>66</v>
      </c>
      <c r="I2500" s="223">
        <f>I2501</f>
        <v>1245211.2</v>
      </c>
      <c r="J2500" s="223">
        <f>J2501</f>
        <v>172</v>
      </c>
      <c r="K2500" s="223">
        <f>K2501</f>
        <v>172</v>
      </c>
      <c r="L2500" s="71"/>
      <c r="M2500" s="71"/>
      <c r="N2500" s="71"/>
      <c r="O2500" s="71"/>
      <c r="P2500" s="71"/>
      <c r="Q2500" s="71"/>
      <c r="R2500" s="71"/>
      <c r="S2500" s="71"/>
      <c r="T2500" s="71"/>
      <c r="U2500" s="71"/>
      <c r="V2500" s="71"/>
      <c r="W2500" s="71"/>
      <c r="X2500" s="71"/>
      <c r="Y2500" s="71"/>
      <c r="Z2500" s="71"/>
      <c r="AA2500" s="71"/>
      <c r="AB2500" s="71"/>
      <c r="AC2500" s="71"/>
      <c r="AD2500" s="71"/>
      <c r="AE2500" s="71"/>
      <c r="AF2500" s="71"/>
      <c r="AG2500" s="71"/>
      <c r="AH2500" s="71"/>
      <c r="AI2500" s="71"/>
      <c r="AJ2500" s="71"/>
      <c r="AK2500" s="71"/>
      <c r="AL2500" s="71"/>
      <c r="AM2500" s="71"/>
      <c r="AN2500" s="71"/>
      <c r="AO2500" s="71"/>
      <c r="AP2500" s="71"/>
      <c r="AQ2500" s="71"/>
      <c r="AR2500" s="71"/>
      <c r="AS2500" s="71"/>
      <c r="AT2500" s="71"/>
      <c r="AU2500" s="71"/>
      <c r="AV2500" s="71"/>
      <c r="AW2500" s="71"/>
      <c r="AX2500" s="71"/>
      <c r="AY2500" s="71"/>
      <c r="AZ2500" s="71"/>
      <c r="BA2500" s="71"/>
      <c r="BB2500" s="71"/>
      <c r="BC2500" s="71"/>
      <c r="BD2500" s="71"/>
      <c r="BE2500" s="71"/>
      <c r="BF2500" s="71"/>
      <c r="BG2500" s="71"/>
      <c r="BH2500" s="71"/>
      <c r="BI2500" s="71"/>
      <c r="BJ2500" s="71"/>
      <c r="BK2500" s="71"/>
      <c r="BL2500" s="71"/>
      <c r="BM2500" s="71"/>
      <c r="BN2500" s="71"/>
      <c r="BO2500" s="71"/>
      <c r="BP2500" s="71"/>
      <c r="BQ2500" s="71"/>
      <c r="BR2500" s="71"/>
      <c r="BS2500" s="71"/>
      <c r="BT2500" s="71"/>
      <c r="BU2500" s="71"/>
      <c r="BV2500" s="71"/>
      <c r="BW2500" s="71"/>
      <c r="BX2500" s="71"/>
      <c r="BY2500" s="71"/>
      <c r="BZ2500" s="71"/>
      <c r="CA2500" s="71"/>
      <c r="CB2500" s="71"/>
      <c r="CC2500" s="71"/>
      <c r="CD2500" s="71"/>
      <c r="CE2500" s="71"/>
      <c r="CF2500" s="71"/>
      <c r="CG2500" s="71"/>
      <c r="CH2500" s="71"/>
      <c r="CI2500" s="71"/>
      <c r="CJ2500" s="71"/>
      <c r="CK2500" s="71"/>
      <c r="CL2500" s="71"/>
      <c r="CM2500" s="71"/>
      <c r="CN2500" s="71"/>
      <c r="CO2500" s="71"/>
      <c r="CP2500" s="71"/>
      <c r="CQ2500" s="71"/>
      <c r="CR2500" s="71"/>
      <c r="CS2500" s="71"/>
      <c r="CT2500" s="71"/>
      <c r="CU2500" s="71"/>
      <c r="CV2500" s="71"/>
      <c r="CW2500" s="71"/>
      <c r="CX2500" s="71"/>
      <c r="CY2500" s="71"/>
      <c r="CZ2500" s="71"/>
      <c r="DA2500" s="71"/>
      <c r="DB2500" s="71"/>
      <c r="DC2500" s="71"/>
      <c r="DD2500" s="71"/>
      <c r="DE2500" s="71"/>
      <c r="DF2500" s="71"/>
      <c r="DG2500" s="71"/>
      <c r="DH2500" s="71"/>
      <c r="DI2500" s="71"/>
      <c r="DJ2500" s="71"/>
      <c r="DK2500" s="71"/>
      <c r="DL2500" s="71"/>
      <c r="DM2500" s="71"/>
      <c r="DN2500" s="71"/>
      <c r="DO2500" s="71"/>
      <c r="DP2500" s="71"/>
      <c r="DQ2500" s="71"/>
      <c r="DR2500" s="71"/>
      <c r="DS2500" s="71"/>
      <c r="DT2500" s="71"/>
      <c r="DU2500" s="71"/>
      <c r="DV2500" s="71"/>
      <c r="DW2500" s="71"/>
      <c r="DX2500" s="71"/>
      <c r="DY2500" s="71"/>
      <c r="DZ2500" s="71"/>
      <c r="EA2500" s="71"/>
      <c r="EB2500" s="71"/>
      <c r="EC2500" s="71"/>
      <c r="ED2500" s="71"/>
      <c r="EE2500" s="71"/>
      <c r="EF2500" s="71"/>
      <c r="EG2500" s="71"/>
      <c r="EH2500" s="71"/>
      <c r="EI2500" s="71"/>
      <c r="EJ2500" s="71"/>
      <c r="EK2500" s="71"/>
      <c r="EL2500" s="71"/>
      <c r="EM2500" s="71"/>
      <c r="EN2500" s="71"/>
    </row>
    <row r="2501" spans="1:144" ht="63" x14ac:dyDescent="0.25">
      <c r="A2501" s="434">
        <v>61</v>
      </c>
      <c r="B2501" s="309"/>
      <c r="C2501" s="316"/>
      <c r="D2501" s="329"/>
      <c r="E2501" s="332"/>
      <c r="F2501" s="332"/>
      <c r="G2501" s="309"/>
      <c r="H2501" s="84" t="s">
        <v>178</v>
      </c>
      <c r="I2501" s="223">
        <f>D2500*K2501</f>
        <v>1245211.2</v>
      </c>
      <c r="J2501" s="223">
        <f>I2501/D2500</f>
        <v>172</v>
      </c>
      <c r="K2501" s="223">
        <f>154+18</f>
        <v>172</v>
      </c>
      <c r="L2501" s="71"/>
      <c r="M2501" s="71"/>
      <c r="N2501" s="71"/>
      <c r="O2501" s="71"/>
      <c r="P2501" s="71"/>
      <c r="Q2501" s="71"/>
      <c r="R2501" s="71"/>
      <c r="S2501" s="71"/>
      <c r="T2501" s="71"/>
      <c r="U2501" s="71"/>
      <c r="V2501" s="71"/>
      <c r="W2501" s="71"/>
      <c r="X2501" s="71"/>
      <c r="Y2501" s="71"/>
      <c r="Z2501" s="71"/>
      <c r="AA2501" s="71"/>
      <c r="AB2501" s="71"/>
      <c r="AC2501" s="71"/>
      <c r="AD2501" s="71"/>
      <c r="AE2501" s="71"/>
      <c r="AF2501" s="71"/>
      <c r="AG2501" s="71"/>
      <c r="AH2501" s="71"/>
      <c r="AI2501" s="71"/>
      <c r="AJ2501" s="71"/>
      <c r="AK2501" s="71"/>
      <c r="AL2501" s="71"/>
      <c r="AM2501" s="71"/>
      <c r="AN2501" s="71"/>
      <c r="AO2501" s="71"/>
      <c r="AP2501" s="71"/>
      <c r="AQ2501" s="71"/>
      <c r="AR2501" s="71"/>
      <c r="AS2501" s="71"/>
      <c r="AT2501" s="71"/>
      <c r="AU2501" s="71"/>
      <c r="AV2501" s="71"/>
      <c r="AW2501" s="71"/>
      <c r="AX2501" s="71"/>
      <c r="AY2501" s="71"/>
      <c r="AZ2501" s="71"/>
      <c r="BA2501" s="71"/>
      <c r="BB2501" s="71"/>
      <c r="BC2501" s="71"/>
      <c r="BD2501" s="71"/>
      <c r="BE2501" s="71"/>
      <c r="BF2501" s="71"/>
      <c r="BG2501" s="71"/>
      <c r="BH2501" s="71"/>
      <c r="BI2501" s="71"/>
      <c r="BJ2501" s="71"/>
      <c r="BK2501" s="71"/>
      <c r="BL2501" s="71"/>
      <c r="BM2501" s="71"/>
      <c r="BN2501" s="71"/>
      <c r="BO2501" s="71"/>
      <c r="BP2501" s="71"/>
      <c r="BQ2501" s="71"/>
      <c r="BR2501" s="71"/>
      <c r="BS2501" s="71"/>
      <c r="BT2501" s="71"/>
      <c r="BU2501" s="71"/>
      <c r="BV2501" s="71"/>
      <c r="BW2501" s="71"/>
      <c r="BX2501" s="71"/>
      <c r="BY2501" s="71"/>
      <c r="BZ2501" s="71"/>
      <c r="CA2501" s="71"/>
      <c r="CB2501" s="71"/>
      <c r="CC2501" s="71"/>
      <c r="CD2501" s="71"/>
      <c r="CE2501" s="71"/>
      <c r="CF2501" s="71"/>
      <c r="CG2501" s="71"/>
      <c r="CH2501" s="71"/>
      <c r="CI2501" s="71"/>
      <c r="CJ2501" s="71"/>
      <c r="CK2501" s="71"/>
      <c r="CL2501" s="71"/>
      <c r="CM2501" s="71"/>
      <c r="CN2501" s="71"/>
      <c r="CO2501" s="71"/>
      <c r="CP2501" s="71"/>
      <c r="CQ2501" s="71"/>
      <c r="CR2501" s="71"/>
      <c r="CS2501" s="71"/>
      <c r="CT2501" s="71"/>
      <c r="CU2501" s="71"/>
      <c r="CV2501" s="71"/>
      <c r="CW2501" s="71"/>
      <c r="CX2501" s="71"/>
      <c r="CY2501" s="71"/>
      <c r="CZ2501" s="71"/>
      <c r="DA2501" s="71"/>
      <c r="DB2501" s="71"/>
      <c r="DC2501" s="71"/>
      <c r="DD2501" s="71"/>
      <c r="DE2501" s="71"/>
      <c r="DF2501" s="71"/>
      <c r="DG2501" s="71"/>
      <c r="DH2501" s="71"/>
      <c r="DI2501" s="71"/>
      <c r="DJ2501" s="71"/>
      <c r="DK2501" s="71"/>
      <c r="DL2501" s="71"/>
      <c r="DM2501" s="71"/>
      <c r="DN2501" s="71"/>
      <c r="DO2501" s="71"/>
      <c r="DP2501" s="71"/>
      <c r="DQ2501" s="71"/>
      <c r="DR2501" s="71"/>
      <c r="DS2501" s="71"/>
      <c r="DT2501" s="71"/>
      <c r="DU2501" s="71"/>
      <c r="DV2501" s="71"/>
      <c r="DW2501" s="71"/>
      <c r="DX2501" s="71"/>
      <c r="DY2501" s="71"/>
      <c r="DZ2501" s="71"/>
      <c r="EA2501" s="71"/>
      <c r="EB2501" s="71"/>
      <c r="EC2501" s="71"/>
      <c r="ED2501" s="71"/>
      <c r="EE2501" s="71"/>
      <c r="EF2501" s="71"/>
      <c r="EG2501" s="71"/>
      <c r="EH2501" s="71"/>
      <c r="EI2501" s="71"/>
      <c r="EJ2501" s="71"/>
      <c r="EK2501" s="71"/>
      <c r="EL2501" s="71"/>
      <c r="EM2501" s="71"/>
      <c r="EN2501" s="71"/>
    </row>
    <row r="2502" spans="1:144" x14ac:dyDescent="0.25">
      <c r="A2502" s="97" t="s">
        <v>40</v>
      </c>
      <c r="B2502" s="214"/>
      <c r="C2502" s="157"/>
      <c r="D2502" s="152">
        <f>D2503+D2510+D2513+D2516+D2519+D2522+D2525+D2528+D2531+D2550+D2553+D2556+D2559+D2562+D2565+D2568+D2571+D2574+D2577+D2579+D2581+D2588+D2591+D2594+D2597+D2604+D2611+D2614+D2617+D2624+D2627+D2630+D2633+D2636</f>
        <v>193976.02</v>
      </c>
      <c r="E2502" s="152"/>
      <c r="F2502" s="152"/>
      <c r="G2502" s="152"/>
      <c r="H2502" s="28"/>
      <c r="I2502" s="229">
        <f>I2503+I2510+I2513+I2516+I2519+I2522+I2525+I2528+I2531+I2550+I2553+I2556+I2559+I2562+I2565+I2568+I2571+I2574+I2577+I2579+I2581+I2588+I2591+I2594+I2597+I2604+I2611+I2614+I2617+I2624+I2627+I2630+I2633+I2636</f>
        <v>275871638.66000003</v>
      </c>
      <c r="J2502" s="228"/>
      <c r="K2502" s="228"/>
      <c r="L2502" s="71"/>
      <c r="M2502" s="71"/>
      <c r="N2502" s="71"/>
      <c r="O2502" s="71"/>
      <c r="P2502" s="71"/>
      <c r="Q2502" s="71"/>
      <c r="R2502" s="71"/>
      <c r="S2502" s="71"/>
      <c r="T2502" s="71"/>
      <c r="U2502" s="71"/>
      <c r="V2502" s="71"/>
      <c r="W2502" s="71"/>
      <c r="X2502" s="71"/>
      <c r="Y2502" s="71"/>
      <c r="Z2502" s="71"/>
      <c r="AA2502" s="71"/>
      <c r="AB2502" s="71"/>
      <c r="AC2502" s="71"/>
      <c r="AD2502" s="71"/>
      <c r="AE2502" s="71"/>
      <c r="AF2502" s="71"/>
      <c r="AG2502" s="71"/>
      <c r="AH2502" s="71"/>
      <c r="AI2502" s="71"/>
      <c r="AJ2502" s="71"/>
      <c r="AK2502" s="71"/>
      <c r="AL2502" s="71"/>
      <c r="AM2502" s="71"/>
      <c r="AN2502" s="71"/>
      <c r="AO2502" s="71"/>
      <c r="AP2502" s="71"/>
      <c r="AQ2502" s="71"/>
      <c r="AR2502" s="71"/>
      <c r="AS2502" s="71"/>
      <c r="AT2502" s="71"/>
      <c r="AU2502" s="71"/>
      <c r="AV2502" s="71"/>
      <c r="AW2502" s="71"/>
      <c r="AX2502" s="71"/>
      <c r="AY2502" s="71"/>
      <c r="AZ2502" s="71"/>
      <c r="BA2502" s="71"/>
      <c r="BB2502" s="71"/>
      <c r="BC2502" s="71"/>
      <c r="BD2502" s="71"/>
      <c r="BE2502" s="71"/>
      <c r="BF2502" s="71"/>
      <c r="BG2502" s="71"/>
      <c r="BH2502" s="71"/>
      <c r="BI2502" s="71"/>
      <c r="BJ2502" s="71"/>
      <c r="BK2502" s="71"/>
      <c r="BL2502" s="71"/>
      <c r="BM2502" s="71"/>
      <c r="BN2502" s="71"/>
      <c r="BO2502" s="71"/>
      <c r="BP2502" s="71"/>
      <c r="BQ2502" s="71"/>
      <c r="BR2502" s="71"/>
      <c r="BS2502" s="71"/>
      <c r="BT2502" s="71"/>
      <c r="BU2502" s="71"/>
      <c r="BV2502" s="71"/>
      <c r="BW2502" s="71"/>
      <c r="BX2502" s="71"/>
      <c r="BY2502" s="71"/>
      <c r="BZ2502" s="71"/>
      <c r="CA2502" s="71"/>
      <c r="CB2502" s="71"/>
      <c r="CC2502" s="71"/>
      <c r="CD2502" s="71"/>
      <c r="CE2502" s="71"/>
      <c r="CF2502" s="71"/>
      <c r="CG2502" s="71"/>
      <c r="CH2502" s="71"/>
      <c r="CI2502" s="71"/>
      <c r="CJ2502" s="71"/>
      <c r="CK2502" s="71"/>
      <c r="CL2502" s="71"/>
      <c r="CM2502" s="71"/>
      <c r="CN2502" s="71"/>
      <c r="CO2502" s="71"/>
      <c r="CP2502" s="71"/>
      <c r="CQ2502" s="71"/>
      <c r="CR2502" s="71"/>
      <c r="CS2502" s="71"/>
      <c r="CT2502" s="71"/>
      <c r="CU2502" s="71"/>
      <c r="CV2502" s="71"/>
      <c r="CW2502" s="71"/>
      <c r="CX2502" s="71"/>
      <c r="CY2502" s="71"/>
      <c r="CZ2502" s="71"/>
      <c r="DA2502" s="71"/>
      <c r="DB2502" s="71"/>
      <c r="DC2502" s="71"/>
      <c r="DD2502" s="71"/>
      <c r="DE2502" s="71"/>
      <c r="DF2502" s="71"/>
      <c r="DG2502" s="71"/>
      <c r="DH2502" s="71"/>
      <c r="DI2502" s="71"/>
      <c r="DJ2502" s="71"/>
      <c r="DK2502" s="71"/>
      <c r="DL2502" s="71"/>
      <c r="DM2502" s="71"/>
      <c r="DN2502" s="71"/>
      <c r="DO2502" s="71"/>
      <c r="DP2502" s="71"/>
      <c r="DQ2502" s="71"/>
      <c r="DR2502" s="71"/>
      <c r="DS2502" s="71"/>
      <c r="DT2502" s="71"/>
      <c r="DU2502" s="71"/>
      <c r="DV2502" s="71"/>
      <c r="DW2502" s="71"/>
      <c r="DX2502" s="71"/>
      <c r="DY2502" s="71"/>
      <c r="DZ2502" s="71"/>
      <c r="EA2502" s="71"/>
      <c r="EB2502" s="71"/>
      <c r="EC2502" s="71"/>
      <c r="ED2502" s="71"/>
      <c r="EE2502" s="71"/>
      <c r="EF2502" s="71"/>
      <c r="EG2502" s="71"/>
      <c r="EH2502" s="71"/>
      <c r="EI2502" s="71"/>
      <c r="EJ2502" s="71"/>
      <c r="EK2502" s="71"/>
      <c r="EL2502" s="71"/>
      <c r="EM2502" s="71"/>
      <c r="EN2502" s="71"/>
    </row>
    <row r="2503" spans="1:144" s="71" customFormat="1" x14ac:dyDescent="0.25">
      <c r="A2503" s="359">
        <v>1</v>
      </c>
      <c r="B2503" s="359">
        <v>5956</v>
      </c>
      <c r="C2503" s="371" t="s">
        <v>390</v>
      </c>
      <c r="D2503" s="291">
        <v>1225.2</v>
      </c>
      <c r="E2503" s="366" t="s">
        <v>68</v>
      </c>
      <c r="F2503" s="366">
        <v>3</v>
      </c>
      <c r="G2503" s="27"/>
      <c r="H2503" s="91" t="s">
        <v>66</v>
      </c>
      <c r="I2503" s="229">
        <f>SUM(I2504:I2509)</f>
        <v>3401400.24</v>
      </c>
      <c r="J2503" s="229">
        <f>SUM(J2504:J2509)</f>
        <v>2776.2</v>
      </c>
      <c r="K2503" s="229">
        <f>SUM(K2504:K2509)</f>
        <v>4051</v>
      </c>
    </row>
    <row r="2504" spans="1:144" s="71" customFormat="1" x14ac:dyDescent="0.25">
      <c r="A2504" s="360"/>
      <c r="B2504" s="360"/>
      <c r="C2504" s="372"/>
      <c r="D2504" s="292"/>
      <c r="E2504" s="367"/>
      <c r="F2504" s="367"/>
      <c r="G2504" s="360" t="s">
        <v>70</v>
      </c>
      <c r="H2504" s="91" t="s">
        <v>169</v>
      </c>
      <c r="I2504" s="229">
        <f>D2503*K2504*70/100</f>
        <v>2496590.04</v>
      </c>
      <c r="J2504" s="229">
        <f>I2504/D2503</f>
        <v>2037.7</v>
      </c>
      <c r="K2504" s="229">
        <v>2911</v>
      </c>
    </row>
    <row r="2505" spans="1:144" s="71" customFormat="1" x14ac:dyDescent="0.25">
      <c r="A2505" s="360"/>
      <c r="B2505" s="360"/>
      <c r="C2505" s="372"/>
      <c r="D2505" s="292"/>
      <c r="E2505" s="367"/>
      <c r="F2505" s="367"/>
      <c r="G2505" s="368"/>
      <c r="H2505" s="91" t="s">
        <v>69</v>
      </c>
      <c r="I2505" s="229">
        <v>0</v>
      </c>
      <c r="J2505" s="229">
        <f>I2505/D2503</f>
        <v>0</v>
      </c>
      <c r="K2505" s="229">
        <v>62</v>
      </c>
    </row>
    <row r="2506" spans="1:144" s="71" customFormat="1" x14ac:dyDescent="0.25">
      <c r="A2506" s="360"/>
      <c r="B2506" s="360"/>
      <c r="C2506" s="372"/>
      <c r="D2506" s="292"/>
      <c r="E2506" s="367"/>
      <c r="F2506" s="367"/>
      <c r="G2506" s="360" t="s">
        <v>71</v>
      </c>
      <c r="H2506" s="91" t="s">
        <v>169</v>
      </c>
      <c r="I2506" s="229">
        <f>D2503*K2506*70/100</f>
        <v>439969.32</v>
      </c>
      <c r="J2506" s="229">
        <f>I2506/D2503</f>
        <v>359.1</v>
      </c>
      <c r="K2506" s="229">
        <v>513</v>
      </c>
    </row>
    <row r="2507" spans="1:144" s="71" customFormat="1" x14ac:dyDescent="0.25">
      <c r="A2507" s="360"/>
      <c r="B2507" s="360"/>
      <c r="C2507" s="372"/>
      <c r="D2507" s="292"/>
      <c r="E2507" s="367"/>
      <c r="F2507" s="367"/>
      <c r="G2507" s="368"/>
      <c r="H2507" s="91" t="s">
        <v>69</v>
      </c>
      <c r="I2507" s="229">
        <v>0</v>
      </c>
      <c r="J2507" s="229">
        <f>I2507/D2503</f>
        <v>0</v>
      </c>
      <c r="K2507" s="229">
        <v>11</v>
      </c>
    </row>
    <row r="2508" spans="1:144" s="71" customFormat="1" x14ac:dyDescent="0.25">
      <c r="A2508" s="360"/>
      <c r="B2508" s="360"/>
      <c r="C2508" s="372"/>
      <c r="D2508" s="292"/>
      <c r="E2508" s="367"/>
      <c r="F2508" s="367"/>
      <c r="G2508" s="360" t="s">
        <v>72</v>
      </c>
      <c r="H2508" s="91" t="s">
        <v>169</v>
      </c>
      <c r="I2508" s="229">
        <f>D2503*K2508*70/100</f>
        <v>464840.88</v>
      </c>
      <c r="J2508" s="229">
        <f>I2508/D2503</f>
        <v>379.4</v>
      </c>
      <c r="K2508" s="229">
        <v>542</v>
      </c>
    </row>
    <row r="2509" spans="1:144" s="71" customFormat="1" x14ac:dyDescent="0.25">
      <c r="A2509" s="368"/>
      <c r="B2509" s="368"/>
      <c r="C2509" s="396"/>
      <c r="D2509" s="293"/>
      <c r="E2509" s="383"/>
      <c r="F2509" s="383"/>
      <c r="G2509" s="368"/>
      <c r="H2509" s="91" t="s">
        <v>69</v>
      </c>
      <c r="I2509" s="229">
        <v>0</v>
      </c>
      <c r="J2509" s="229">
        <f>I2509/D2503</f>
        <v>0</v>
      </c>
      <c r="K2509" s="229">
        <v>12</v>
      </c>
    </row>
    <row r="2510" spans="1:144" s="71" customFormat="1" x14ac:dyDescent="0.25">
      <c r="A2510" s="359">
        <f>A2503+1</f>
        <v>2</v>
      </c>
      <c r="B2510" s="359">
        <v>5990</v>
      </c>
      <c r="C2510" s="371" t="s">
        <v>391</v>
      </c>
      <c r="D2510" s="291">
        <v>3134</v>
      </c>
      <c r="E2510" s="366" t="s">
        <v>68</v>
      </c>
      <c r="F2510" s="366">
        <v>5</v>
      </c>
      <c r="G2510" s="27"/>
      <c r="H2510" s="91" t="s">
        <v>66</v>
      </c>
      <c r="I2510" s="229">
        <f>SUM(I2511:I2512)</f>
        <v>8329858.5999999996</v>
      </c>
      <c r="J2510" s="229">
        <f>SUM(J2511:J2512)</f>
        <v>2657.9</v>
      </c>
      <c r="K2510" s="229">
        <f>SUM(K2511:K2512)</f>
        <v>3878</v>
      </c>
    </row>
    <row r="2511" spans="1:144" s="71" customFormat="1" ht="15.75" customHeight="1" x14ac:dyDescent="0.25">
      <c r="A2511" s="360"/>
      <c r="B2511" s="360"/>
      <c r="C2511" s="372"/>
      <c r="D2511" s="292"/>
      <c r="E2511" s="367"/>
      <c r="F2511" s="367"/>
      <c r="G2511" s="360" t="s">
        <v>65</v>
      </c>
      <c r="H2511" s="91" t="s">
        <v>169</v>
      </c>
      <c r="I2511" s="229">
        <f>D2510*K2511*70/100</f>
        <v>8329858.5999999996</v>
      </c>
      <c r="J2511" s="229">
        <f>I2511/D2510</f>
        <v>2657.9</v>
      </c>
      <c r="K2511" s="229">
        <v>3797</v>
      </c>
    </row>
    <row r="2512" spans="1:144" s="71" customFormat="1" x14ac:dyDescent="0.25">
      <c r="A2512" s="360"/>
      <c r="B2512" s="360"/>
      <c r="C2512" s="372"/>
      <c r="D2512" s="292"/>
      <c r="E2512" s="367"/>
      <c r="F2512" s="367"/>
      <c r="G2512" s="368"/>
      <c r="H2512" s="91" t="s">
        <v>69</v>
      </c>
      <c r="I2512" s="229">
        <v>0</v>
      </c>
      <c r="J2512" s="229">
        <f>I2512/D2510</f>
        <v>0</v>
      </c>
      <c r="K2512" s="229">
        <v>81</v>
      </c>
    </row>
    <row r="2513" spans="1:11" s="71" customFormat="1" x14ac:dyDescent="0.25">
      <c r="A2513" s="359">
        <f>A2510+1</f>
        <v>3</v>
      </c>
      <c r="B2513" s="359">
        <v>5997</v>
      </c>
      <c r="C2513" s="359" t="s">
        <v>674</v>
      </c>
      <c r="D2513" s="291">
        <v>3458.9</v>
      </c>
      <c r="E2513" s="366" t="s">
        <v>64</v>
      </c>
      <c r="F2513" s="366">
        <v>5</v>
      </c>
      <c r="G2513" s="27"/>
      <c r="H2513" s="91" t="s">
        <v>66</v>
      </c>
      <c r="I2513" s="229">
        <f>I2514+I2515</f>
        <v>13133443.300000001</v>
      </c>
      <c r="J2513" s="229">
        <f>J2514+J2515</f>
        <v>3797</v>
      </c>
      <c r="K2513" s="229">
        <f>K2514+K2515</f>
        <v>3878</v>
      </c>
    </row>
    <row r="2514" spans="1:11" s="71" customFormat="1" x14ac:dyDescent="0.25">
      <c r="A2514" s="360"/>
      <c r="B2514" s="360"/>
      <c r="C2514" s="360"/>
      <c r="D2514" s="292"/>
      <c r="E2514" s="367"/>
      <c r="F2514" s="367"/>
      <c r="G2514" s="360" t="s">
        <v>65</v>
      </c>
      <c r="H2514" s="91" t="s">
        <v>169</v>
      </c>
      <c r="I2514" s="229">
        <f>D2513*K2514</f>
        <v>13133443.300000001</v>
      </c>
      <c r="J2514" s="229">
        <f>I2514/D2513</f>
        <v>3797</v>
      </c>
      <c r="K2514" s="229">
        <v>3797</v>
      </c>
    </row>
    <row r="2515" spans="1:11" s="71" customFormat="1" x14ac:dyDescent="0.25">
      <c r="A2515" s="360"/>
      <c r="B2515" s="360"/>
      <c r="C2515" s="360"/>
      <c r="D2515" s="292"/>
      <c r="E2515" s="367"/>
      <c r="F2515" s="367"/>
      <c r="G2515" s="368"/>
      <c r="H2515" s="91" t="s">
        <v>69</v>
      </c>
      <c r="I2515" s="229">
        <v>0</v>
      </c>
      <c r="J2515" s="229">
        <f>I2515/D2513</f>
        <v>0</v>
      </c>
      <c r="K2515" s="229">
        <v>81</v>
      </c>
    </row>
    <row r="2516" spans="1:11" s="71" customFormat="1" x14ac:dyDescent="0.25">
      <c r="A2516" s="359">
        <f>A2513+1</f>
        <v>4</v>
      </c>
      <c r="B2516" s="359">
        <v>6007</v>
      </c>
      <c r="C2516" s="371" t="s">
        <v>392</v>
      </c>
      <c r="D2516" s="291">
        <v>3159.5</v>
      </c>
      <c r="E2516" s="366" t="s">
        <v>68</v>
      </c>
      <c r="F2516" s="366">
        <v>5</v>
      </c>
      <c r="G2516" s="27"/>
      <c r="H2516" s="91" t="s">
        <v>66</v>
      </c>
      <c r="I2516" s="229">
        <f>SUM(I2517:I2518)</f>
        <v>11996621.5</v>
      </c>
      <c r="J2516" s="229">
        <f>SUM(J2517:J2518)</f>
        <v>3797</v>
      </c>
      <c r="K2516" s="229">
        <f>SUM(K2517:K2518)</f>
        <v>3878</v>
      </c>
    </row>
    <row r="2517" spans="1:11" s="71" customFormat="1" ht="15.75" customHeight="1" x14ac:dyDescent="0.25">
      <c r="A2517" s="360"/>
      <c r="B2517" s="360"/>
      <c r="C2517" s="372"/>
      <c r="D2517" s="292"/>
      <c r="E2517" s="367"/>
      <c r="F2517" s="367"/>
      <c r="G2517" s="360" t="s">
        <v>65</v>
      </c>
      <c r="H2517" s="91" t="s">
        <v>169</v>
      </c>
      <c r="I2517" s="229">
        <f>D2516*K2517</f>
        <v>11996621.5</v>
      </c>
      <c r="J2517" s="229">
        <f>I2517/D2516</f>
        <v>3797</v>
      </c>
      <c r="K2517" s="229">
        <v>3797</v>
      </c>
    </row>
    <row r="2518" spans="1:11" s="71" customFormat="1" x14ac:dyDescent="0.25">
      <c r="A2518" s="360"/>
      <c r="B2518" s="360"/>
      <c r="C2518" s="372"/>
      <c r="D2518" s="292"/>
      <c r="E2518" s="367"/>
      <c r="F2518" s="367"/>
      <c r="G2518" s="368"/>
      <c r="H2518" s="91" t="s">
        <v>69</v>
      </c>
      <c r="I2518" s="229">
        <v>0</v>
      </c>
      <c r="J2518" s="229">
        <f>I2518/D2516</f>
        <v>0</v>
      </c>
      <c r="K2518" s="229">
        <v>81</v>
      </c>
    </row>
    <row r="2519" spans="1:11" s="71" customFormat="1" x14ac:dyDescent="0.25">
      <c r="A2519" s="359">
        <f>A2516+1</f>
        <v>5</v>
      </c>
      <c r="B2519" s="359">
        <v>6024</v>
      </c>
      <c r="C2519" s="371" t="s">
        <v>393</v>
      </c>
      <c r="D2519" s="291">
        <v>2445.6</v>
      </c>
      <c r="E2519" s="291" t="s">
        <v>68</v>
      </c>
      <c r="F2519" s="366">
        <v>9</v>
      </c>
      <c r="G2519" s="359" t="s">
        <v>65</v>
      </c>
      <c r="H2519" s="91" t="s">
        <v>66</v>
      </c>
      <c r="I2519" s="229">
        <f>I2520+I2521</f>
        <v>5967264</v>
      </c>
      <c r="J2519" s="229">
        <f>J2520+J2521</f>
        <v>2440</v>
      </c>
      <c r="K2519" s="229">
        <f>K2520+K2521</f>
        <v>2492</v>
      </c>
    </row>
    <row r="2520" spans="1:11" s="71" customFormat="1" x14ac:dyDescent="0.25">
      <c r="A2520" s="360"/>
      <c r="B2520" s="360"/>
      <c r="C2520" s="372"/>
      <c r="D2520" s="292"/>
      <c r="E2520" s="292"/>
      <c r="F2520" s="367"/>
      <c r="G2520" s="360"/>
      <c r="H2520" s="91" t="s">
        <v>67</v>
      </c>
      <c r="I2520" s="229">
        <f>D2519*K2520</f>
        <v>5967264</v>
      </c>
      <c r="J2520" s="229">
        <f>I2520/D2519</f>
        <v>2440</v>
      </c>
      <c r="K2520" s="229">
        <v>2440</v>
      </c>
    </row>
    <row r="2521" spans="1:11" s="71" customFormat="1" x14ac:dyDescent="0.25">
      <c r="A2521" s="368"/>
      <c r="B2521" s="368"/>
      <c r="C2521" s="396"/>
      <c r="D2521" s="293"/>
      <c r="E2521" s="293"/>
      <c r="F2521" s="383"/>
      <c r="G2521" s="368"/>
      <c r="H2521" s="91" t="s">
        <v>69</v>
      </c>
      <c r="I2521" s="229">
        <f>0</f>
        <v>0</v>
      </c>
      <c r="J2521" s="229">
        <f>I2521/D2519</f>
        <v>0</v>
      </c>
      <c r="K2521" s="229">
        <v>52</v>
      </c>
    </row>
    <row r="2522" spans="1:11" s="71" customFormat="1" x14ac:dyDescent="0.25">
      <c r="A2522" s="359">
        <f>A2519+1</f>
        <v>6</v>
      </c>
      <c r="B2522" s="359">
        <v>6031</v>
      </c>
      <c r="C2522" s="371" t="s">
        <v>416</v>
      </c>
      <c r="D2522" s="291">
        <v>5197.3900000000003</v>
      </c>
      <c r="E2522" s="291" t="s">
        <v>68</v>
      </c>
      <c r="F2522" s="366">
        <v>5</v>
      </c>
      <c r="G2522" s="359" t="s">
        <v>65</v>
      </c>
      <c r="H2522" s="91" t="s">
        <v>66</v>
      </c>
      <c r="I2522" s="229">
        <f>I2523+I2524</f>
        <v>19734489.829999998</v>
      </c>
      <c r="J2522" s="229">
        <f t="shared" ref="J2522:K2522" si="88">J2523+J2524</f>
        <v>3797</v>
      </c>
      <c r="K2522" s="229">
        <f t="shared" si="88"/>
        <v>3878</v>
      </c>
    </row>
    <row r="2523" spans="1:11" s="71" customFormat="1" x14ac:dyDescent="0.25">
      <c r="A2523" s="360"/>
      <c r="B2523" s="360"/>
      <c r="C2523" s="372"/>
      <c r="D2523" s="292"/>
      <c r="E2523" s="292"/>
      <c r="F2523" s="367"/>
      <c r="G2523" s="360"/>
      <c r="H2523" s="91" t="s">
        <v>169</v>
      </c>
      <c r="I2523" s="229">
        <f>D2522*K2523</f>
        <v>19734489.829999998</v>
      </c>
      <c r="J2523" s="229">
        <f>I2523/D2522</f>
        <v>3797</v>
      </c>
      <c r="K2523" s="229">
        <v>3797</v>
      </c>
    </row>
    <row r="2524" spans="1:11" s="71" customFormat="1" x14ac:dyDescent="0.25">
      <c r="A2524" s="360"/>
      <c r="B2524" s="360"/>
      <c r="C2524" s="372"/>
      <c r="D2524" s="292"/>
      <c r="E2524" s="292"/>
      <c r="F2524" s="367"/>
      <c r="G2524" s="360"/>
      <c r="H2524" s="91" t="s">
        <v>69</v>
      </c>
      <c r="I2524" s="229">
        <v>0</v>
      </c>
      <c r="J2524" s="229">
        <f>I2524/D2522</f>
        <v>0</v>
      </c>
      <c r="K2524" s="229">
        <v>81</v>
      </c>
    </row>
    <row r="2525" spans="1:11" s="71" customFormat="1" x14ac:dyDescent="0.25">
      <c r="A2525" s="359">
        <f>A2522+1</f>
        <v>7</v>
      </c>
      <c r="B2525" s="359">
        <v>6033</v>
      </c>
      <c r="C2525" s="371" t="s">
        <v>678</v>
      </c>
      <c r="D2525" s="291">
        <v>10846.3</v>
      </c>
      <c r="E2525" s="291" t="s">
        <v>68</v>
      </c>
      <c r="F2525" s="366">
        <v>9</v>
      </c>
      <c r="G2525" s="158"/>
      <c r="H2525" s="91" t="s">
        <v>66</v>
      </c>
      <c r="I2525" s="229">
        <f>SUM(I2526:I2527)</f>
        <v>64562</v>
      </c>
      <c r="J2525" s="229">
        <f>SUM(J2526:J2527)</f>
        <v>5.95</v>
      </c>
      <c r="K2525" s="229">
        <f>SUM(K2526:K2527)</f>
        <v>5.95</v>
      </c>
    </row>
    <row r="2526" spans="1:11" s="71" customFormat="1" ht="63" x14ac:dyDescent="0.25">
      <c r="A2526" s="360"/>
      <c r="B2526" s="360"/>
      <c r="C2526" s="372"/>
      <c r="D2526" s="292"/>
      <c r="E2526" s="292"/>
      <c r="F2526" s="367"/>
      <c r="G2526" s="147" t="s">
        <v>175</v>
      </c>
      <c r="H2526" s="91" t="s">
        <v>231</v>
      </c>
      <c r="I2526" s="229">
        <f>22681+9600</f>
        <v>32281</v>
      </c>
      <c r="J2526" s="229">
        <f>I2526/D2525-0.01</f>
        <v>2.97</v>
      </c>
      <c r="K2526" s="229">
        <f>(22681+9600)/D2525-0.01</f>
        <v>2.97</v>
      </c>
    </row>
    <row r="2527" spans="1:11" s="71" customFormat="1" ht="63" x14ac:dyDescent="0.25">
      <c r="A2527" s="360"/>
      <c r="B2527" s="360"/>
      <c r="C2527" s="372"/>
      <c r="D2527" s="292"/>
      <c r="E2527" s="292"/>
      <c r="F2527" s="367"/>
      <c r="G2527" s="147" t="s">
        <v>172</v>
      </c>
      <c r="H2527" s="91" t="s">
        <v>231</v>
      </c>
      <c r="I2527" s="229">
        <f>22681+9600</f>
        <v>32281</v>
      </c>
      <c r="J2527" s="229">
        <f>I2527/D2525</f>
        <v>2.98</v>
      </c>
      <c r="K2527" s="229">
        <f>(22681+9600)/D2525</f>
        <v>2.98</v>
      </c>
    </row>
    <row r="2528" spans="1:11" s="71" customFormat="1" x14ac:dyDescent="0.25">
      <c r="A2528" s="359">
        <f>A2525+1</f>
        <v>8</v>
      </c>
      <c r="B2528" s="359">
        <v>6045</v>
      </c>
      <c r="C2528" s="371" t="s">
        <v>560</v>
      </c>
      <c r="D2528" s="291">
        <v>34688.300000000003</v>
      </c>
      <c r="E2528" s="291" t="s">
        <v>68</v>
      </c>
      <c r="F2528" s="366">
        <v>9</v>
      </c>
      <c r="G2528" s="158"/>
      <c r="H2528" s="91" t="s">
        <v>66</v>
      </c>
      <c r="I2528" s="229">
        <f>SUM(I2529:I2530)</f>
        <v>2241647</v>
      </c>
      <c r="J2528" s="229">
        <f>SUM(J2529:J2530)</f>
        <v>64.62</v>
      </c>
      <c r="K2528" s="229">
        <f>SUM(K2529:K2530)</f>
        <v>66</v>
      </c>
    </row>
    <row r="2529" spans="1:11" s="71" customFormat="1" x14ac:dyDescent="0.25">
      <c r="A2529" s="360"/>
      <c r="B2529" s="360"/>
      <c r="C2529" s="372"/>
      <c r="D2529" s="292"/>
      <c r="E2529" s="292"/>
      <c r="F2529" s="367"/>
      <c r="G2529" s="376" t="s">
        <v>561</v>
      </c>
      <c r="H2529" s="91" t="s">
        <v>171</v>
      </c>
      <c r="I2529" s="229">
        <v>2241647</v>
      </c>
      <c r="J2529" s="229">
        <f>I2529/D2528</f>
        <v>64.62</v>
      </c>
      <c r="K2529" s="229">
        <f>2241647/D2528</f>
        <v>64.62</v>
      </c>
    </row>
    <row r="2530" spans="1:11" s="71" customFormat="1" x14ac:dyDescent="0.25">
      <c r="A2530" s="360"/>
      <c r="B2530" s="360"/>
      <c r="C2530" s="372"/>
      <c r="D2530" s="292"/>
      <c r="E2530" s="292"/>
      <c r="F2530" s="367"/>
      <c r="G2530" s="376"/>
      <c r="H2530" s="91" t="s">
        <v>69</v>
      </c>
      <c r="I2530" s="229">
        <v>0</v>
      </c>
      <c r="J2530" s="229">
        <f>I2530/D2528</f>
        <v>0</v>
      </c>
      <c r="K2530" s="229">
        <f>47971/D2528</f>
        <v>1.38</v>
      </c>
    </row>
    <row r="2531" spans="1:11" s="71" customFormat="1" x14ac:dyDescent="0.25">
      <c r="A2531" s="359">
        <f>A2528+1</f>
        <v>9</v>
      </c>
      <c r="B2531" s="359">
        <v>6061</v>
      </c>
      <c r="C2531" s="371" t="s">
        <v>462</v>
      </c>
      <c r="D2531" s="291">
        <v>43711.7</v>
      </c>
      <c r="E2531" s="359" t="s">
        <v>68</v>
      </c>
      <c r="F2531" s="359">
        <v>9</v>
      </c>
      <c r="G2531" s="158"/>
      <c r="H2531" s="91" t="s">
        <v>66</v>
      </c>
      <c r="I2531" s="229">
        <f>SUM(I2532:I2549)</f>
        <v>11466483</v>
      </c>
      <c r="J2531" s="229">
        <f t="shared" ref="J2531:K2531" si="89">SUM(J2532:J2549)</f>
        <v>262.32</v>
      </c>
      <c r="K2531" s="229">
        <f t="shared" si="89"/>
        <v>267.82</v>
      </c>
    </row>
    <row r="2532" spans="1:11" s="71" customFormat="1" x14ac:dyDescent="0.25">
      <c r="A2532" s="360"/>
      <c r="B2532" s="360"/>
      <c r="C2532" s="372"/>
      <c r="D2532" s="292"/>
      <c r="E2532" s="360"/>
      <c r="F2532" s="360"/>
      <c r="G2532" s="359" t="s">
        <v>170</v>
      </c>
      <c r="H2532" s="91" t="s">
        <v>171</v>
      </c>
      <c r="I2532" s="229">
        <v>2241647</v>
      </c>
      <c r="J2532" s="229">
        <f>I2532/D2531</f>
        <v>51.28</v>
      </c>
      <c r="K2532" s="229">
        <f>2241647/D2531</f>
        <v>51.28</v>
      </c>
    </row>
    <row r="2533" spans="1:11" s="71" customFormat="1" x14ac:dyDescent="0.25">
      <c r="A2533" s="360"/>
      <c r="B2533" s="360"/>
      <c r="C2533" s="372"/>
      <c r="D2533" s="292"/>
      <c r="E2533" s="360"/>
      <c r="F2533" s="360"/>
      <c r="G2533" s="368"/>
      <c r="H2533" s="91" t="s">
        <v>69</v>
      </c>
      <c r="I2533" s="229">
        <v>0</v>
      </c>
      <c r="J2533" s="229">
        <f>I2533/D2531</f>
        <v>0</v>
      </c>
      <c r="K2533" s="229">
        <f>47971/D2531</f>
        <v>1.1000000000000001</v>
      </c>
    </row>
    <row r="2534" spans="1:11" s="71" customFormat="1" x14ac:dyDescent="0.25">
      <c r="A2534" s="360"/>
      <c r="B2534" s="360"/>
      <c r="C2534" s="372"/>
      <c r="D2534" s="292"/>
      <c r="E2534" s="360"/>
      <c r="F2534" s="360"/>
      <c r="G2534" s="359" t="s">
        <v>173</v>
      </c>
      <c r="H2534" s="91" t="s">
        <v>171</v>
      </c>
      <c r="I2534" s="229">
        <v>2241647</v>
      </c>
      <c r="J2534" s="229">
        <f>I2534/D2531</f>
        <v>51.28</v>
      </c>
      <c r="K2534" s="229">
        <f>2241647/D2531</f>
        <v>51.28</v>
      </c>
    </row>
    <row r="2535" spans="1:11" s="71" customFormat="1" x14ac:dyDescent="0.25">
      <c r="A2535" s="360"/>
      <c r="B2535" s="360"/>
      <c r="C2535" s="372"/>
      <c r="D2535" s="292"/>
      <c r="E2535" s="360"/>
      <c r="F2535" s="360"/>
      <c r="G2535" s="368"/>
      <c r="H2535" s="91" t="s">
        <v>69</v>
      </c>
      <c r="I2535" s="229">
        <v>0</v>
      </c>
      <c r="J2535" s="229">
        <f>I2535/D2531</f>
        <v>0</v>
      </c>
      <c r="K2535" s="229">
        <f>47971/D2531</f>
        <v>1.1000000000000001</v>
      </c>
    </row>
    <row r="2536" spans="1:11" s="71" customFormat="1" x14ac:dyDescent="0.25">
      <c r="A2536" s="360"/>
      <c r="B2536" s="360"/>
      <c r="C2536" s="372"/>
      <c r="D2536" s="292"/>
      <c r="E2536" s="360"/>
      <c r="F2536" s="360"/>
      <c r="G2536" s="359" t="s">
        <v>174</v>
      </c>
      <c r="H2536" s="91" t="s">
        <v>171</v>
      </c>
      <c r="I2536" s="229">
        <v>2241647</v>
      </c>
      <c r="J2536" s="229">
        <f>I2536/D2531</f>
        <v>51.28</v>
      </c>
      <c r="K2536" s="229">
        <f>2241647/D2531</f>
        <v>51.28</v>
      </c>
    </row>
    <row r="2537" spans="1:11" s="71" customFormat="1" x14ac:dyDescent="0.25">
      <c r="A2537" s="360"/>
      <c r="B2537" s="360"/>
      <c r="C2537" s="372"/>
      <c r="D2537" s="292"/>
      <c r="E2537" s="360"/>
      <c r="F2537" s="360"/>
      <c r="G2537" s="368"/>
      <c r="H2537" s="91" t="s">
        <v>69</v>
      </c>
      <c r="I2537" s="229">
        <v>0</v>
      </c>
      <c r="J2537" s="229">
        <f>I2537/D2531</f>
        <v>0</v>
      </c>
      <c r="K2537" s="229">
        <f>47971/D2531</f>
        <v>1.1000000000000001</v>
      </c>
    </row>
    <row r="2538" spans="1:11" s="71" customFormat="1" x14ac:dyDescent="0.25">
      <c r="A2538" s="360"/>
      <c r="B2538" s="360"/>
      <c r="C2538" s="372"/>
      <c r="D2538" s="292"/>
      <c r="E2538" s="360"/>
      <c r="F2538" s="360"/>
      <c r="G2538" s="359" t="s">
        <v>175</v>
      </c>
      <c r="H2538" s="91" t="s">
        <v>171</v>
      </c>
      <c r="I2538" s="229">
        <v>2241647</v>
      </c>
      <c r="J2538" s="229">
        <f>I2538/D2531</f>
        <v>51.28</v>
      </c>
      <c r="K2538" s="229">
        <f>2241647/D2531</f>
        <v>51.28</v>
      </c>
    </row>
    <row r="2539" spans="1:11" s="71" customFormat="1" x14ac:dyDescent="0.25">
      <c r="A2539" s="360"/>
      <c r="B2539" s="360"/>
      <c r="C2539" s="372"/>
      <c r="D2539" s="292"/>
      <c r="E2539" s="360"/>
      <c r="F2539" s="360"/>
      <c r="G2539" s="368"/>
      <c r="H2539" s="91" t="s">
        <v>69</v>
      </c>
      <c r="I2539" s="229">
        <v>0</v>
      </c>
      <c r="J2539" s="229">
        <f>I2539/D2531</f>
        <v>0</v>
      </c>
      <c r="K2539" s="229">
        <f>47971/D2531</f>
        <v>1.1000000000000001</v>
      </c>
    </row>
    <row r="2540" spans="1:11" s="71" customFormat="1" ht="63" x14ac:dyDescent="0.25">
      <c r="A2540" s="360"/>
      <c r="B2540" s="360"/>
      <c r="C2540" s="372"/>
      <c r="D2540" s="292"/>
      <c r="E2540" s="360"/>
      <c r="F2540" s="360"/>
      <c r="G2540" s="147" t="s">
        <v>172</v>
      </c>
      <c r="H2540" s="91" t="s">
        <v>231</v>
      </c>
      <c r="I2540" s="229">
        <f>22681+9600</f>
        <v>32281</v>
      </c>
      <c r="J2540" s="229">
        <f>I2540/D2531</f>
        <v>0.74</v>
      </c>
      <c r="K2540" s="229">
        <f>(22681+9600)/D2531</f>
        <v>0.74</v>
      </c>
    </row>
    <row r="2541" spans="1:11" s="71" customFormat="1" ht="63" x14ac:dyDescent="0.25">
      <c r="A2541" s="360"/>
      <c r="B2541" s="360"/>
      <c r="C2541" s="372"/>
      <c r="D2541" s="292"/>
      <c r="E2541" s="360"/>
      <c r="F2541" s="360"/>
      <c r="G2541" s="147" t="s">
        <v>440</v>
      </c>
      <c r="H2541" s="91" t="s">
        <v>231</v>
      </c>
      <c r="I2541" s="229">
        <f t="shared" ref="I2541:I2544" si="90">22681+9600</f>
        <v>32281</v>
      </c>
      <c r="J2541" s="229">
        <f>I2541/D2531</f>
        <v>0.74</v>
      </c>
      <c r="K2541" s="229">
        <f>(22681+9600)/D2531</f>
        <v>0.74</v>
      </c>
    </row>
    <row r="2542" spans="1:11" s="71" customFormat="1" ht="63" x14ac:dyDescent="0.25">
      <c r="A2542" s="360"/>
      <c r="B2542" s="360"/>
      <c r="C2542" s="372"/>
      <c r="D2542" s="292"/>
      <c r="E2542" s="360"/>
      <c r="F2542" s="360"/>
      <c r="G2542" s="147" t="s">
        <v>449</v>
      </c>
      <c r="H2542" s="91" t="s">
        <v>231</v>
      </c>
      <c r="I2542" s="229">
        <f t="shared" si="90"/>
        <v>32281</v>
      </c>
      <c r="J2542" s="229">
        <f>I2542/D2531</f>
        <v>0.74</v>
      </c>
      <c r="K2542" s="229">
        <f>(22681+9600)/D2531</f>
        <v>0.74</v>
      </c>
    </row>
    <row r="2543" spans="1:11" s="71" customFormat="1" ht="63" x14ac:dyDescent="0.25">
      <c r="A2543" s="360"/>
      <c r="B2543" s="360"/>
      <c r="C2543" s="372"/>
      <c r="D2543" s="292"/>
      <c r="E2543" s="360"/>
      <c r="F2543" s="360"/>
      <c r="G2543" s="147" t="s">
        <v>610</v>
      </c>
      <c r="H2543" s="91" t="s">
        <v>231</v>
      </c>
      <c r="I2543" s="229">
        <f t="shared" si="90"/>
        <v>32281</v>
      </c>
      <c r="J2543" s="229">
        <f>I2543/D2531</f>
        <v>0.74</v>
      </c>
      <c r="K2543" s="229">
        <f>(22681+9600)/D2531</f>
        <v>0.74</v>
      </c>
    </row>
    <row r="2544" spans="1:11" s="71" customFormat="1" ht="63" x14ac:dyDescent="0.25">
      <c r="A2544" s="360"/>
      <c r="B2544" s="360"/>
      <c r="C2544" s="372"/>
      <c r="D2544" s="292"/>
      <c r="E2544" s="360"/>
      <c r="F2544" s="360"/>
      <c r="G2544" s="147" t="s">
        <v>611</v>
      </c>
      <c r="H2544" s="91" t="s">
        <v>231</v>
      </c>
      <c r="I2544" s="229">
        <f t="shared" si="90"/>
        <v>32281</v>
      </c>
      <c r="J2544" s="229">
        <f>I2544/D2531</f>
        <v>0.74</v>
      </c>
      <c r="K2544" s="229">
        <f>(22681+9600)/D2531</f>
        <v>0.74</v>
      </c>
    </row>
    <row r="2545" spans="1:11" s="71" customFormat="1" x14ac:dyDescent="0.25">
      <c r="A2545" s="360"/>
      <c r="B2545" s="360"/>
      <c r="C2545" s="372"/>
      <c r="D2545" s="292"/>
      <c r="E2545" s="360"/>
      <c r="F2545" s="360"/>
      <c r="G2545" s="359" t="s">
        <v>562</v>
      </c>
      <c r="H2545" s="91" t="s">
        <v>171</v>
      </c>
      <c r="I2545" s="229">
        <v>2241647</v>
      </c>
      <c r="J2545" s="229">
        <f>I2545/D2531</f>
        <v>51.28</v>
      </c>
      <c r="K2545" s="229">
        <f>2241647/D2531</f>
        <v>51.28</v>
      </c>
    </row>
    <row r="2546" spans="1:11" s="71" customFormat="1" x14ac:dyDescent="0.25">
      <c r="A2546" s="360"/>
      <c r="B2546" s="360"/>
      <c r="C2546" s="372"/>
      <c r="D2546" s="292"/>
      <c r="E2546" s="360"/>
      <c r="F2546" s="360"/>
      <c r="G2546" s="368"/>
      <c r="H2546" s="91" t="s">
        <v>69</v>
      </c>
      <c r="I2546" s="229">
        <v>0</v>
      </c>
      <c r="J2546" s="229">
        <f>I2546/D2531</f>
        <v>0</v>
      </c>
      <c r="K2546" s="229">
        <f>47971/D2531</f>
        <v>1.1000000000000001</v>
      </c>
    </row>
    <row r="2547" spans="1:11" s="71" customFormat="1" ht="63" x14ac:dyDescent="0.25">
      <c r="A2547" s="360"/>
      <c r="B2547" s="360"/>
      <c r="C2547" s="372"/>
      <c r="D2547" s="292"/>
      <c r="E2547" s="360"/>
      <c r="F2547" s="360"/>
      <c r="G2547" s="147" t="s">
        <v>561</v>
      </c>
      <c r="H2547" s="91" t="s">
        <v>231</v>
      </c>
      <c r="I2547" s="229">
        <f t="shared" ref="I2547:I2549" si="91">22681+9600</f>
        <v>32281</v>
      </c>
      <c r="J2547" s="229">
        <f>I2547/D2531</f>
        <v>0.74</v>
      </c>
      <c r="K2547" s="229">
        <f>(22681+9600)/D2531</f>
        <v>0.74</v>
      </c>
    </row>
    <row r="2548" spans="1:11" s="71" customFormat="1" ht="63" x14ac:dyDescent="0.25">
      <c r="A2548" s="360"/>
      <c r="B2548" s="360"/>
      <c r="C2548" s="372"/>
      <c r="D2548" s="292"/>
      <c r="E2548" s="360"/>
      <c r="F2548" s="360"/>
      <c r="G2548" s="147" t="s">
        <v>679</v>
      </c>
      <c r="H2548" s="91" t="s">
        <v>231</v>
      </c>
      <c r="I2548" s="229">
        <f t="shared" si="91"/>
        <v>32281</v>
      </c>
      <c r="J2548" s="229">
        <f>I2548/D2531</f>
        <v>0.74</v>
      </c>
      <c r="K2548" s="229">
        <f>(22681+9600)/D2531</f>
        <v>0.74</v>
      </c>
    </row>
    <row r="2549" spans="1:11" s="71" customFormat="1" ht="63" x14ac:dyDescent="0.25">
      <c r="A2549" s="368"/>
      <c r="B2549" s="368"/>
      <c r="C2549" s="396"/>
      <c r="D2549" s="293"/>
      <c r="E2549" s="368"/>
      <c r="F2549" s="368"/>
      <c r="G2549" s="147" t="s">
        <v>680</v>
      </c>
      <c r="H2549" s="91" t="s">
        <v>231</v>
      </c>
      <c r="I2549" s="229">
        <f t="shared" si="91"/>
        <v>32281</v>
      </c>
      <c r="J2549" s="229">
        <f>I2549/D2531</f>
        <v>0.74</v>
      </c>
      <c r="K2549" s="229">
        <f>(22681+9600)/D2531</f>
        <v>0.74</v>
      </c>
    </row>
    <row r="2550" spans="1:11" s="71" customFormat="1" x14ac:dyDescent="0.25">
      <c r="A2550" s="359">
        <f>A2531+1</f>
        <v>10</v>
      </c>
      <c r="B2550" s="359">
        <v>5835</v>
      </c>
      <c r="C2550" s="371" t="s">
        <v>394</v>
      </c>
      <c r="D2550" s="291">
        <v>3133.1</v>
      </c>
      <c r="E2550" s="366" t="s">
        <v>68</v>
      </c>
      <c r="F2550" s="366">
        <v>5</v>
      </c>
      <c r="G2550" s="27"/>
      <c r="H2550" s="91" t="s">
        <v>66</v>
      </c>
      <c r="I2550" s="229">
        <f>SUM(I2551:I2552)</f>
        <v>8327466.4900000002</v>
      </c>
      <c r="J2550" s="229">
        <f>SUM(J2551:J2552)</f>
        <v>2657.9</v>
      </c>
      <c r="K2550" s="229">
        <f>SUM(K2551:K2552)</f>
        <v>3878</v>
      </c>
    </row>
    <row r="2551" spans="1:11" s="71" customFormat="1" ht="15.75" customHeight="1" x14ac:dyDescent="0.25">
      <c r="A2551" s="360"/>
      <c r="B2551" s="360"/>
      <c r="C2551" s="372"/>
      <c r="D2551" s="292"/>
      <c r="E2551" s="367"/>
      <c r="F2551" s="367"/>
      <c r="G2551" s="360" t="s">
        <v>65</v>
      </c>
      <c r="H2551" s="91" t="s">
        <v>169</v>
      </c>
      <c r="I2551" s="229">
        <f>D2550*K2551*70/100</f>
        <v>8327466.4900000002</v>
      </c>
      <c r="J2551" s="229">
        <f>I2551/D2550</f>
        <v>2657.9</v>
      </c>
      <c r="K2551" s="229">
        <v>3797</v>
      </c>
    </row>
    <row r="2552" spans="1:11" s="71" customFormat="1" x14ac:dyDescent="0.25">
      <c r="A2552" s="360"/>
      <c r="B2552" s="360"/>
      <c r="C2552" s="372"/>
      <c r="D2552" s="292"/>
      <c r="E2552" s="367"/>
      <c r="F2552" s="367"/>
      <c r="G2552" s="368"/>
      <c r="H2552" s="91" t="s">
        <v>69</v>
      </c>
      <c r="I2552" s="229">
        <v>0</v>
      </c>
      <c r="J2552" s="229">
        <f>I2552/D2550</f>
        <v>0</v>
      </c>
      <c r="K2552" s="229">
        <v>81</v>
      </c>
    </row>
    <row r="2553" spans="1:11" s="71" customFormat="1" x14ac:dyDescent="0.25">
      <c r="A2553" s="359">
        <f>A2550+1</f>
        <v>11</v>
      </c>
      <c r="B2553" s="359">
        <v>5836</v>
      </c>
      <c r="C2553" s="371" t="s">
        <v>395</v>
      </c>
      <c r="D2553" s="291">
        <v>1222.0999999999999</v>
      </c>
      <c r="E2553" s="366" t="s">
        <v>68</v>
      </c>
      <c r="F2553" s="366">
        <v>4</v>
      </c>
      <c r="G2553" s="359" t="s">
        <v>65</v>
      </c>
      <c r="H2553" s="91" t="s">
        <v>66</v>
      </c>
      <c r="I2553" s="229">
        <f>SUM(I2554:I2555)</f>
        <v>4308146.92</v>
      </c>
      <c r="J2553" s="229">
        <f>SUM(J2554:J2555)</f>
        <v>3525.2</v>
      </c>
      <c r="K2553" s="229">
        <f>SUM(K2554:K2555)</f>
        <v>5144</v>
      </c>
    </row>
    <row r="2554" spans="1:11" s="71" customFormat="1" ht="15.75" customHeight="1" x14ac:dyDescent="0.25">
      <c r="A2554" s="360"/>
      <c r="B2554" s="360"/>
      <c r="C2554" s="372"/>
      <c r="D2554" s="292"/>
      <c r="E2554" s="367"/>
      <c r="F2554" s="367"/>
      <c r="G2554" s="360"/>
      <c r="H2554" s="91" t="s">
        <v>169</v>
      </c>
      <c r="I2554" s="229">
        <f>D2553*K2554*70/100</f>
        <v>4308146.92</v>
      </c>
      <c r="J2554" s="229">
        <f>I2554/D2553</f>
        <v>3525.2</v>
      </c>
      <c r="K2554" s="229">
        <v>5036</v>
      </c>
    </row>
    <row r="2555" spans="1:11" s="71" customFormat="1" x14ac:dyDescent="0.25">
      <c r="A2555" s="360"/>
      <c r="B2555" s="360"/>
      <c r="C2555" s="372"/>
      <c r="D2555" s="292"/>
      <c r="E2555" s="367"/>
      <c r="F2555" s="367"/>
      <c r="G2555" s="368"/>
      <c r="H2555" s="91" t="s">
        <v>69</v>
      </c>
      <c r="I2555" s="229">
        <v>0</v>
      </c>
      <c r="J2555" s="229">
        <f>I2555/D2553</f>
        <v>0</v>
      </c>
      <c r="K2555" s="229">
        <v>108</v>
      </c>
    </row>
    <row r="2556" spans="1:11" s="71" customFormat="1" x14ac:dyDescent="0.25">
      <c r="A2556" s="359">
        <f>A2553+1</f>
        <v>12</v>
      </c>
      <c r="B2556" s="359">
        <v>5847</v>
      </c>
      <c r="C2556" s="371" t="s">
        <v>396</v>
      </c>
      <c r="D2556" s="291">
        <v>3433.2</v>
      </c>
      <c r="E2556" s="291" t="s">
        <v>68</v>
      </c>
      <c r="F2556" s="366">
        <v>5</v>
      </c>
      <c r="G2556" s="359" t="s">
        <v>65</v>
      </c>
      <c r="H2556" s="91" t="s">
        <v>66</v>
      </c>
      <c r="I2556" s="229">
        <f>I2557+I2558</f>
        <v>9125102.2799999993</v>
      </c>
      <c r="J2556" s="229">
        <f>J2557+J2558</f>
        <v>2657.9</v>
      </c>
      <c r="K2556" s="229">
        <f>K2557+K2558</f>
        <v>3878</v>
      </c>
    </row>
    <row r="2557" spans="1:11" s="71" customFormat="1" x14ac:dyDescent="0.25">
      <c r="A2557" s="360"/>
      <c r="B2557" s="360"/>
      <c r="C2557" s="372"/>
      <c r="D2557" s="292"/>
      <c r="E2557" s="292"/>
      <c r="F2557" s="367"/>
      <c r="G2557" s="360"/>
      <c r="H2557" s="91" t="s">
        <v>67</v>
      </c>
      <c r="I2557" s="229">
        <f>D2556*K2557*70/100</f>
        <v>9125102.2799999993</v>
      </c>
      <c r="J2557" s="229">
        <f>I2557/D2556</f>
        <v>2657.9</v>
      </c>
      <c r="K2557" s="229">
        <v>3797</v>
      </c>
    </row>
    <row r="2558" spans="1:11" s="71" customFormat="1" x14ac:dyDescent="0.25">
      <c r="A2558" s="368"/>
      <c r="B2558" s="368"/>
      <c r="C2558" s="396"/>
      <c r="D2558" s="293"/>
      <c r="E2558" s="293"/>
      <c r="F2558" s="383"/>
      <c r="G2558" s="368"/>
      <c r="H2558" s="91" t="s">
        <v>69</v>
      </c>
      <c r="I2558" s="229">
        <f>0</f>
        <v>0</v>
      </c>
      <c r="J2558" s="229">
        <f>I2558/D2556</f>
        <v>0</v>
      </c>
      <c r="K2558" s="229">
        <v>81</v>
      </c>
    </row>
    <row r="2559" spans="1:11" s="71" customFormat="1" x14ac:dyDescent="0.25">
      <c r="A2559" s="359">
        <f>A2556+1</f>
        <v>13</v>
      </c>
      <c r="B2559" s="359">
        <v>5851</v>
      </c>
      <c r="C2559" s="373" t="s">
        <v>675</v>
      </c>
      <c r="D2559" s="291">
        <v>878.68</v>
      </c>
      <c r="E2559" s="291" t="s">
        <v>73</v>
      </c>
      <c r="F2559" s="366">
        <v>2</v>
      </c>
      <c r="G2559" s="359" t="s">
        <v>65</v>
      </c>
      <c r="H2559" s="91" t="s">
        <v>66</v>
      </c>
      <c r="I2559" s="229">
        <f>I2560+I2561</f>
        <v>6613824.3600000003</v>
      </c>
      <c r="J2559" s="229">
        <f>J2560+J2561</f>
        <v>7527</v>
      </c>
      <c r="K2559" s="229">
        <f>K2560+K2561</f>
        <v>7688</v>
      </c>
    </row>
    <row r="2560" spans="1:11" s="71" customFormat="1" x14ac:dyDescent="0.25">
      <c r="A2560" s="360"/>
      <c r="B2560" s="360"/>
      <c r="C2560" s="374"/>
      <c r="D2560" s="292"/>
      <c r="E2560" s="292"/>
      <c r="F2560" s="367"/>
      <c r="G2560" s="360"/>
      <c r="H2560" s="91" t="s">
        <v>67</v>
      </c>
      <c r="I2560" s="229">
        <f>D2559*K2560</f>
        <v>6613824.3600000003</v>
      </c>
      <c r="J2560" s="229">
        <f>I2560/D2559</f>
        <v>7527</v>
      </c>
      <c r="K2560" s="229">
        <v>7527</v>
      </c>
    </row>
    <row r="2561" spans="1:11" s="71" customFormat="1" x14ac:dyDescent="0.25">
      <c r="A2561" s="368"/>
      <c r="B2561" s="368"/>
      <c r="C2561" s="375"/>
      <c r="D2561" s="293"/>
      <c r="E2561" s="293"/>
      <c r="F2561" s="383"/>
      <c r="G2561" s="368"/>
      <c r="H2561" s="91" t="s">
        <v>69</v>
      </c>
      <c r="I2561" s="229">
        <f>0</f>
        <v>0</v>
      </c>
      <c r="J2561" s="229">
        <f>I2561/D2559</f>
        <v>0</v>
      </c>
      <c r="K2561" s="229">
        <v>161</v>
      </c>
    </row>
    <row r="2562" spans="1:11" s="71" customFormat="1" x14ac:dyDescent="0.25">
      <c r="A2562" s="359">
        <f>A2559+1</f>
        <v>14</v>
      </c>
      <c r="B2562" s="359">
        <v>5925</v>
      </c>
      <c r="C2562" s="373" t="s">
        <v>398</v>
      </c>
      <c r="D2562" s="291">
        <v>3413.9</v>
      </c>
      <c r="E2562" s="291" t="s">
        <v>68</v>
      </c>
      <c r="F2562" s="366">
        <v>5</v>
      </c>
      <c r="G2562" s="359" t="s">
        <v>65</v>
      </c>
      <c r="H2562" s="91" t="s">
        <v>66</v>
      </c>
      <c r="I2562" s="229">
        <f>I2563+I2564</f>
        <v>9073804.8100000005</v>
      </c>
      <c r="J2562" s="229">
        <f>J2563+J2564</f>
        <v>2657.9</v>
      </c>
      <c r="K2562" s="229">
        <f>K2563+K2564</f>
        <v>3878</v>
      </c>
    </row>
    <row r="2563" spans="1:11" s="71" customFormat="1" x14ac:dyDescent="0.25">
      <c r="A2563" s="360"/>
      <c r="B2563" s="360"/>
      <c r="C2563" s="374"/>
      <c r="D2563" s="292"/>
      <c r="E2563" s="292"/>
      <c r="F2563" s="367"/>
      <c r="G2563" s="360"/>
      <c r="H2563" s="91" t="s">
        <v>67</v>
      </c>
      <c r="I2563" s="229">
        <f>D2562*K2563*70/100</f>
        <v>9073804.8100000005</v>
      </c>
      <c r="J2563" s="229">
        <f>I2563/D2562</f>
        <v>2657.9</v>
      </c>
      <c r="K2563" s="229">
        <v>3797</v>
      </c>
    </row>
    <row r="2564" spans="1:11" s="71" customFormat="1" x14ac:dyDescent="0.25">
      <c r="A2564" s="368"/>
      <c r="B2564" s="368"/>
      <c r="C2564" s="375"/>
      <c r="D2564" s="293"/>
      <c r="E2564" s="293"/>
      <c r="F2564" s="383"/>
      <c r="G2564" s="368"/>
      <c r="H2564" s="91" t="s">
        <v>69</v>
      </c>
      <c r="I2564" s="229">
        <f>0</f>
        <v>0</v>
      </c>
      <c r="J2564" s="229">
        <f>I2564/D2562</f>
        <v>0</v>
      </c>
      <c r="K2564" s="229">
        <v>81</v>
      </c>
    </row>
    <row r="2565" spans="1:11" s="71" customFormat="1" x14ac:dyDescent="0.25">
      <c r="A2565" s="359">
        <f>A2562+1</f>
        <v>15</v>
      </c>
      <c r="B2565" s="359">
        <v>5928</v>
      </c>
      <c r="C2565" s="373" t="s">
        <v>399</v>
      </c>
      <c r="D2565" s="291">
        <v>5262.7</v>
      </c>
      <c r="E2565" s="291" t="s">
        <v>68</v>
      </c>
      <c r="F2565" s="366">
        <v>5</v>
      </c>
      <c r="G2565" s="359" t="s">
        <v>65</v>
      </c>
      <c r="H2565" s="91" t="s">
        <v>66</v>
      </c>
      <c r="I2565" s="229">
        <f>I2566+I2567</f>
        <v>13987730.33</v>
      </c>
      <c r="J2565" s="229">
        <f>J2566+J2567</f>
        <v>2657.9</v>
      </c>
      <c r="K2565" s="229">
        <f>K2566+K2567</f>
        <v>3878</v>
      </c>
    </row>
    <row r="2566" spans="1:11" s="71" customFormat="1" x14ac:dyDescent="0.25">
      <c r="A2566" s="360"/>
      <c r="B2566" s="360"/>
      <c r="C2566" s="374"/>
      <c r="D2566" s="292"/>
      <c r="E2566" s="292"/>
      <c r="F2566" s="367"/>
      <c r="G2566" s="360"/>
      <c r="H2566" s="91" t="s">
        <v>67</v>
      </c>
      <c r="I2566" s="229">
        <f>D2565*K2566*70/100</f>
        <v>13987730.33</v>
      </c>
      <c r="J2566" s="229">
        <f>I2566/D2565</f>
        <v>2657.9</v>
      </c>
      <c r="K2566" s="229">
        <v>3797</v>
      </c>
    </row>
    <row r="2567" spans="1:11" s="71" customFormat="1" x14ac:dyDescent="0.25">
      <c r="A2567" s="368"/>
      <c r="B2567" s="368"/>
      <c r="C2567" s="375"/>
      <c r="D2567" s="293"/>
      <c r="E2567" s="293"/>
      <c r="F2567" s="383"/>
      <c r="G2567" s="368"/>
      <c r="H2567" s="91" t="s">
        <v>69</v>
      </c>
      <c r="I2567" s="229">
        <v>0</v>
      </c>
      <c r="J2567" s="229">
        <f>I2567/D2565</f>
        <v>0</v>
      </c>
      <c r="K2567" s="229">
        <v>81</v>
      </c>
    </row>
    <row r="2568" spans="1:11" s="71" customFormat="1" x14ac:dyDescent="0.25">
      <c r="A2568" s="359">
        <f>A2565+1</f>
        <v>16</v>
      </c>
      <c r="B2568" s="359">
        <v>6080</v>
      </c>
      <c r="C2568" s="373" t="s">
        <v>400</v>
      </c>
      <c r="D2568" s="291">
        <v>2511.4</v>
      </c>
      <c r="E2568" s="366" t="s">
        <v>64</v>
      </c>
      <c r="F2568" s="366">
        <v>5</v>
      </c>
      <c r="G2568" s="27"/>
      <c r="H2568" s="91" t="s">
        <v>66</v>
      </c>
      <c r="I2568" s="229">
        <f>SUM(I2569:I2570)</f>
        <v>9535785.8000000007</v>
      </c>
      <c r="J2568" s="229">
        <f>SUM(J2569:J2570)</f>
        <v>3797</v>
      </c>
      <c r="K2568" s="229">
        <f>SUM(K2569:K2570)</f>
        <v>3878</v>
      </c>
    </row>
    <row r="2569" spans="1:11" s="71" customFormat="1" ht="15.75" customHeight="1" x14ac:dyDescent="0.25">
      <c r="A2569" s="360"/>
      <c r="B2569" s="360"/>
      <c r="C2569" s="374"/>
      <c r="D2569" s="292"/>
      <c r="E2569" s="367"/>
      <c r="F2569" s="367"/>
      <c r="G2569" s="360" t="s">
        <v>65</v>
      </c>
      <c r="H2569" s="91" t="s">
        <v>169</v>
      </c>
      <c r="I2569" s="229">
        <f>D2568*K2569</f>
        <v>9535785.8000000007</v>
      </c>
      <c r="J2569" s="229">
        <f>I2569/D2568</f>
        <v>3797</v>
      </c>
      <c r="K2569" s="229">
        <v>3797</v>
      </c>
    </row>
    <row r="2570" spans="1:11" s="71" customFormat="1" x14ac:dyDescent="0.25">
      <c r="A2570" s="360"/>
      <c r="B2570" s="360"/>
      <c r="C2570" s="374"/>
      <c r="D2570" s="292"/>
      <c r="E2570" s="367"/>
      <c r="F2570" s="367"/>
      <c r="G2570" s="368"/>
      <c r="H2570" s="91" t="s">
        <v>69</v>
      </c>
      <c r="I2570" s="229">
        <v>0</v>
      </c>
      <c r="J2570" s="229">
        <f>I2570/D2568</f>
        <v>0</v>
      </c>
      <c r="K2570" s="229">
        <v>81</v>
      </c>
    </row>
    <row r="2571" spans="1:11" s="71" customFormat="1" x14ac:dyDescent="0.25">
      <c r="A2571" s="359">
        <f>A2568+1</f>
        <v>17</v>
      </c>
      <c r="B2571" s="359">
        <v>6090</v>
      </c>
      <c r="C2571" s="373" t="s">
        <v>676</v>
      </c>
      <c r="D2571" s="291">
        <v>3430.2</v>
      </c>
      <c r="E2571" s="366" t="s">
        <v>64</v>
      </c>
      <c r="F2571" s="366">
        <v>5</v>
      </c>
      <c r="G2571" s="27"/>
      <c r="H2571" s="91" t="s">
        <v>66</v>
      </c>
      <c r="I2571" s="229">
        <f>I2572+I2573</f>
        <v>13024469.4</v>
      </c>
      <c r="J2571" s="229">
        <f>J2572+J2573</f>
        <v>3797</v>
      </c>
      <c r="K2571" s="229">
        <f>K2572+K2573</f>
        <v>3878</v>
      </c>
    </row>
    <row r="2572" spans="1:11" s="71" customFormat="1" x14ac:dyDescent="0.25">
      <c r="A2572" s="360"/>
      <c r="B2572" s="360"/>
      <c r="C2572" s="374"/>
      <c r="D2572" s="292"/>
      <c r="E2572" s="367"/>
      <c r="F2572" s="367"/>
      <c r="G2572" s="360" t="s">
        <v>65</v>
      </c>
      <c r="H2572" s="91" t="s">
        <v>169</v>
      </c>
      <c r="I2572" s="229">
        <f>D2571*K2572</f>
        <v>13024469.4</v>
      </c>
      <c r="J2572" s="229">
        <f>I2572/D2571</f>
        <v>3797</v>
      </c>
      <c r="K2572" s="229">
        <v>3797</v>
      </c>
    </row>
    <row r="2573" spans="1:11" s="71" customFormat="1" x14ac:dyDescent="0.25">
      <c r="A2573" s="360"/>
      <c r="B2573" s="360"/>
      <c r="C2573" s="374"/>
      <c r="D2573" s="292"/>
      <c r="E2573" s="367"/>
      <c r="F2573" s="367"/>
      <c r="G2573" s="368"/>
      <c r="H2573" s="91" t="s">
        <v>69</v>
      </c>
      <c r="I2573" s="229">
        <v>0</v>
      </c>
      <c r="J2573" s="229">
        <f>I2573/D2571</f>
        <v>0</v>
      </c>
      <c r="K2573" s="229">
        <v>81</v>
      </c>
    </row>
    <row r="2574" spans="1:11" s="71" customFormat="1" x14ac:dyDescent="0.25">
      <c r="A2574" s="359">
        <f>A2571+1</f>
        <v>18</v>
      </c>
      <c r="B2574" s="359">
        <v>6117</v>
      </c>
      <c r="C2574" s="373" t="s">
        <v>417</v>
      </c>
      <c r="D2574" s="291">
        <v>4372.33</v>
      </c>
      <c r="E2574" s="291" t="s">
        <v>64</v>
      </c>
      <c r="F2574" s="366">
        <v>5</v>
      </c>
      <c r="G2574" s="359" t="s">
        <v>65</v>
      </c>
      <c r="H2574" s="91" t="s">
        <v>66</v>
      </c>
      <c r="I2574" s="229">
        <f>I2575+I2576</f>
        <v>16601737.01</v>
      </c>
      <c r="J2574" s="229">
        <f t="shared" ref="J2574:K2574" si="92">J2575+J2576</f>
        <v>3797</v>
      </c>
      <c r="K2574" s="229">
        <f t="shared" si="92"/>
        <v>3878</v>
      </c>
    </row>
    <row r="2575" spans="1:11" s="71" customFormat="1" x14ac:dyDescent="0.25">
      <c r="A2575" s="360"/>
      <c r="B2575" s="360"/>
      <c r="C2575" s="374"/>
      <c r="D2575" s="292"/>
      <c r="E2575" s="292"/>
      <c r="F2575" s="367"/>
      <c r="G2575" s="360"/>
      <c r="H2575" s="91" t="s">
        <v>169</v>
      </c>
      <c r="I2575" s="229">
        <f>D2574*K2575</f>
        <v>16601737.01</v>
      </c>
      <c r="J2575" s="229">
        <f>I2575/D2574</f>
        <v>3797</v>
      </c>
      <c r="K2575" s="229">
        <v>3797</v>
      </c>
    </row>
    <row r="2576" spans="1:11" s="71" customFormat="1" x14ac:dyDescent="0.25">
      <c r="A2576" s="360"/>
      <c r="B2576" s="360"/>
      <c r="C2576" s="374"/>
      <c r="D2576" s="292"/>
      <c r="E2576" s="292"/>
      <c r="F2576" s="367"/>
      <c r="G2576" s="360"/>
      <c r="H2576" s="91" t="s">
        <v>69</v>
      </c>
      <c r="I2576" s="229">
        <v>0</v>
      </c>
      <c r="J2576" s="229">
        <f>I2576/D2574</f>
        <v>0</v>
      </c>
      <c r="K2576" s="229">
        <v>81</v>
      </c>
    </row>
    <row r="2577" spans="1:11" s="71" customFormat="1" x14ac:dyDescent="0.25">
      <c r="A2577" s="359">
        <f>A2574+1</f>
        <v>19</v>
      </c>
      <c r="B2577" s="359">
        <v>6124</v>
      </c>
      <c r="C2577" s="373" t="s">
        <v>681</v>
      </c>
      <c r="D2577" s="291">
        <v>2318.6</v>
      </c>
      <c r="E2577" s="359" t="s">
        <v>68</v>
      </c>
      <c r="F2577" s="359">
        <v>9</v>
      </c>
      <c r="G2577" s="359" t="s">
        <v>170</v>
      </c>
      <c r="H2577" s="91" t="s">
        <v>66</v>
      </c>
      <c r="I2577" s="229">
        <f>SUM(I2578:I2578)</f>
        <v>32281</v>
      </c>
      <c r="J2577" s="229">
        <f>SUM(J2578:J2578)</f>
        <v>13.92</v>
      </c>
      <c r="K2577" s="229">
        <f>SUM(K2578:K2578)</f>
        <v>13.92</v>
      </c>
    </row>
    <row r="2578" spans="1:11" s="71" customFormat="1" ht="63" x14ac:dyDescent="0.25">
      <c r="A2578" s="360"/>
      <c r="B2578" s="360"/>
      <c r="C2578" s="374"/>
      <c r="D2578" s="292"/>
      <c r="E2578" s="360"/>
      <c r="F2578" s="360"/>
      <c r="G2578" s="368"/>
      <c r="H2578" s="91" t="s">
        <v>168</v>
      </c>
      <c r="I2578" s="229">
        <f>22681+9600</f>
        <v>32281</v>
      </c>
      <c r="J2578" s="229">
        <f>I2578/D2577</f>
        <v>13.92</v>
      </c>
      <c r="K2578" s="229">
        <f>(22681+9600)/D2577</f>
        <v>13.92</v>
      </c>
    </row>
    <row r="2579" spans="1:11" s="71" customFormat="1" x14ac:dyDescent="0.25">
      <c r="A2579" s="359">
        <f>A2577+1</f>
        <v>20</v>
      </c>
      <c r="B2579" s="359">
        <v>6125</v>
      </c>
      <c r="C2579" s="373" t="s">
        <v>418</v>
      </c>
      <c r="D2579" s="291">
        <v>2272.8000000000002</v>
      </c>
      <c r="E2579" s="291" t="s">
        <v>68</v>
      </c>
      <c r="F2579" s="366">
        <v>9</v>
      </c>
      <c r="G2579" s="359" t="s">
        <v>65</v>
      </c>
      <c r="H2579" s="91" t="s">
        <v>66</v>
      </c>
      <c r="I2579" s="229">
        <f>I2580</f>
        <v>372739.2</v>
      </c>
      <c r="J2579" s="229">
        <f>J2580</f>
        <v>164</v>
      </c>
      <c r="K2579" s="229">
        <f>K2580</f>
        <v>164</v>
      </c>
    </row>
    <row r="2580" spans="1:11" s="71" customFormat="1" ht="63" x14ac:dyDescent="0.25">
      <c r="A2580" s="360"/>
      <c r="B2580" s="360"/>
      <c r="C2580" s="374"/>
      <c r="D2580" s="292"/>
      <c r="E2580" s="292"/>
      <c r="F2580" s="367"/>
      <c r="G2580" s="360"/>
      <c r="H2580" s="91" t="s">
        <v>178</v>
      </c>
      <c r="I2580" s="229">
        <f>D2579*K2580</f>
        <v>372739.2</v>
      </c>
      <c r="J2580" s="229">
        <f>I2580/D2579</f>
        <v>164</v>
      </c>
      <c r="K2580" s="229">
        <f>151+13</f>
        <v>164</v>
      </c>
    </row>
    <row r="2581" spans="1:11" s="71" customFormat="1" x14ac:dyDescent="0.25">
      <c r="A2581" s="359">
        <f>A2579+1</f>
        <v>21</v>
      </c>
      <c r="B2581" s="359">
        <v>6145</v>
      </c>
      <c r="C2581" s="373" t="s">
        <v>401</v>
      </c>
      <c r="D2581" s="291">
        <v>1653.94</v>
      </c>
      <c r="E2581" s="366" t="s">
        <v>180</v>
      </c>
      <c r="F2581" s="366">
        <v>4</v>
      </c>
      <c r="G2581" s="27"/>
      <c r="H2581" s="91" t="s">
        <v>66</v>
      </c>
      <c r="I2581" s="229">
        <f>SUM(I2582:I2587)</f>
        <v>6559526.04</v>
      </c>
      <c r="J2581" s="229">
        <f>SUM(J2582:J2587)</f>
        <v>3966</v>
      </c>
      <c r="K2581" s="229">
        <f>SUM(K2582:K2587)</f>
        <v>4051</v>
      </c>
    </row>
    <row r="2582" spans="1:11" s="71" customFormat="1" x14ac:dyDescent="0.25">
      <c r="A2582" s="360"/>
      <c r="B2582" s="360"/>
      <c r="C2582" s="374"/>
      <c r="D2582" s="292"/>
      <c r="E2582" s="367"/>
      <c r="F2582" s="367"/>
      <c r="G2582" s="360" t="s">
        <v>70</v>
      </c>
      <c r="H2582" s="91" t="s">
        <v>169</v>
      </c>
      <c r="I2582" s="229">
        <f>D2581*K2582</f>
        <v>4814619.34</v>
      </c>
      <c r="J2582" s="229">
        <f>I2582/D2581</f>
        <v>2911</v>
      </c>
      <c r="K2582" s="229">
        <v>2911</v>
      </c>
    </row>
    <row r="2583" spans="1:11" s="71" customFormat="1" x14ac:dyDescent="0.25">
      <c r="A2583" s="360"/>
      <c r="B2583" s="360"/>
      <c r="C2583" s="374"/>
      <c r="D2583" s="292"/>
      <c r="E2583" s="367"/>
      <c r="F2583" s="367"/>
      <c r="G2583" s="368"/>
      <c r="H2583" s="91" t="s">
        <v>69</v>
      </c>
      <c r="I2583" s="229">
        <v>0</v>
      </c>
      <c r="J2583" s="229">
        <f>I2583/D2581</f>
        <v>0</v>
      </c>
      <c r="K2583" s="229">
        <v>62</v>
      </c>
    </row>
    <row r="2584" spans="1:11" s="71" customFormat="1" x14ac:dyDescent="0.25">
      <c r="A2584" s="360"/>
      <c r="B2584" s="360"/>
      <c r="C2584" s="374"/>
      <c r="D2584" s="292"/>
      <c r="E2584" s="367"/>
      <c r="F2584" s="367"/>
      <c r="G2584" s="360" t="s">
        <v>71</v>
      </c>
      <c r="H2584" s="91" t="s">
        <v>169</v>
      </c>
      <c r="I2584" s="229">
        <f>D2581*K2584</f>
        <v>848471.22</v>
      </c>
      <c r="J2584" s="229">
        <f>I2584/D2581</f>
        <v>513</v>
      </c>
      <c r="K2584" s="229">
        <v>513</v>
      </c>
    </row>
    <row r="2585" spans="1:11" s="71" customFormat="1" x14ac:dyDescent="0.25">
      <c r="A2585" s="360"/>
      <c r="B2585" s="360"/>
      <c r="C2585" s="374"/>
      <c r="D2585" s="292"/>
      <c r="E2585" s="367"/>
      <c r="F2585" s="367"/>
      <c r="G2585" s="368"/>
      <c r="H2585" s="91" t="s">
        <v>69</v>
      </c>
      <c r="I2585" s="229">
        <v>0</v>
      </c>
      <c r="J2585" s="229">
        <f>I2585/D2581</f>
        <v>0</v>
      </c>
      <c r="K2585" s="229">
        <v>11</v>
      </c>
    </row>
    <row r="2586" spans="1:11" s="71" customFormat="1" x14ac:dyDescent="0.25">
      <c r="A2586" s="360"/>
      <c r="B2586" s="360"/>
      <c r="C2586" s="374"/>
      <c r="D2586" s="292"/>
      <c r="E2586" s="367"/>
      <c r="F2586" s="367"/>
      <c r="G2586" s="360" t="s">
        <v>72</v>
      </c>
      <c r="H2586" s="91" t="s">
        <v>169</v>
      </c>
      <c r="I2586" s="229">
        <f>D2581*K2586</f>
        <v>896435.48</v>
      </c>
      <c r="J2586" s="229">
        <f>I2586/D2581</f>
        <v>542</v>
      </c>
      <c r="K2586" s="229">
        <v>542</v>
      </c>
    </row>
    <row r="2587" spans="1:11" s="71" customFormat="1" x14ac:dyDescent="0.25">
      <c r="A2587" s="368"/>
      <c r="B2587" s="368"/>
      <c r="C2587" s="375"/>
      <c r="D2587" s="293"/>
      <c r="E2587" s="383"/>
      <c r="F2587" s="383"/>
      <c r="G2587" s="368"/>
      <c r="H2587" s="91" t="s">
        <v>69</v>
      </c>
      <c r="I2587" s="229">
        <v>0</v>
      </c>
      <c r="J2587" s="229">
        <f>I2587/D2581</f>
        <v>0</v>
      </c>
      <c r="K2587" s="229">
        <v>12</v>
      </c>
    </row>
    <row r="2588" spans="1:11" s="71" customFormat="1" x14ac:dyDescent="0.25">
      <c r="A2588" s="359">
        <f>A2581+1</f>
        <v>22</v>
      </c>
      <c r="B2588" s="359">
        <v>6162</v>
      </c>
      <c r="C2588" s="373" t="s">
        <v>677</v>
      </c>
      <c r="D2588" s="291">
        <v>2535.1</v>
      </c>
      <c r="E2588" s="366" t="s">
        <v>64</v>
      </c>
      <c r="F2588" s="366">
        <v>5</v>
      </c>
      <c r="G2588" s="27"/>
      <c r="H2588" s="91" t="s">
        <v>66</v>
      </c>
      <c r="I2588" s="229">
        <f>I2589+I2590</f>
        <v>9625774.6999999993</v>
      </c>
      <c r="J2588" s="229">
        <f>J2589+J2590</f>
        <v>3797</v>
      </c>
      <c r="K2588" s="229">
        <f>K2589+K2590</f>
        <v>3878</v>
      </c>
    </row>
    <row r="2589" spans="1:11" s="71" customFormat="1" x14ac:dyDescent="0.25">
      <c r="A2589" s="360"/>
      <c r="B2589" s="360"/>
      <c r="C2589" s="374"/>
      <c r="D2589" s="292"/>
      <c r="E2589" s="367"/>
      <c r="F2589" s="367"/>
      <c r="G2589" s="360" t="s">
        <v>65</v>
      </c>
      <c r="H2589" s="91" t="s">
        <v>169</v>
      </c>
      <c r="I2589" s="229">
        <f>D2588*K2589</f>
        <v>9625774.6999999993</v>
      </c>
      <c r="J2589" s="229">
        <f>I2589/D2588</f>
        <v>3797</v>
      </c>
      <c r="K2589" s="229">
        <v>3797</v>
      </c>
    </row>
    <row r="2590" spans="1:11" s="71" customFormat="1" x14ac:dyDescent="0.25">
      <c r="A2590" s="360"/>
      <c r="B2590" s="360"/>
      <c r="C2590" s="374"/>
      <c r="D2590" s="292"/>
      <c r="E2590" s="367"/>
      <c r="F2590" s="367"/>
      <c r="G2590" s="368"/>
      <c r="H2590" s="91" t="s">
        <v>69</v>
      </c>
      <c r="I2590" s="229">
        <v>0</v>
      </c>
      <c r="J2590" s="229">
        <f>I2590/D2588</f>
        <v>0</v>
      </c>
      <c r="K2590" s="229">
        <v>81</v>
      </c>
    </row>
    <row r="2591" spans="1:11" s="71" customFormat="1" x14ac:dyDescent="0.25">
      <c r="A2591" s="359">
        <f>A2588+1</f>
        <v>23</v>
      </c>
      <c r="B2591" s="359">
        <v>6163</v>
      </c>
      <c r="C2591" s="373" t="s">
        <v>402</v>
      </c>
      <c r="D2591" s="291">
        <v>2467.5</v>
      </c>
      <c r="E2591" s="366" t="s">
        <v>68</v>
      </c>
      <c r="F2591" s="366">
        <v>5</v>
      </c>
      <c r="G2591" s="27"/>
      <c r="H2591" s="91" t="s">
        <v>66</v>
      </c>
      <c r="I2591" s="229">
        <f>SUM(I2592:I2593)</f>
        <v>9369097.5</v>
      </c>
      <c r="J2591" s="229">
        <f>SUM(J2592:J2593)</f>
        <v>3797</v>
      </c>
      <c r="K2591" s="229">
        <f>SUM(K2592:K2593)</f>
        <v>3878</v>
      </c>
    </row>
    <row r="2592" spans="1:11" s="71" customFormat="1" ht="15.75" customHeight="1" x14ac:dyDescent="0.25">
      <c r="A2592" s="360"/>
      <c r="B2592" s="360"/>
      <c r="C2592" s="374"/>
      <c r="D2592" s="292"/>
      <c r="E2592" s="367"/>
      <c r="F2592" s="367"/>
      <c r="G2592" s="360" t="s">
        <v>65</v>
      </c>
      <c r="H2592" s="91" t="s">
        <v>169</v>
      </c>
      <c r="I2592" s="229">
        <f>D2591*K2592</f>
        <v>9369097.5</v>
      </c>
      <c r="J2592" s="229">
        <f>I2592/D2591</f>
        <v>3797</v>
      </c>
      <c r="K2592" s="229">
        <v>3797</v>
      </c>
    </row>
    <row r="2593" spans="1:11" s="71" customFormat="1" x14ac:dyDescent="0.25">
      <c r="A2593" s="360"/>
      <c r="B2593" s="360"/>
      <c r="C2593" s="374"/>
      <c r="D2593" s="292"/>
      <c r="E2593" s="367"/>
      <c r="F2593" s="367"/>
      <c r="G2593" s="368"/>
      <c r="H2593" s="91" t="s">
        <v>69</v>
      </c>
      <c r="I2593" s="229">
        <v>0</v>
      </c>
      <c r="J2593" s="229">
        <f>I2593/D2591</f>
        <v>0</v>
      </c>
      <c r="K2593" s="229">
        <v>81</v>
      </c>
    </row>
    <row r="2594" spans="1:11" s="71" customFormat="1" x14ac:dyDescent="0.25">
      <c r="A2594" s="359">
        <f>A2591+1</f>
        <v>24</v>
      </c>
      <c r="B2594" s="359">
        <v>6304</v>
      </c>
      <c r="C2594" s="373" t="s">
        <v>403</v>
      </c>
      <c r="D2594" s="291">
        <v>3493.48</v>
      </c>
      <c r="E2594" s="291" t="s">
        <v>68</v>
      </c>
      <c r="F2594" s="366">
        <v>5</v>
      </c>
      <c r="G2594" s="359" t="s">
        <v>65</v>
      </c>
      <c r="H2594" s="91" t="s">
        <v>66</v>
      </c>
      <c r="I2594" s="229">
        <f>I2595+I2596</f>
        <v>13264743.560000001</v>
      </c>
      <c r="J2594" s="229">
        <f>J2595+J2596</f>
        <v>3797</v>
      </c>
      <c r="K2594" s="229">
        <f>K2595+K2596</f>
        <v>3878</v>
      </c>
    </row>
    <row r="2595" spans="1:11" s="71" customFormat="1" x14ac:dyDescent="0.25">
      <c r="A2595" s="360"/>
      <c r="B2595" s="360"/>
      <c r="C2595" s="374"/>
      <c r="D2595" s="292"/>
      <c r="E2595" s="292"/>
      <c r="F2595" s="367"/>
      <c r="G2595" s="360"/>
      <c r="H2595" s="91" t="s">
        <v>67</v>
      </c>
      <c r="I2595" s="229">
        <f>D2594*K2595</f>
        <v>13264743.560000001</v>
      </c>
      <c r="J2595" s="229">
        <f>I2595/D2594</f>
        <v>3797</v>
      </c>
      <c r="K2595" s="229">
        <v>3797</v>
      </c>
    </row>
    <row r="2596" spans="1:11" s="71" customFormat="1" x14ac:dyDescent="0.25">
      <c r="A2596" s="368"/>
      <c r="B2596" s="368"/>
      <c r="C2596" s="375"/>
      <c r="D2596" s="293"/>
      <c r="E2596" s="293"/>
      <c r="F2596" s="383"/>
      <c r="G2596" s="368"/>
      <c r="H2596" s="91" t="s">
        <v>69</v>
      </c>
      <c r="I2596" s="229">
        <f>0</f>
        <v>0</v>
      </c>
      <c r="J2596" s="229">
        <f>I2596/D2594</f>
        <v>0</v>
      </c>
      <c r="K2596" s="229">
        <v>81</v>
      </c>
    </row>
    <row r="2597" spans="1:11" s="71" customFormat="1" x14ac:dyDescent="0.25">
      <c r="A2597" s="359">
        <f>A2594+1</f>
        <v>25</v>
      </c>
      <c r="B2597" s="359">
        <v>6320</v>
      </c>
      <c r="C2597" s="373" t="s">
        <v>563</v>
      </c>
      <c r="D2597" s="291">
        <v>6684.9</v>
      </c>
      <c r="E2597" s="359" t="s">
        <v>64</v>
      </c>
      <c r="F2597" s="359">
        <v>10</v>
      </c>
      <c r="G2597" s="158"/>
      <c r="H2597" s="91" t="s">
        <v>66</v>
      </c>
      <c r="I2597" s="229">
        <f>SUM(I2598:I2603)</f>
        <v>6724941</v>
      </c>
      <c r="J2597" s="229">
        <f>SUM(J2598:J2603)</f>
        <v>1005.99</v>
      </c>
      <c r="K2597" s="229">
        <f>SUM(K2598:K2603)</f>
        <v>1027.53</v>
      </c>
    </row>
    <row r="2598" spans="1:11" s="71" customFormat="1" x14ac:dyDescent="0.25">
      <c r="A2598" s="360"/>
      <c r="B2598" s="360"/>
      <c r="C2598" s="374"/>
      <c r="D2598" s="292"/>
      <c r="E2598" s="360"/>
      <c r="F2598" s="360"/>
      <c r="G2598" s="359" t="s">
        <v>170</v>
      </c>
      <c r="H2598" s="91" t="s">
        <v>171</v>
      </c>
      <c r="I2598" s="229">
        <v>2241647</v>
      </c>
      <c r="J2598" s="229">
        <f>I2598/D2597</f>
        <v>335.33</v>
      </c>
      <c r="K2598" s="229">
        <f>2241647/D2597</f>
        <v>335.33</v>
      </c>
    </row>
    <row r="2599" spans="1:11" s="71" customFormat="1" x14ac:dyDescent="0.25">
      <c r="A2599" s="360"/>
      <c r="B2599" s="360"/>
      <c r="C2599" s="374"/>
      <c r="D2599" s="292"/>
      <c r="E2599" s="360"/>
      <c r="F2599" s="360"/>
      <c r="G2599" s="368"/>
      <c r="H2599" s="91" t="s">
        <v>69</v>
      </c>
      <c r="I2599" s="229">
        <v>0</v>
      </c>
      <c r="J2599" s="229">
        <f>I2599/D2597</f>
        <v>0</v>
      </c>
      <c r="K2599" s="229">
        <f>47971/D2597</f>
        <v>7.18</v>
      </c>
    </row>
    <row r="2600" spans="1:11" s="71" customFormat="1" x14ac:dyDescent="0.25">
      <c r="A2600" s="360"/>
      <c r="B2600" s="360"/>
      <c r="C2600" s="374"/>
      <c r="D2600" s="292"/>
      <c r="E2600" s="360"/>
      <c r="F2600" s="360"/>
      <c r="G2600" s="359" t="s">
        <v>173</v>
      </c>
      <c r="H2600" s="91" t="s">
        <v>171</v>
      </c>
      <c r="I2600" s="229">
        <v>2241647</v>
      </c>
      <c r="J2600" s="229">
        <f>I2600/D2597</f>
        <v>335.33</v>
      </c>
      <c r="K2600" s="229">
        <f>2241647/D2597</f>
        <v>335.33</v>
      </c>
    </row>
    <row r="2601" spans="1:11" s="71" customFormat="1" x14ac:dyDescent="0.25">
      <c r="A2601" s="360"/>
      <c r="B2601" s="360"/>
      <c r="C2601" s="374"/>
      <c r="D2601" s="292"/>
      <c r="E2601" s="360"/>
      <c r="F2601" s="360"/>
      <c r="G2601" s="368"/>
      <c r="H2601" s="91" t="s">
        <v>69</v>
      </c>
      <c r="I2601" s="229">
        <v>0</v>
      </c>
      <c r="J2601" s="229">
        <f>I2601/D2597</f>
        <v>0</v>
      </c>
      <c r="K2601" s="229">
        <f>47971/D2597</f>
        <v>7.18</v>
      </c>
    </row>
    <row r="2602" spans="1:11" s="71" customFormat="1" x14ac:dyDescent="0.25">
      <c r="A2602" s="360"/>
      <c r="B2602" s="360"/>
      <c r="C2602" s="374"/>
      <c r="D2602" s="292"/>
      <c r="E2602" s="360"/>
      <c r="F2602" s="360"/>
      <c r="G2602" s="359" t="s">
        <v>174</v>
      </c>
      <c r="H2602" s="91" t="s">
        <v>171</v>
      </c>
      <c r="I2602" s="229">
        <v>2241647</v>
      </c>
      <c r="J2602" s="229">
        <f>I2602/D2597</f>
        <v>335.33</v>
      </c>
      <c r="K2602" s="229">
        <f>2241647/D2597</f>
        <v>335.33</v>
      </c>
    </row>
    <row r="2603" spans="1:11" s="71" customFormat="1" x14ac:dyDescent="0.25">
      <c r="A2603" s="368"/>
      <c r="B2603" s="368"/>
      <c r="C2603" s="375"/>
      <c r="D2603" s="293"/>
      <c r="E2603" s="368"/>
      <c r="F2603" s="368"/>
      <c r="G2603" s="368"/>
      <c r="H2603" s="91" t="s">
        <v>69</v>
      </c>
      <c r="I2603" s="229">
        <v>0</v>
      </c>
      <c r="J2603" s="229">
        <f>I2603/D2597</f>
        <v>0</v>
      </c>
      <c r="K2603" s="229">
        <f>47971/D2597</f>
        <v>7.18</v>
      </c>
    </row>
    <row r="2604" spans="1:11" s="71" customFormat="1" x14ac:dyDescent="0.25">
      <c r="A2604" s="359">
        <f>A2597+1</f>
        <v>26</v>
      </c>
      <c r="B2604" s="359">
        <v>6330</v>
      </c>
      <c r="C2604" s="373" t="s">
        <v>557</v>
      </c>
      <c r="D2604" s="291">
        <v>10514.2</v>
      </c>
      <c r="E2604" s="291" t="s">
        <v>64</v>
      </c>
      <c r="F2604" s="366">
        <v>10</v>
      </c>
      <c r="G2604" s="158"/>
      <c r="H2604" s="91" t="s">
        <v>66</v>
      </c>
      <c r="I2604" s="229">
        <f>SUM(I2605:I2610)</f>
        <v>6724941</v>
      </c>
      <c r="J2604" s="229">
        <f>SUM(J2605:J2610)</f>
        <v>639.61</v>
      </c>
      <c r="K2604" s="229">
        <f>SUM(K2605:K2610)</f>
        <v>653.29</v>
      </c>
    </row>
    <row r="2605" spans="1:11" s="71" customFormat="1" x14ac:dyDescent="0.25">
      <c r="A2605" s="360"/>
      <c r="B2605" s="360"/>
      <c r="C2605" s="374"/>
      <c r="D2605" s="292"/>
      <c r="E2605" s="292"/>
      <c r="F2605" s="367"/>
      <c r="G2605" s="359" t="s">
        <v>170</v>
      </c>
      <c r="H2605" s="91" t="s">
        <v>171</v>
      </c>
      <c r="I2605" s="229">
        <v>2241647</v>
      </c>
      <c r="J2605" s="229">
        <f>I2605/D2604+0.01</f>
        <v>213.21</v>
      </c>
      <c r="K2605" s="229">
        <f>2241647/D2604+0.01</f>
        <v>213.21</v>
      </c>
    </row>
    <row r="2606" spans="1:11" s="71" customFormat="1" x14ac:dyDescent="0.25">
      <c r="A2606" s="360"/>
      <c r="B2606" s="360"/>
      <c r="C2606" s="374"/>
      <c r="D2606" s="292"/>
      <c r="E2606" s="292"/>
      <c r="F2606" s="367"/>
      <c r="G2606" s="368"/>
      <c r="H2606" s="91" t="s">
        <v>69</v>
      </c>
      <c r="I2606" s="229">
        <v>0</v>
      </c>
      <c r="J2606" s="229">
        <f>I2606/D2604</f>
        <v>0</v>
      </c>
      <c r="K2606" s="229">
        <f>47971/D2604</f>
        <v>4.5599999999999996</v>
      </c>
    </row>
    <row r="2607" spans="1:11" s="71" customFormat="1" x14ac:dyDescent="0.25">
      <c r="A2607" s="360"/>
      <c r="B2607" s="360"/>
      <c r="C2607" s="374"/>
      <c r="D2607" s="292"/>
      <c r="E2607" s="292"/>
      <c r="F2607" s="367"/>
      <c r="G2607" s="359" t="s">
        <v>173</v>
      </c>
      <c r="H2607" s="91" t="s">
        <v>171</v>
      </c>
      <c r="I2607" s="229">
        <v>2241647</v>
      </c>
      <c r="J2607" s="229">
        <f>I2607/D2604</f>
        <v>213.2</v>
      </c>
      <c r="K2607" s="229">
        <f>2241647/D2604</f>
        <v>213.2</v>
      </c>
    </row>
    <row r="2608" spans="1:11" s="71" customFormat="1" x14ac:dyDescent="0.25">
      <c r="A2608" s="360"/>
      <c r="B2608" s="360"/>
      <c r="C2608" s="374"/>
      <c r="D2608" s="292"/>
      <c r="E2608" s="292"/>
      <c r="F2608" s="367"/>
      <c r="G2608" s="368"/>
      <c r="H2608" s="91" t="s">
        <v>69</v>
      </c>
      <c r="I2608" s="229">
        <v>0</v>
      </c>
      <c r="J2608" s="229">
        <f>I2608/D2604</f>
        <v>0</v>
      </c>
      <c r="K2608" s="229">
        <f>47971/D2604</f>
        <v>4.5599999999999996</v>
      </c>
    </row>
    <row r="2609" spans="1:11" s="71" customFormat="1" x14ac:dyDescent="0.25">
      <c r="A2609" s="360"/>
      <c r="B2609" s="360"/>
      <c r="C2609" s="374"/>
      <c r="D2609" s="292"/>
      <c r="E2609" s="292"/>
      <c r="F2609" s="367"/>
      <c r="G2609" s="359" t="s">
        <v>174</v>
      </c>
      <c r="H2609" s="91" t="s">
        <v>171</v>
      </c>
      <c r="I2609" s="229">
        <v>2241647</v>
      </c>
      <c r="J2609" s="229">
        <f>I2609/D2604</f>
        <v>213.2</v>
      </c>
      <c r="K2609" s="229">
        <f>2241647/D2604</f>
        <v>213.2</v>
      </c>
    </row>
    <row r="2610" spans="1:11" s="71" customFormat="1" x14ac:dyDescent="0.25">
      <c r="A2610" s="360"/>
      <c r="B2610" s="360"/>
      <c r="C2610" s="374"/>
      <c r="D2610" s="292"/>
      <c r="E2610" s="292"/>
      <c r="F2610" s="367"/>
      <c r="G2610" s="368"/>
      <c r="H2610" s="91" t="s">
        <v>69</v>
      </c>
      <c r="I2610" s="229">
        <v>0</v>
      </c>
      <c r="J2610" s="229">
        <f>I2610/D2604</f>
        <v>0</v>
      </c>
      <c r="K2610" s="229">
        <f>47971/D2604</f>
        <v>4.5599999999999996</v>
      </c>
    </row>
    <row r="2611" spans="1:11" s="71" customFormat="1" x14ac:dyDescent="0.25">
      <c r="A2611" s="359">
        <f>A2604+1</f>
        <v>27</v>
      </c>
      <c r="B2611" s="359">
        <v>6334</v>
      </c>
      <c r="C2611" s="373" t="s">
        <v>682</v>
      </c>
      <c r="D2611" s="291">
        <v>8062.8</v>
      </c>
      <c r="E2611" s="291" t="s">
        <v>64</v>
      </c>
      <c r="F2611" s="366">
        <v>10</v>
      </c>
      <c r="G2611" s="158"/>
      <c r="H2611" s="91" t="s">
        <v>66</v>
      </c>
      <c r="I2611" s="229">
        <f>SUM(I2612:I2613)</f>
        <v>64562</v>
      </c>
      <c r="J2611" s="229">
        <f t="shared" ref="J2611:K2611" si="93">SUM(J2612:J2613)</f>
        <v>8.01</v>
      </c>
      <c r="K2611" s="229">
        <f t="shared" si="93"/>
        <v>8.01</v>
      </c>
    </row>
    <row r="2612" spans="1:11" s="71" customFormat="1" ht="63" x14ac:dyDescent="0.25">
      <c r="A2612" s="360"/>
      <c r="B2612" s="360"/>
      <c r="C2612" s="374"/>
      <c r="D2612" s="292"/>
      <c r="E2612" s="292"/>
      <c r="F2612" s="367"/>
      <c r="G2612" s="147" t="s">
        <v>170</v>
      </c>
      <c r="H2612" s="91" t="s">
        <v>168</v>
      </c>
      <c r="I2612" s="229">
        <v>32281</v>
      </c>
      <c r="J2612" s="229">
        <f>I2612/D2611+0.01</f>
        <v>4.01</v>
      </c>
      <c r="K2612" s="229">
        <f>(22681+9600)/D2611+0.01</f>
        <v>4.01</v>
      </c>
    </row>
    <row r="2613" spans="1:11" s="71" customFormat="1" ht="63" x14ac:dyDescent="0.25">
      <c r="A2613" s="360"/>
      <c r="B2613" s="360"/>
      <c r="C2613" s="374"/>
      <c r="D2613" s="292"/>
      <c r="E2613" s="292"/>
      <c r="F2613" s="367"/>
      <c r="G2613" s="147" t="s">
        <v>173</v>
      </c>
      <c r="H2613" s="91" t="s">
        <v>168</v>
      </c>
      <c r="I2613" s="229">
        <v>32281</v>
      </c>
      <c r="J2613" s="229">
        <f>I2613/D2611</f>
        <v>4</v>
      </c>
      <c r="K2613" s="229">
        <f>(22681+9600)/D2611</f>
        <v>4</v>
      </c>
    </row>
    <row r="2614" spans="1:11" s="71" customFormat="1" x14ac:dyDescent="0.25">
      <c r="A2614" s="359">
        <f>A2611+1</f>
        <v>28</v>
      </c>
      <c r="B2614" s="359">
        <v>6399</v>
      </c>
      <c r="C2614" s="373" t="s">
        <v>409</v>
      </c>
      <c r="D2614" s="291">
        <v>3130.7</v>
      </c>
      <c r="E2614" s="366" t="s">
        <v>68</v>
      </c>
      <c r="F2614" s="366">
        <v>5</v>
      </c>
      <c r="G2614" s="27"/>
      <c r="H2614" s="91" t="s">
        <v>66</v>
      </c>
      <c r="I2614" s="229">
        <f>SUM(I2615:I2616)</f>
        <v>8321087.5300000003</v>
      </c>
      <c r="J2614" s="229">
        <f>SUM(J2615:J2616)</f>
        <v>2657.9</v>
      </c>
      <c r="K2614" s="229">
        <f>SUM(K2615:K2616)</f>
        <v>3878</v>
      </c>
    </row>
    <row r="2615" spans="1:11" s="71" customFormat="1" ht="15.75" customHeight="1" x14ac:dyDescent="0.25">
      <c r="A2615" s="360"/>
      <c r="B2615" s="360"/>
      <c r="C2615" s="374"/>
      <c r="D2615" s="292"/>
      <c r="E2615" s="367"/>
      <c r="F2615" s="367"/>
      <c r="G2615" s="360" t="s">
        <v>65</v>
      </c>
      <c r="H2615" s="91" t="s">
        <v>169</v>
      </c>
      <c r="I2615" s="229">
        <f>D2614*K2615*70/100</f>
        <v>8321087.5300000003</v>
      </c>
      <c r="J2615" s="229">
        <f>I2615/D2614</f>
        <v>2657.9</v>
      </c>
      <c r="K2615" s="229">
        <v>3797</v>
      </c>
    </row>
    <row r="2616" spans="1:11" s="71" customFormat="1" x14ac:dyDescent="0.25">
      <c r="A2616" s="360"/>
      <c r="B2616" s="360"/>
      <c r="C2616" s="374"/>
      <c r="D2616" s="292"/>
      <c r="E2616" s="367"/>
      <c r="F2616" s="367"/>
      <c r="G2616" s="368"/>
      <c r="H2616" s="91" t="s">
        <v>69</v>
      </c>
      <c r="I2616" s="229">
        <v>0</v>
      </c>
      <c r="J2616" s="229">
        <f>I2616/D2614</f>
        <v>0</v>
      </c>
      <c r="K2616" s="229">
        <v>81</v>
      </c>
    </row>
    <row r="2617" spans="1:11" s="71" customFormat="1" x14ac:dyDescent="0.25">
      <c r="A2617" s="359">
        <f>A2614+1</f>
        <v>29</v>
      </c>
      <c r="B2617" s="359">
        <v>6400</v>
      </c>
      <c r="C2617" s="373" t="s">
        <v>410</v>
      </c>
      <c r="D2617" s="291">
        <v>2810.7</v>
      </c>
      <c r="E2617" s="366" t="s">
        <v>68</v>
      </c>
      <c r="F2617" s="366">
        <v>4</v>
      </c>
      <c r="G2617" s="27"/>
      <c r="H2617" s="91" t="s">
        <v>66</v>
      </c>
      <c r="I2617" s="229">
        <f>SUM(I2618:I2623)</f>
        <v>7803065.3399999999</v>
      </c>
      <c r="J2617" s="229">
        <f>SUM(J2618:J2623)</f>
        <v>2776.2</v>
      </c>
      <c r="K2617" s="229">
        <f>SUM(K2618:K2623)</f>
        <v>4051</v>
      </c>
    </row>
    <row r="2618" spans="1:11" s="71" customFormat="1" x14ac:dyDescent="0.25">
      <c r="A2618" s="360"/>
      <c r="B2618" s="360"/>
      <c r="C2618" s="374"/>
      <c r="D2618" s="292"/>
      <c r="E2618" s="367"/>
      <c r="F2618" s="367"/>
      <c r="G2618" s="360" t="s">
        <v>70</v>
      </c>
      <c r="H2618" s="91" t="s">
        <v>169</v>
      </c>
      <c r="I2618" s="229">
        <f>D2617*K2618*70/100</f>
        <v>5727363.3899999997</v>
      </c>
      <c r="J2618" s="229">
        <f>I2618/D2617</f>
        <v>2037.7</v>
      </c>
      <c r="K2618" s="229">
        <v>2911</v>
      </c>
    </row>
    <row r="2619" spans="1:11" s="71" customFormat="1" x14ac:dyDescent="0.25">
      <c r="A2619" s="360"/>
      <c r="B2619" s="360"/>
      <c r="C2619" s="374"/>
      <c r="D2619" s="292"/>
      <c r="E2619" s="367"/>
      <c r="F2619" s="367"/>
      <c r="G2619" s="368"/>
      <c r="H2619" s="91" t="s">
        <v>69</v>
      </c>
      <c r="I2619" s="229">
        <v>0</v>
      </c>
      <c r="J2619" s="229">
        <f>I2619/D2617</f>
        <v>0</v>
      </c>
      <c r="K2619" s="229">
        <v>62</v>
      </c>
    </row>
    <row r="2620" spans="1:11" s="71" customFormat="1" x14ac:dyDescent="0.25">
      <c r="A2620" s="360"/>
      <c r="B2620" s="360"/>
      <c r="C2620" s="374"/>
      <c r="D2620" s="292"/>
      <c r="E2620" s="367"/>
      <c r="F2620" s="367"/>
      <c r="G2620" s="360" t="s">
        <v>71</v>
      </c>
      <c r="H2620" s="91" t="s">
        <v>169</v>
      </c>
      <c r="I2620" s="229">
        <f>D2617*K2620*70/100</f>
        <v>1009322.37</v>
      </c>
      <c r="J2620" s="229">
        <f>I2620/D2617</f>
        <v>359.1</v>
      </c>
      <c r="K2620" s="229">
        <v>513</v>
      </c>
    </row>
    <row r="2621" spans="1:11" s="71" customFormat="1" x14ac:dyDescent="0.25">
      <c r="A2621" s="360"/>
      <c r="B2621" s="360"/>
      <c r="C2621" s="374"/>
      <c r="D2621" s="292"/>
      <c r="E2621" s="367"/>
      <c r="F2621" s="367"/>
      <c r="G2621" s="368"/>
      <c r="H2621" s="91" t="s">
        <v>69</v>
      </c>
      <c r="I2621" s="229">
        <v>0</v>
      </c>
      <c r="J2621" s="229">
        <f>I2621/D2617</f>
        <v>0</v>
      </c>
      <c r="K2621" s="229">
        <v>11</v>
      </c>
    </row>
    <row r="2622" spans="1:11" s="71" customFormat="1" x14ac:dyDescent="0.25">
      <c r="A2622" s="360"/>
      <c r="B2622" s="360"/>
      <c r="C2622" s="374"/>
      <c r="D2622" s="292"/>
      <c r="E2622" s="367"/>
      <c r="F2622" s="367"/>
      <c r="G2622" s="360" t="s">
        <v>72</v>
      </c>
      <c r="H2622" s="91" t="s">
        <v>169</v>
      </c>
      <c r="I2622" s="229">
        <f>D2617*K2622*70/100</f>
        <v>1066379.58</v>
      </c>
      <c r="J2622" s="229">
        <f>I2622/D2617</f>
        <v>379.4</v>
      </c>
      <c r="K2622" s="229">
        <v>542</v>
      </c>
    </row>
    <row r="2623" spans="1:11" s="71" customFormat="1" x14ac:dyDescent="0.25">
      <c r="A2623" s="368"/>
      <c r="B2623" s="368"/>
      <c r="C2623" s="375"/>
      <c r="D2623" s="293"/>
      <c r="E2623" s="383"/>
      <c r="F2623" s="383"/>
      <c r="G2623" s="368"/>
      <c r="H2623" s="91" t="s">
        <v>69</v>
      </c>
      <c r="I2623" s="229">
        <v>0</v>
      </c>
      <c r="J2623" s="229">
        <f>I2623/D2617</f>
        <v>0</v>
      </c>
      <c r="K2623" s="229">
        <v>12</v>
      </c>
    </row>
    <row r="2624" spans="1:11" s="71" customFormat="1" ht="15" customHeight="1" x14ac:dyDescent="0.25">
      <c r="A2624" s="359">
        <f>A2617+1</f>
        <v>30</v>
      </c>
      <c r="B2624" s="359">
        <v>6430</v>
      </c>
      <c r="C2624" s="373" t="s">
        <v>411</v>
      </c>
      <c r="D2624" s="291">
        <v>2506.4</v>
      </c>
      <c r="E2624" s="366" t="s">
        <v>64</v>
      </c>
      <c r="F2624" s="366">
        <v>5</v>
      </c>
      <c r="G2624" s="27"/>
      <c r="H2624" s="91" t="s">
        <v>66</v>
      </c>
      <c r="I2624" s="229">
        <f>SUM(I2625:I2626)</f>
        <v>9516800.8000000007</v>
      </c>
      <c r="J2624" s="229">
        <f>SUM(J2625:J2626)</f>
        <v>3797</v>
      </c>
      <c r="K2624" s="229">
        <f>SUM(K2625:K2626)</f>
        <v>3878</v>
      </c>
    </row>
    <row r="2625" spans="1:11" s="71" customFormat="1" ht="15" customHeight="1" x14ac:dyDescent="0.25">
      <c r="A2625" s="360"/>
      <c r="B2625" s="360"/>
      <c r="C2625" s="374"/>
      <c r="D2625" s="292"/>
      <c r="E2625" s="367"/>
      <c r="F2625" s="367"/>
      <c r="G2625" s="359" t="s">
        <v>65</v>
      </c>
      <c r="H2625" s="91" t="s">
        <v>169</v>
      </c>
      <c r="I2625" s="229">
        <f>D2624*K2625</f>
        <v>9516800.8000000007</v>
      </c>
      <c r="J2625" s="229">
        <f>I2625/D2624</f>
        <v>3797</v>
      </c>
      <c r="K2625" s="229">
        <v>3797</v>
      </c>
    </row>
    <row r="2626" spans="1:11" s="71" customFormat="1" x14ac:dyDescent="0.25">
      <c r="A2626" s="368"/>
      <c r="B2626" s="368"/>
      <c r="C2626" s="375"/>
      <c r="D2626" s="293"/>
      <c r="E2626" s="383"/>
      <c r="F2626" s="383"/>
      <c r="G2626" s="368"/>
      <c r="H2626" s="91" t="s">
        <v>69</v>
      </c>
      <c r="I2626" s="229">
        <v>0</v>
      </c>
      <c r="J2626" s="229">
        <f>I2626/D2624</f>
        <v>0</v>
      </c>
      <c r="K2626" s="229">
        <v>81</v>
      </c>
    </row>
    <row r="2627" spans="1:11" s="71" customFormat="1" x14ac:dyDescent="0.25">
      <c r="A2627" s="359">
        <f>A2624+1</f>
        <v>31</v>
      </c>
      <c r="B2627" s="359">
        <v>6433</v>
      </c>
      <c r="C2627" s="373" t="s">
        <v>412</v>
      </c>
      <c r="D2627" s="291">
        <v>3100.3</v>
      </c>
      <c r="E2627" s="366" t="s">
        <v>68</v>
      </c>
      <c r="F2627" s="366">
        <v>5</v>
      </c>
      <c r="G2627" s="359" t="s">
        <v>65</v>
      </c>
      <c r="H2627" s="91" t="s">
        <v>66</v>
      </c>
      <c r="I2627" s="229">
        <f>SUM(I2628:I2629)</f>
        <v>8240287.3700000001</v>
      </c>
      <c r="J2627" s="229">
        <f>SUM(J2628:J2629)</f>
        <v>2657.9</v>
      </c>
      <c r="K2627" s="229">
        <f>SUM(K2628:K2629)</f>
        <v>3878</v>
      </c>
    </row>
    <row r="2628" spans="1:11" s="71" customFormat="1" ht="15.75" customHeight="1" x14ac:dyDescent="0.25">
      <c r="A2628" s="360"/>
      <c r="B2628" s="360"/>
      <c r="C2628" s="374"/>
      <c r="D2628" s="292"/>
      <c r="E2628" s="367"/>
      <c r="F2628" s="367"/>
      <c r="G2628" s="360"/>
      <c r="H2628" s="91" t="s">
        <v>169</v>
      </c>
      <c r="I2628" s="229">
        <f>D2627*K2628*70/100</f>
        <v>8240287.3700000001</v>
      </c>
      <c r="J2628" s="229">
        <f>I2628/D2627</f>
        <v>2657.9</v>
      </c>
      <c r="K2628" s="229">
        <v>3797</v>
      </c>
    </row>
    <row r="2629" spans="1:11" s="71" customFormat="1" x14ac:dyDescent="0.25">
      <c r="A2629" s="360"/>
      <c r="B2629" s="360"/>
      <c r="C2629" s="374"/>
      <c r="D2629" s="292"/>
      <c r="E2629" s="367"/>
      <c r="F2629" s="367"/>
      <c r="G2629" s="368"/>
      <c r="H2629" s="91" t="s">
        <v>69</v>
      </c>
      <c r="I2629" s="229">
        <v>0</v>
      </c>
      <c r="J2629" s="229">
        <f>I2629/D2627</f>
        <v>0</v>
      </c>
      <c r="K2629" s="229">
        <v>81</v>
      </c>
    </row>
    <row r="2630" spans="1:11" s="71" customFormat="1" x14ac:dyDescent="0.25">
      <c r="A2630" s="359">
        <f>A2627+1</f>
        <v>32</v>
      </c>
      <c r="B2630" s="359">
        <v>6436</v>
      </c>
      <c r="C2630" s="373" t="s">
        <v>413</v>
      </c>
      <c r="D2630" s="291">
        <v>3038.5</v>
      </c>
      <c r="E2630" s="366" t="s">
        <v>68</v>
      </c>
      <c r="F2630" s="366">
        <v>5</v>
      </c>
      <c r="G2630" s="27"/>
      <c r="H2630" s="91" t="s">
        <v>66</v>
      </c>
      <c r="I2630" s="229">
        <f>SUM(I2631:I2632)</f>
        <v>8076029.1500000004</v>
      </c>
      <c r="J2630" s="229">
        <f>SUM(J2631:J2632)</f>
        <v>2657.9</v>
      </c>
      <c r="K2630" s="229">
        <f>SUM(K2631:K2632)</f>
        <v>3878</v>
      </c>
    </row>
    <row r="2631" spans="1:11" s="71" customFormat="1" ht="15.75" customHeight="1" x14ac:dyDescent="0.25">
      <c r="A2631" s="360"/>
      <c r="B2631" s="360"/>
      <c r="C2631" s="374"/>
      <c r="D2631" s="292"/>
      <c r="E2631" s="367"/>
      <c r="F2631" s="367"/>
      <c r="G2631" s="360" t="s">
        <v>65</v>
      </c>
      <c r="H2631" s="91" t="s">
        <v>169</v>
      </c>
      <c r="I2631" s="229">
        <f>D2630*K2631*70/100</f>
        <v>8076029.1500000004</v>
      </c>
      <c r="J2631" s="229">
        <f>I2631/D2630</f>
        <v>2657.9</v>
      </c>
      <c r="K2631" s="229">
        <v>3797</v>
      </c>
    </row>
    <row r="2632" spans="1:11" s="71" customFormat="1" x14ac:dyDescent="0.25">
      <c r="A2632" s="360"/>
      <c r="B2632" s="360"/>
      <c r="C2632" s="374"/>
      <c r="D2632" s="292"/>
      <c r="E2632" s="367"/>
      <c r="F2632" s="367"/>
      <c r="G2632" s="368"/>
      <c r="H2632" s="91" t="s">
        <v>69</v>
      </c>
      <c r="I2632" s="229">
        <v>0</v>
      </c>
      <c r="J2632" s="229">
        <f>I2632/D2630</f>
        <v>0</v>
      </c>
      <c r="K2632" s="229">
        <v>81</v>
      </c>
    </row>
    <row r="2633" spans="1:11" s="71" customFormat="1" ht="15.75" customHeight="1" x14ac:dyDescent="0.25">
      <c r="A2633" s="359">
        <f>A2630+1</f>
        <v>33</v>
      </c>
      <c r="B2633" s="359">
        <v>6439</v>
      </c>
      <c r="C2633" s="373" t="s">
        <v>414</v>
      </c>
      <c r="D2633" s="291">
        <v>3449.6</v>
      </c>
      <c r="E2633" s="366" t="s">
        <v>64</v>
      </c>
      <c r="F2633" s="366">
        <v>5</v>
      </c>
      <c r="G2633" s="27"/>
      <c r="H2633" s="91" t="s">
        <v>66</v>
      </c>
      <c r="I2633" s="229">
        <f>SUM(I2634:I2635)</f>
        <v>13098131.199999999</v>
      </c>
      <c r="J2633" s="229">
        <f>SUM(J2634:J2635)</f>
        <v>3797</v>
      </c>
      <c r="K2633" s="229">
        <f>SUM(K2634:K2635)</f>
        <v>3878</v>
      </c>
    </row>
    <row r="2634" spans="1:11" s="71" customFormat="1" x14ac:dyDescent="0.25">
      <c r="A2634" s="360"/>
      <c r="B2634" s="360"/>
      <c r="C2634" s="374"/>
      <c r="D2634" s="292"/>
      <c r="E2634" s="367"/>
      <c r="F2634" s="367"/>
      <c r="G2634" s="359" t="s">
        <v>65</v>
      </c>
      <c r="H2634" s="91" t="s">
        <v>169</v>
      </c>
      <c r="I2634" s="229">
        <f>D2633*K2634</f>
        <v>13098131.199999999</v>
      </c>
      <c r="J2634" s="229">
        <f>I2634/D2633</f>
        <v>3797</v>
      </c>
      <c r="K2634" s="229">
        <v>3797</v>
      </c>
    </row>
    <row r="2635" spans="1:11" s="71" customFormat="1" x14ac:dyDescent="0.25">
      <c r="A2635" s="368"/>
      <c r="B2635" s="368"/>
      <c r="C2635" s="375"/>
      <c r="D2635" s="293"/>
      <c r="E2635" s="383"/>
      <c r="F2635" s="383"/>
      <c r="G2635" s="368"/>
      <c r="H2635" s="91" t="s">
        <v>69</v>
      </c>
      <c r="I2635" s="229">
        <v>0</v>
      </c>
      <c r="J2635" s="229">
        <f>I2635/D2633</f>
        <v>0</v>
      </c>
      <c r="K2635" s="229">
        <v>81</v>
      </c>
    </row>
    <row r="2636" spans="1:11" s="71" customFormat="1" x14ac:dyDescent="0.25">
      <c r="A2636" s="359">
        <f>A2633+1</f>
        <v>34</v>
      </c>
      <c r="B2636" s="359">
        <v>6538</v>
      </c>
      <c r="C2636" s="373" t="s">
        <v>415</v>
      </c>
      <c r="D2636" s="377">
        <v>412</v>
      </c>
      <c r="E2636" s="359" t="s">
        <v>167</v>
      </c>
      <c r="F2636" s="359">
        <v>2</v>
      </c>
      <c r="G2636" s="27"/>
      <c r="H2636" s="91" t="s">
        <v>66</v>
      </c>
      <c r="I2636" s="229">
        <f>SUM(I2637:I2642)</f>
        <v>1143794.3999999999</v>
      </c>
      <c r="J2636" s="229">
        <f t="shared" ref="J2636:K2636" si="94">SUM(J2637:J2642)</f>
        <v>2776.2</v>
      </c>
      <c r="K2636" s="229">
        <f t="shared" si="94"/>
        <v>4050</v>
      </c>
    </row>
    <row r="2637" spans="1:11" s="71" customFormat="1" x14ac:dyDescent="0.25">
      <c r="A2637" s="360"/>
      <c r="B2637" s="360"/>
      <c r="C2637" s="374"/>
      <c r="D2637" s="378"/>
      <c r="E2637" s="360"/>
      <c r="F2637" s="360"/>
      <c r="G2637" s="360" t="s">
        <v>70</v>
      </c>
      <c r="H2637" s="91" t="s">
        <v>169</v>
      </c>
      <c r="I2637" s="229">
        <f>D2636*K2637*70/100</f>
        <v>839532.4</v>
      </c>
      <c r="J2637" s="229">
        <f>I2637/D2636</f>
        <v>2037.7</v>
      </c>
      <c r="K2637" s="229">
        <v>2911</v>
      </c>
    </row>
    <row r="2638" spans="1:11" s="71" customFormat="1" x14ac:dyDescent="0.25">
      <c r="A2638" s="360"/>
      <c r="B2638" s="360"/>
      <c r="C2638" s="374"/>
      <c r="D2638" s="378"/>
      <c r="E2638" s="360"/>
      <c r="F2638" s="360"/>
      <c r="G2638" s="368"/>
      <c r="H2638" s="91" t="s">
        <v>69</v>
      </c>
      <c r="I2638" s="229">
        <v>0</v>
      </c>
      <c r="J2638" s="229">
        <f>I2638/D2636</f>
        <v>0</v>
      </c>
      <c r="K2638" s="229">
        <v>62</v>
      </c>
    </row>
    <row r="2639" spans="1:11" s="71" customFormat="1" x14ac:dyDescent="0.25">
      <c r="A2639" s="360"/>
      <c r="B2639" s="360"/>
      <c r="C2639" s="374"/>
      <c r="D2639" s="378"/>
      <c r="E2639" s="360"/>
      <c r="F2639" s="360"/>
      <c r="G2639" s="360" t="s">
        <v>71</v>
      </c>
      <c r="H2639" s="91" t="s">
        <v>169</v>
      </c>
      <c r="I2639" s="229">
        <f>D2636*K2639*70/100</f>
        <v>147949.20000000001</v>
      </c>
      <c r="J2639" s="229">
        <f>I2639/D2636</f>
        <v>359.1</v>
      </c>
      <c r="K2639" s="229">
        <v>513</v>
      </c>
    </row>
    <row r="2640" spans="1:11" s="71" customFormat="1" x14ac:dyDescent="0.25">
      <c r="A2640" s="360"/>
      <c r="B2640" s="360"/>
      <c r="C2640" s="374"/>
      <c r="D2640" s="378"/>
      <c r="E2640" s="360"/>
      <c r="F2640" s="360"/>
      <c r="G2640" s="368"/>
      <c r="H2640" s="91" t="s">
        <v>69</v>
      </c>
      <c r="I2640" s="229">
        <v>0</v>
      </c>
      <c r="J2640" s="229">
        <f>I2640/D2636</f>
        <v>0</v>
      </c>
      <c r="K2640" s="229">
        <v>11</v>
      </c>
    </row>
    <row r="2641" spans="1:11" s="71" customFormat="1" x14ac:dyDescent="0.25">
      <c r="A2641" s="360"/>
      <c r="B2641" s="360"/>
      <c r="C2641" s="374"/>
      <c r="D2641" s="378"/>
      <c r="E2641" s="360"/>
      <c r="F2641" s="360"/>
      <c r="G2641" s="376" t="s">
        <v>72</v>
      </c>
      <c r="H2641" s="91" t="s">
        <v>169</v>
      </c>
      <c r="I2641" s="229">
        <f>D2636*K2641*70/100</f>
        <v>156312.79999999999</v>
      </c>
      <c r="J2641" s="229">
        <f>I2641/D2636</f>
        <v>379.4</v>
      </c>
      <c r="K2641" s="229">
        <v>542</v>
      </c>
    </row>
    <row r="2642" spans="1:11" s="71" customFormat="1" x14ac:dyDescent="0.25">
      <c r="A2642" s="368"/>
      <c r="B2642" s="368"/>
      <c r="C2642" s="375"/>
      <c r="D2642" s="379"/>
      <c r="E2642" s="368"/>
      <c r="F2642" s="368"/>
      <c r="G2642" s="376"/>
      <c r="H2642" s="91" t="s">
        <v>69</v>
      </c>
      <c r="I2642" s="229">
        <v>0</v>
      </c>
      <c r="J2642" s="229">
        <f>I2642/D2636</f>
        <v>0</v>
      </c>
      <c r="K2642" s="229">
        <v>11</v>
      </c>
    </row>
    <row r="2643" spans="1:11" x14ac:dyDescent="0.25">
      <c r="A2643" s="81" t="s">
        <v>41</v>
      </c>
      <c r="B2643" s="81"/>
      <c r="C2643" s="157"/>
      <c r="D2643" s="151">
        <f>D2644+D2651+D2658+D2661+D2668+D2677+D2684+D2691+D2698+D2700+D2703+D2706+D2715+D2722+D2724</f>
        <v>80870.41</v>
      </c>
      <c r="E2643" s="151"/>
      <c r="F2643" s="151"/>
      <c r="G2643" s="151"/>
      <c r="H2643" s="85"/>
      <c r="I2643" s="223">
        <f>I2644+I2651+I2658+I2661+I2668+I2677+I2684+I2691+I2698+I2700+I2703+I2706+I2715+I2722+I2724</f>
        <v>69137993.340000004</v>
      </c>
      <c r="J2643" s="222"/>
      <c r="K2643" s="222"/>
    </row>
    <row r="2644" spans="1:11" x14ac:dyDescent="0.25">
      <c r="A2644" s="307">
        <v>1</v>
      </c>
      <c r="B2644" s="307">
        <v>5079</v>
      </c>
      <c r="C2644" s="386" t="s">
        <v>333</v>
      </c>
      <c r="D2644" s="318">
        <v>712.3</v>
      </c>
      <c r="E2644" s="318" t="s">
        <v>68</v>
      </c>
      <c r="F2644" s="330">
        <v>2</v>
      </c>
      <c r="G2644" s="161"/>
      <c r="H2644" s="87" t="s">
        <v>66</v>
      </c>
      <c r="I2644" s="223">
        <f>I2645+I2646+I2647+I2648+I2649+I2650</f>
        <v>3045082.5</v>
      </c>
      <c r="J2644" s="223">
        <f>J2645+J2646+J2647+J2648+J2649+J2650</f>
        <v>4275</v>
      </c>
      <c r="K2644" s="223">
        <f>K2645+K2646+K2647+K2648+K2649+K2650</f>
        <v>4275</v>
      </c>
    </row>
    <row r="2645" spans="1:11" x14ac:dyDescent="0.25">
      <c r="A2645" s="308"/>
      <c r="B2645" s="308"/>
      <c r="C2645" s="387"/>
      <c r="D2645" s="319"/>
      <c r="E2645" s="319"/>
      <c r="F2645" s="331"/>
      <c r="G2645" s="307" t="s">
        <v>70</v>
      </c>
      <c r="H2645" s="153" t="s">
        <v>67</v>
      </c>
      <c r="I2645" s="223">
        <f>D2644*K2645</f>
        <v>2113394.1</v>
      </c>
      <c r="J2645" s="223">
        <f>I2645/D2644</f>
        <v>2967</v>
      </c>
      <c r="K2645" s="223">
        <v>2967</v>
      </c>
    </row>
    <row r="2646" spans="1:11" x14ac:dyDescent="0.25">
      <c r="A2646" s="308"/>
      <c r="B2646" s="308"/>
      <c r="C2646" s="387"/>
      <c r="D2646" s="319"/>
      <c r="E2646" s="319"/>
      <c r="F2646" s="331"/>
      <c r="G2646" s="309"/>
      <c r="H2646" s="153" t="s">
        <v>69</v>
      </c>
      <c r="I2646" s="223">
        <f>D2644*K2646</f>
        <v>44874.9</v>
      </c>
      <c r="J2646" s="223">
        <f>I2646/D2644</f>
        <v>63</v>
      </c>
      <c r="K2646" s="223">
        <v>63</v>
      </c>
    </row>
    <row r="2647" spans="1:11" x14ac:dyDescent="0.25">
      <c r="A2647" s="308"/>
      <c r="B2647" s="308"/>
      <c r="C2647" s="387"/>
      <c r="D2647" s="319"/>
      <c r="E2647" s="319"/>
      <c r="F2647" s="331"/>
      <c r="G2647" s="307" t="s">
        <v>71</v>
      </c>
      <c r="H2647" s="87" t="s">
        <v>67</v>
      </c>
      <c r="I2647" s="223">
        <f>D2644*K2647</f>
        <v>440201.4</v>
      </c>
      <c r="J2647" s="223">
        <f>I2647/D2644</f>
        <v>618</v>
      </c>
      <c r="K2647" s="223">
        <v>618</v>
      </c>
    </row>
    <row r="2648" spans="1:11" x14ac:dyDescent="0.25">
      <c r="A2648" s="308"/>
      <c r="B2648" s="308"/>
      <c r="C2648" s="387"/>
      <c r="D2648" s="319"/>
      <c r="E2648" s="319"/>
      <c r="F2648" s="331"/>
      <c r="G2648" s="309"/>
      <c r="H2648" s="87" t="s">
        <v>69</v>
      </c>
      <c r="I2648" s="223">
        <f>D2644*K2648</f>
        <v>9259.9</v>
      </c>
      <c r="J2648" s="223">
        <f>I2648/D2644</f>
        <v>13</v>
      </c>
      <c r="K2648" s="223">
        <v>13</v>
      </c>
    </row>
    <row r="2649" spans="1:11" x14ac:dyDescent="0.25">
      <c r="A2649" s="308"/>
      <c r="B2649" s="308"/>
      <c r="C2649" s="387"/>
      <c r="D2649" s="319"/>
      <c r="E2649" s="319"/>
      <c r="F2649" s="331"/>
      <c r="G2649" s="307" t="s">
        <v>72</v>
      </c>
      <c r="H2649" s="87" t="s">
        <v>67</v>
      </c>
      <c r="I2649" s="223">
        <f>D2644*K2649</f>
        <v>428092.3</v>
      </c>
      <c r="J2649" s="223">
        <f>I2649/D2644</f>
        <v>601</v>
      </c>
      <c r="K2649" s="223">
        <v>601</v>
      </c>
    </row>
    <row r="2650" spans="1:11" x14ac:dyDescent="0.25">
      <c r="A2650" s="308"/>
      <c r="B2650" s="308"/>
      <c r="C2650" s="387"/>
      <c r="D2650" s="319"/>
      <c r="E2650" s="319"/>
      <c r="F2650" s="331"/>
      <c r="G2650" s="309"/>
      <c r="H2650" s="87" t="s">
        <v>69</v>
      </c>
      <c r="I2650" s="223">
        <f>D2644*K2650</f>
        <v>9259.9</v>
      </c>
      <c r="J2650" s="223">
        <f>I2650/D2644</f>
        <v>13</v>
      </c>
      <c r="K2650" s="223">
        <v>13</v>
      </c>
    </row>
    <row r="2651" spans="1:11" x14ac:dyDescent="0.25">
      <c r="A2651" s="307">
        <f>A2644+1</f>
        <v>2</v>
      </c>
      <c r="B2651" s="307">
        <v>5080</v>
      </c>
      <c r="C2651" s="386" t="s">
        <v>334</v>
      </c>
      <c r="D2651" s="318">
        <v>704</v>
      </c>
      <c r="E2651" s="318" t="s">
        <v>68</v>
      </c>
      <c r="F2651" s="330">
        <v>2</v>
      </c>
      <c r="G2651" s="161"/>
      <c r="H2651" s="87" t="s">
        <v>66</v>
      </c>
      <c r="I2651" s="223">
        <f>I2652+I2653+I2654+I2655+I2656+I2657</f>
        <v>3009600</v>
      </c>
      <c r="J2651" s="223">
        <f>J2652+J2653+J2654+J2655+J2656+J2657</f>
        <v>4275</v>
      </c>
      <c r="K2651" s="223">
        <f>K2652+K2653+K2654+K2655+K2656+K2657</f>
        <v>4275</v>
      </c>
    </row>
    <row r="2652" spans="1:11" x14ac:dyDescent="0.25">
      <c r="A2652" s="308"/>
      <c r="B2652" s="308"/>
      <c r="C2652" s="387"/>
      <c r="D2652" s="319"/>
      <c r="E2652" s="319"/>
      <c r="F2652" s="331"/>
      <c r="G2652" s="307" t="s">
        <v>70</v>
      </c>
      <c r="H2652" s="153" t="s">
        <v>67</v>
      </c>
      <c r="I2652" s="223">
        <f>D2651*K2652</f>
        <v>2088768</v>
      </c>
      <c r="J2652" s="223">
        <f>I2652/D2651</f>
        <v>2967</v>
      </c>
      <c r="K2652" s="223">
        <v>2967</v>
      </c>
    </row>
    <row r="2653" spans="1:11" x14ac:dyDescent="0.25">
      <c r="A2653" s="308"/>
      <c r="B2653" s="308"/>
      <c r="C2653" s="387"/>
      <c r="D2653" s="319"/>
      <c r="E2653" s="319"/>
      <c r="F2653" s="331"/>
      <c r="G2653" s="309"/>
      <c r="H2653" s="153" t="s">
        <v>69</v>
      </c>
      <c r="I2653" s="223">
        <f>D2651*K2653</f>
        <v>44352</v>
      </c>
      <c r="J2653" s="223">
        <f>I2653/D2651</f>
        <v>63</v>
      </c>
      <c r="K2653" s="223">
        <v>63</v>
      </c>
    </row>
    <row r="2654" spans="1:11" x14ac:dyDescent="0.25">
      <c r="A2654" s="308"/>
      <c r="B2654" s="308"/>
      <c r="C2654" s="387"/>
      <c r="D2654" s="319"/>
      <c r="E2654" s="319"/>
      <c r="F2654" s="331"/>
      <c r="G2654" s="307" t="s">
        <v>71</v>
      </c>
      <c r="H2654" s="87" t="s">
        <v>67</v>
      </c>
      <c r="I2654" s="223">
        <f>D2651*K2654</f>
        <v>435072</v>
      </c>
      <c r="J2654" s="223">
        <f>I2654/D2651</f>
        <v>618</v>
      </c>
      <c r="K2654" s="223">
        <v>618</v>
      </c>
    </row>
    <row r="2655" spans="1:11" x14ac:dyDescent="0.25">
      <c r="A2655" s="308"/>
      <c r="B2655" s="308"/>
      <c r="C2655" s="387"/>
      <c r="D2655" s="319"/>
      <c r="E2655" s="319"/>
      <c r="F2655" s="331"/>
      <c r="G2655" s="309"/>
      <c r="H2655" s="87" t="s">
        <v>69</v>
      </c>
      <c r="I2655" s="223">
        <f>D2651*K2655</f>
        <v>9152</v>
      </c>
      <c r="J2655" s="223">
        <f>I2655/D2651</f>
        <v>13</v>
      </c>
      <c r="K2655" s="223">
        <v>13</v>
      </c>
    </row>
    <row r="2656" spans="1:11" x14ac:dyDescent="0.25">
      <c r="A2656" s="308"/>
      <c r="B2656" s="308"/>
      <c r="C2656" s="387"/>
      <c r="D2656" s="319"/>
      <c r="E2656" s="319"/>
      <c r="F2656" s="331"/>
      <c r="G2656" s="307" t="s">
        <v>72</v>
      </c>
      <c r="H2656" s="87" t="s">
        <v>67</v>
      </c>
      <c r="I2656" s="223">
        <f>D2651*K2656</f>
        <v>423104</v>
      </c>
      <c r="J2656" s="223">
        <f>I2656/D2651</f>
        <v>601</v>
      </c>
      <c r="K2656" s="223">
        <v>601</v>
      </c>
    </row>
    <row r="2657" spans="1:11" x14ac:dyDescent="0.25">
      <c r="A2657" s="308"/>
      <c r="B2657" s="308"/>
      <c r="C2657" s="387"/>
      <c r="D2657" s="319"/>
      <c r="E2657" s="319"/>
      <c r="F2657" s="331"/>
      <c r="G2657" s="309"/>
      <c r="H2657" s="87" t="s">
        <v>69</v>
      </c>
      <c r="I2657" s="223">
        <f>D2651*K2657</f>
        <v>9152</v>
      </c>
      <c r="J2657" s="223">
        <f>I2657/D2651</f>
        <v>13</v>
      </c>
      <c r="K2657" s="223">
        <v>13</v>
      </c>
    </row>
    <row r="2658" spans="1:11" x14ac:dyDescent="0.25">
      <c r="A2658" s="307">
        <f>A2651+1</f>
        <v>3</v>
      </c>
      <c r="B2658" s="307">
        <v>5091</v>
      </c>
      <c r="C2658" s="348" t="s">
        <v>335</v>
      </c>
      <c r="D2658" s="318">
        <v>2295.21</v>
      </c>
      <c r="E2658" s="318" t="s">
        <v>68</v>
      </c>
      <c r="F2658" s="330">
        <v>9</v>
      </c>
      <c r="G2658" s="307" t="s">
        <v>65</v>
      </c>
      <c r="H2658" s="87" t="s">
        <v>66</v>
      </c>
      <c r="I2658" s="223">
        <f>I2659+I2660</f>
        <v>6688241.9400000004</v>
      </c>
      <c r="J2658" s="223">
        <f>J2659+J2660</f>
        <v>2914</v>
      </c>
      <c r="K2658" s="223">
        <f>K2659+K2660</f>
        <v>2914</v>
      </c>
    </row>
    <row r="2659" spans="1:11" x14ac:dyDescent="0.25">
      <c r="A2659" s="308"/>
      <c r="B2659" s="308"/>
      <c r="C2659" s="349"/>
      <c r="D2659" s="319"/>
      <c r="E2659" s="319"/>
      <c r="F2659" s="331"/>
      <c r="G2659" s="308"/>
      <c r="H2659" s="87" t="s">
        <v>67</v>
      </c>
      <c r="I2659" s="223">
        <f>D2658*K2659</f>
        <v>6548234.1299999999</v>
      </c>
      <c r="J2659" s="223">
        <f>I2659/D2658</f>
        <v>2853</v>
      </c>
      <c r="K2659" s="223">
        <v>2853</v>
      </c>
    </row>
    <row r="2660" spans="1:11" x14ac:dyDescent="0.25">
      <c r="A2660" s="309"/>
      <c r="B2660" s="309"/>
      <c r="C2660" s="350"/>
      <c r="D2660" s="329"/>
      <c r="E2660" s="329"/>
      <c r="F2660" s="332"/>
      <c r="G2660" s="309"/>
      <c r="H2660" s="87" t="s">
        <v>69</v>
      </c>
      <c r="I2660" s="223">
        <f>D2658*K2660</f>
        <v>140007.81</v>
      </c>
      <c r="J2660" s="223">
        <f>I2660/D2658</f>
        <v>61</v>
      </c>
      <c r="K2660" s="223">
        <v>61</v>
      </c>
    </row>
    <row r="2661" spans="1:11" x14ac:dyDescent="0.25">
      <c r="A2661" s="307">
        <f>A2658+1</f>
        <v>4</v>
      </c>
      <c r="B2661" s="307">
        <v>5097</v>
      </c>
      <c r="C2661" s="386" t="s">
        <v>336</v>
      </c>
      <c r="D2661" s="318">
        <v>371</v>
      </c>
      <c r="E2661" s="318" t="s">
        <v>64</v>
      </c>
      <c r="F2661" s="330">
        <v>2</v>
      </c>
      <c r="G2661" s="161"/>
      <c r="H2661" s="87" t="s">
        <v>66</v>
      </c>
      <c r="I2661" s="223">
        <f>I2662+I2663+I2664+I2665+I2666+I2667</f>
        <v>1586025</v>
      </c>
      <c r="J2661" s="223">
        <f>J2662+J2663+J2664+J2665+J2666+J2667</f>
        <v>4275</v>
      </c>
      <c r="K2661" s="223">
        <f>K2662+K2663+K2664+K2665+K2666+K2667</f>
        <v>4275</v>
      </c>
    </row>
    <row r="2662" spans="1:11" x14ac:dyDescent="0.25">
      <c r="A2662" s="308"/>
      <c r="B2662" s="308"/>
      <c r="C2662" s="387"/>
      <c r="D2662" s="319"/>
      <c r="E2662" s="319"/>
      <c r="F2662" s="331"/>
      <c r="G2662" s="307" t="s">
        <v>70</v>
      </c>
      <c r="H2662" s="153" t="s">
        <v>67</v>
      </c>
      <c r="I2662" s="223">
        <f>D2661*K2662</f>
        <v>1100757</v>
      </c>
      <c r="J2662" s="223">
        <f>I2662/D2661</f>
        <v>2967</v>
      </c>
      <c r="K2662" s="223">
        <v>2967</v>
      </c>
    </row>
    <row r="2663" spans="1:11" x14ac:dyDescent="0.25">
      <c r="A2663" s="308"/>
      <c r="B2663" s="308"/>
      <c r="C2663" s="387"/>
      <c r="D2663" s="319"/>
      <c r="E2663" s="319"/>
      <c r="F2663" s="331"/>
      <c r="G2663" s="309"/>
      <c r="H2663" s="153" t="s">
        <v>69</v>
      </c>
      <c r="I2663" s="223">
        <f>D2661*K2663</f>
        <v>23373</v>
      </c>
      <c r="J2663" s="223">
        <f>I2663/D2661</f>
        <v>63</v>
      </c>
      <c r="K2663" s="223">
        <v>63</v>
      </c>
    </row>
    <row r="2664" spans="1:11" x14ac:dyDescent="0.25">
      <c r="A2664" s="308"/>
      <c r="B2664" s="308"/>
      <c r="C2664" s="387"/>
      <c r="D2664" s="319"/>
      <c r="E2664" s="319"/>
      <c r="F2664" s="331"/>
      <c r="G2664" s="307" t="s">
        <v>71</v>
      </c>
      <c r="H2664" s="87" t="s">
        <v>67</v>
      </c>
      <c r="I2664" s="223">
        <f>D2661*K2664</f>
        <v>229278</v>
      </c>
      <c r="J2664" s="223">
        <f>I2664/D2661</f>
        <v>618</v>
      </c>
      <c r="K2664" s="223">
        <v>618</v>
      </c>
    </row>
    <row r="2665" spans="1:11" x14ac:dyDescent="0.25">
      <c r="A2665" s="308"/>
      <c r="B2665" s="308"/>
      <c r="C2665" s="387"/>
      <c r="D2665" s="319"/>
      <c r="E2665" s="319"/>
      <c r="F2665" s="331"/>
      <c r="G2665" s="309"/>
      <c r="H2665" s="87" t="s">
        <v>69</v>
      </c>
      <c r="I2665" s="223">
        <f>D2661*K2665</f>
        <v>4823</v>
      </c>
      <c r="J2665" s="223">
        <f>I2665/D2661</f>
        <v>13</v>
      </c>
      <c r="K2665" s="223">
        <v>13</v>
      </c>
    </row>
    <row r="2666" spans="1:11" x14ac:dyDescent="0.25">
      <c r="A2666" s="308"/>
      <c r="B2666" s="308"/>
      <c r="C2666" s="387"/>
      <c r="D2666" s="319"/>
      <c r="E2666" s="319"/>
      <c r="F2666" s="331"/>
      <c r="G2666" s="307" t="s">
        <v>72</v>
      </c>
      <c r="H2666" s="87" t="s">
        <v>67</v>
      </c>
      <c r="I2666" s="223">
        <f>D2661*K2666</f>
        <v>222971</v>
      </c>
      <c r="J2666" s="223">
        <f>I2666/D2661</f>
        <v>601</v>
      </c>
      <c r="K2666" s="223">
        <v>601</v>
      </c>
    </row>
    <row r="2667" spans="1:11" x14ac:dyDescent="0.25">
      <c r="A2667" s="308"/>
      <c r="B2667" s="308"/>
      <c r="C2667" s="387"/>
      <c r="D2667" s="319"/>
      <c r="E2667" s="319"/>
      <c r="F2667" s="331"/>
      <c r="G2667" s="309"/>
      <c r="H2667" s="87" t="s">
        <v>69</v>
      </c>
      <c r="I2667" s="223">
        <f>D2661*K2667</f>
        <v>4823</v>
      </c>
      <c r="J2667" s="223">
        <f>I2667/D2661</f>
        <v>13</v>
      </c>
      <c r="K2667" s="223">
        <v>13</v>
      </c>
    </row>
    <row r="2668" spans="1:11" ht="15.75" customHeight="1" x14ac:dyDescent="0.25">
      <c r="A2668" s="307">
        <f>A2661+1</f>
        <v>5</v>
      </c>
      <c r="B2668" s="307">
        <v>5100</v>
      </c>
      <c r="C2668" s="380" t="s">
        <v>683</v>
      </c>
      <c r="D2668" s="318">
        <v>2705.3</v>
      </c>
      <c r="E2668" s="318" t="s">
        <v>64</v>
      </c>
      <c r="F2668" s="330">
        <v>5</v>
      </c>
      <c r="G2668" s="161"/>
      <c r="H2668" s="87" t="s">
        <v>66</v>
      </c>
      <c r="I2668" s="223">
        <f>SUM(I2669:I2676)</f>
        <v>13020608.9</v>
      </c>
      <c r="J2668" s="223">
        <f>SUM(J2669:J2676)</f>
        <v>4813</v>
      </c>
      <c r="K2668" s="223">
        <f>SUM(K2669:K2676)</f>
        <v>4813</v>
      </c>
    </row>
    <row r="2669" spans="1:11" x14ac:dyDescent="0.25">
      <c r="A2669" s="308"/>
      <c r="B2669" s="308"/>
      <c r="C2669" s="381"/>
      <c r="D2669" s="319"/>
      <c r="E2669" s="319"/>
      <c r="F2669" s="331"/>
      <c r="G2669" s="310" t="s">
        <v>70</v>
      </c>
      <c r="H2669" s="153" t="s">
        <v>67</v>
      </c>
      <c r="I2669" s="223">
        <f>D2668*K2669</f>
        <v>8026625.0999999996</v>
      </c>
      <c r="J2669" s="223">
        <f>I2669/D2668</f>
        <v>2967</v>
      </c>
      <c r="K2669" s="223">
        <v>2967</v>
      </c>
    </row>
    <row r="2670" spans="1:11" x14ac:dyDescent="0.25">
      <c r="A2670" s="308"/>
      <c r="B2670" s="308"/>
      <c r="C2670" s="381"/>
      <c r="D2670" s="319"/>
      <c r="E2670" s="319"/>
      <c r="F2670" s="331"/>
      <c r="G2670" s="310"/>
      <c r="H2670" s="153" t="s">
        <v>69</v>
      </c>
      <c r="I2670" s="223">
        <f>D2668*K2670</f>
        <v>170433.9</v>
      </c>
      <c r="J2670" s="223">
        <f>I2670/D2668</f>
        <v>63</v>
      </c>
      <c r="K2670" s="223">
        <v>63</v>
      </c>
    </row>
    <row r="2671" spans="1:11" x14ac:dyDescent="0.25">
      <c r="A2671" s="308"/>
      <c r="B2671" s="308"/>
      <c r="C2671" s="381"/>
      <c r="D2671" s="319"/>
      <c r="E2671" s="319"/>
      <c r="F2671" s="331"/>
      <c r="G2671" s="308" t="s">
        <v>71</v>
      </c>
      <c r="H2671" s="87" t="s">
        <v>67</v>
      </c>
      <c r="I2671" s="223">
        <f>D2668*K2671</f>
        <v>1671875.4</v>
      </c>
      <c r="J2671" s="223">
        <f>I2671/D2668</f>
        <v>618</v>
      </c>
      <c r="K2671" s="223">
        <v>618</v>
      </c>
    </row>
    <row r="2672" spans="1:11" x14ac:dyDescent="0.25">
      <c r="A2672" s="308"/>
      <c r="B2672" s="308"/>
      <c r="C2672" s="381"/>
      <c r="D2672" s="319"/>
      <c r="E2672" s="319"/>
      <c r="F2672" s="331"/>
      <c r="G2672" s="309"/>
      <c r="H2672" s="87" t="s">
        <v>69</v>
      </c>
      <c r="I2672" s="223">
        <f>D2668*K2672</f>
        <v>35168.9</v>
      </c>
      <c r="J2672" s="223">
        <f>I2672/D2668</f>
        <v>13</v>
      </c>
      <c r="K2672" s="223">
        <v>13</v>
      </c>
    </row>
    <row r="2673" spans="1:11" x14ac:dyDescent="0.25">
      <c r="A2673" s="308"/>
      <c r="B2673" s="308"/>
      <c r="C2673" s="381"/>
      <c r="D2673" s="319"/>
      <c r="E2673" s="319"/>
      <c r="F2673" s="331"/>
      <c r="G2673" s="308" t="s">
        <v>72</v>
      </c>
      <c r="H2673" s="87" t="s">
        <v>67</v>
      </c>
      <c r="I2673" s="223">
        <f>D2668*K2673</f>
        <v>1625885.3</v>
      </c>
      <c r="J2673" s="223">
        <f>I2673/D2668</f>
        <v>601</v>
      </c>
      <c r="K2673" s="223">
        <v>601</v>
      </c>
    </row>
    <row r="2674" spans="1:11" x14ac:dyDescent="0.25">
      <c r="A2674" s="308"/>
      <c r="B2674" s="308"/>
      <c r="C2674" s="381"/>
      <c r="D2674" s="319"/>
      <c r="E2674" s="319"/>
      <c r="F2674" s="331"/>
      <c r="G2674" s="309"/>
      <c r="H2674" s="87" t="s">
        <v>69</v>
      </c>
      <c r="I2674" s="223">
        <f>D2668*K2674</f>
        <v>35168.9</v>
      </c>
      <c r="J2674" s="223">
        <f>I2674/D2668</f>
        <v>13</v>
      </c>
      <c r="K2674" s="223">
        <v>13</v>
      </c>
    </row>
    <row r="2675" spans="1:11" x14ac:dyDescent="0.25">
      <c r="A2675" s="308"/>
      <c r="B2675" s="308"/>
      <c r="C2675" s="381"/>
      <c r="D2675" s="319"/>
      <c r="E2675" s="319"/>
      <c r="F2675" s="331"/>
      <c r="G2675" s="308" t="s">
        <v>78</v>
      </c>
      <c r="H2675" s="87" t="s">
        <v>67</v>
      </c>
      <c r="I2675" s="223">
        <f>D2668*K2675</f>
        <v>1425693.1</v>
      </c>
      <c r="J2675" s="223">
        <f>I2675/D2668</f>
        <v>527</v>
      </c>
      <c r="K2675" s="223">
        <v>527</v>
      </c>
    </row>
    <row r="2676" spans="1:11" x14ac:dyDescent="0.25">
      <c r="A2676" s="309"/>
      <c r="B2676" s="309"/>
      <c r="C2676" s="382"/>
      <c r="D2676" s="329"/>
      <c r="E2676" s="329"/>
      <c r="F2676" s="332"/>
      <c r="G2676" s="309"/>
      <c r="H2676" s="87" t="s">
        <v>69</v>
      </c>
      <c r="I2676" s="223">
        <f>D2668*K2676</f>
        <v>29758.3</v>
      </c>
      <c r="J2676" s="223">
        <f>I2676/D2668</f>
        <v>11</v>
      </c>
      <c r="K2676" s="223">
        <v>11</v>
      </c>
    </row>
    <row r="2677" spans="1:11" x14ac:dyDescent="0.25">
      <c r="A2677" s="307">
        <f>A2668+1</f>
        <v>6</v>
      </c>
      <c r="B2677" s="307">
        <v>5107</v>
      </c>
      <c r="C2677" s="386" t="s">
        <v>234</v>
      </c>
      <c r="D2677" s="318">
        <v>743</v>
      </c>
      <c r="E2677" s="318" t="s">
        <v>68</v>
      </c>
      <c r="F2677" s="330">
        <v>2</v>
      </c>
      <c r="G2677" s="161"/>
      <c r="H2677" s="87" t="s">
        <v>66</v>
      </c>
      <c r="I2677" s="223">
        <f>I2678+I2679+I2680+I2681+I2682+I2683</f>
        <v>3176325</v>
      </c>
      <c r="J2677" s="223">
        <f>J2678+J2679+J2680+J2681+J2682+J2683</f>
        <v>4275</v>
      </c>
      <c r="K2677" s="223">
        <f>K2678+K2679+K2680+K2681+K2682+K2683</f>
        <v>4275</v>
      </c>
    </row>
    <row r="2678" spans="1:11" x14ac:dyDescent="0.25">
      <c r="A2678" s="308"/>
      <c r="B2678" s="308"/>
      <c r="C2678" s="387"/>
      <c r="D2678" s="319"/>
      <c r="E2678" s="319"/>
      <c r="F2678" s="331"/>
      <c r="G2678" s="307" t="s">
        <v>70</v>
      </c>
      <c r="H2678" s="153" t="s">
        <v>67</v>
      </c>
      <c r="I2678" s="223">
        <f>D2677*K2678</f>
        <v>2204481</v>
      </c>
      <c r="J2678" s="223">
        <f>I2678/D2677</f>
        <v>2967</v>
      </c>
      <c r="K2678" s="223">
        <v>2967</v>
      </c>
    </row>
    <row r="2679" spans="1:11" x14ac:dyDescent="0.25">
      <c r="A2679" s="308"/>
      <c r="B2679" s="308"/>
      <c r="C2679" s="387"/>
      <c r="D2679" s="319"/>
      <c r="E2679" s="319"/>
      <c r="F2679" s="331"/>
      <c r="G2679" s="309"/>
      <c r="H2679" s="153" t="s">
        <v>69</v>
      </c>
      <c r="I2679" s="223">
        <f>D2677*K2679</f>
        <v>46809</v>
      </c>
      <c r="J2679" s="223">
        <f>I2679/D2677</f>
        <v>63</v>
      </c>
      <c r="K2679" s="223">
        <v>63</v>
      </c>
    </row>
    <row r="2680" spans="1:11" x14ac:dyDescent="0.25">
      <c r="A2680" s="308"/>
      <c r="B2680" s="308"/>
      <c r="C2680" s="387"/>
      <c r="D2680" s="319"/>
      <c r="E2680" s="319"/>
      <c r="F2680" s="331"/>
      <c r="G2680" s="307" t="s">
        <v>71</v>
      </c>
      <c r="H2680" s="87" t="s">
        <v>67</v>
      </c>
      <c r="I2680" s="223">
        <f>D2677*K2680</f>
        <v>459174</v>
      </c>
      <c r="J2680" s="223">
        <f>I2680/D2677</f>
        <v>618</v>
      </c>
      <c r="K2680" s="223">
        <v>618</v>
      </c>
    </row>
    <row r="2681" spans="1:11" x14ac:dyDescent="0.25">
      <c r="A2681" s="308"/>
      <c r="B2681" s="308"/>
      <c r="C2681" s="387"/>
      <c r="D2681" s="319"/>
      <c r="E2681" s="319"/>
      <c r="F2681" s="331"/>
      <c r="G2681" s="309"/>
      <c r="H2681" s="87" t="s">
        <v>69</v>
      </c>
      <c r="I2681" s="223">
        <f>D2677*K2681</f>
        <v>9659</v>
      </c>
      <c r="J2681" s="223">
        <f>I2681/D2677</f>
        <v>13</v>
      </c>
      <c r="K2681" s="223">
        <v>13</v>
      </c>
    </row>
    <row r="2682" spans="1:11" x14ac:dyDescent="0.25">
      <c r="A2682" s="308"/>
      <c r="B2682" s="308"/>
      <c r="C2682" s="387"/>
      <c r="D2682" s="319"/>
      <c r="E2682" s="319"/>
      <c r="F2682" s="331"/>
      <c r="G2682" s="307" t="s">
        <v>72</v>
      </c>
      <c r="H2682" s="87" t="s">
        <v>67</v>
      </c>
      <c r="I2682" s="223">
        <f>D2677*K2682</f>
        <v>446543</v>
      </c>
      <c r="J2682" s="223">
        <f>I2682/D2677</f>
        <v>601</v>
      </c>
      <c r="K2682" s="223">
        <v>601</v>
      </c>
    </row>
    <row r="2683" spans="1:11" x14ac:dyDescent="0.25">
      <c r="A2683" s="308"/>
      <c r="B2683" s="308"/>
      <c r="C2683" s="387"/>
      <c r="D2683" s="319"/>
      <c r="E2683" s="319"/>
      <c r="F2683" s="331"/>
      <c r="G2683" s="309"/>
      <c r="H2683" s="87" t="s">
        <v>69</v>
      </c>
      <c r="I2683" s="223">
        <f>D2677*K2683</f>
        <v>9659</v>
      </c>
      <c r="J2683" s="223">
        <f>I2683/D2677</f>
        <v>13</v>
      </c>
      <c r="K2683" s="223">
        <v>13</v>
      </c>
    </row>
    <row r="2684" spans="1:11" x14ac:dyDescent="0.25">
      <c r="A2684" s="307">
        <f>A2677+1</f>
        <v>7</v>
      </c>
      <c r="B2684" s="307">
        <v>5112</v>
      </c>
      <c r="C2684" s="386" t="s">
        <v>338</v>
      </c>
      <c r="D2684" s="318">
        <v>745.9</v>
      </c>
      <c r="E2684" s="318" t="s">
        <v>64</v>
      </c>
      <c r="F2684" s="330">
        <v>2</v>
      </c>
      <c r="G2684" s="161"/>
      <c r="H2684" s="87" t="s">
        <v>66</v>
      </c>
      <c r="I2684" s="223">
        <f>I2685+I2686+I2687+I2688+I2689+I2690</f>
        <v>3188722.5</v>
      </c>
      <c r="J2684" s="223">
        <f>J2685+J2686+J2687+J2688+J2689+J2690</f>
        <v>4275</v>
      </c>
      <c r="K2684" s="223">
        <f>K2685+K2686+K2687+K2688+K2689+K2690</f>
        <v>4275</v>
      </c>
    </row>
    <row r="2685" spans="1:11" x14ac:dyDescent="0.25">
      <c r="A2685" s="308"/>
      <c r="B2685" s="308"/>
      <c r="C2685" s="387"/>
      <c r="D2685" s="319"/>
      <c r="E2685" s="319"/>
      <c r="F2685" s="331"/>
      <c r="G2685" s="307" t="s">
        <v>70</v>
      </c>
      <c r="H2685" s="153" t="s">
        <v>67</v>
      </c>
      <c r="I2685" s="223">
        <f>D2684*K2685</f>
        <v>2213085.2999999998</v>
      </c>
      <c r="J2685" s="223">
        <f>I2685/D2684</f>
        <v>2967</v>
      </c>
      <c r="K2685" s="223">
        <v>2967</v>
      </c>
    </row>
    <row r="2686" spans="1:11" x14ac:dyDescent="0.25">
      <c r="A2686" s="308"/>
      <c r="B2686" s="308"/>
      <c r="C2686" s="387"/>
      <c r="D2686" s="319"/>
      <c r="E2686" s="319"/>
      <c r="F2686" s="331"/>
      <c r="G2686" s="309"/>
      <c r="H2686" s="153" t="s">
        <v>69</v>
      </c>
      <c r="I2686" s="223">
        <f>D2684*K2686</f>
        <v>46991.7</v>
      </c>
      <c r="J2686" s="223">
        <f>I2686/D2684</f>
        <v>63</v>
      </c>
      <c r="K2686" s="223">
        <v>63</v>
      </c>
    </row>
    <row r="2687" spans="1:11" x14ac:dyDescent="0.25">
      <c r="A2687" s="308"/>
      <c r="B2687" s="308"/>
      <c r="C2687" s="387"/>
      <c r="D2687" s="319"/>
      <c r="E2687" s="319"/>
      <c r="F2687" s="331"/>
      <c r="G2687" s="307" t="s">
        <v>71</v>
      </c>
      <c r="H2687" s="87" t="s">
        <v>67</v>
      </c>
      <c r="I2687" s="223">
        <f>D2684*K2687</f>
        <v>460966.2</v>
      </c>
      <c r="J2687" s="223">
        <f>I2687/D2684</f>
        <v>618</v>
      </c>
      <c r="K2687" s="223">
        <v>618</v>
      </c>
    </row>
    <row r="2688" spans="1:11" x14ac:dyDescent="0.25">
      <c r="A2688" s="308"/>
      <c r="B2688" s="308"/>
      <c r="C2688" s="387"/>
      <c r="D2688" s="319"/>
      <c r="E2688" s="319"/>
      <c r="F2688" s="331"/>
      <c r="G2688" s="309"/>
      <c r="H2688" s="87" t="s">
        <v>69</v>
      </c>
      <c r="I2688" s="223">
        <f>D2684*K2688</f>
        <v>9696.7000000000007</v>
      </c>
      <c r="J2688" s="223">
        <f>I2688/D2684</f>
        <v>13</v>
      </c>
      <c r="K2688" s="223">
        <v>13</v>
      </c>
    </row>
    <row r="2689" spans="1:11" x14ac:dyDescent="0.25">
      <c r="A2689" s="308"/>
      <c r="B2689" s="308"/>
      <c r="C2689" s="387"/>
      <c r="D2689" s="319"/>
      <c r="E2689" s="319"/>
      <c r="F2689" s="331"/>
      <c r="G2689" s="307" t="s">
        <v>72</v>
      </c>
      <c r="H2689" s="87" t="s">
        <v>67</v>
      </c>
      <c r="I2689" s="223">
        <f>D2684*K2689</f>
        <v>448285.9</v>
      </c>
      <c r="J2689" s="223">
        <f>I2689/D2684</f>
        <v>601</v>
      </c>
      <c r="K2689" s="223">
        <v>601</v>
      </c>
    </row>
    <row r="2690" spans="1:11" x14ac:dyDescent="0.25">
      <c r="A2690" s="308"/>
      <c r="B2690" s="308"/>
      <c r="C2690" s="387"/>
      <c r="D2690" s="319"/>
      <c r="E2690" s="319"/>
      <c r="F2690" s="331"/>
      <c r="G2690" s="309"/>
      <c r="H2690" s="87" t="s">
        <v>69</v>
      </c>
      <c r="I2690" s="223">
        <f>D2684*K2690</f>
        <v>9696.7000000000007</v>
      </c>
      <c r="J2690" s="223">
        <f>I2690/D2684</f>
        <v>13</v>
      </c>
      <c r="K2690" s="223">
        <v>13</v>
      </c>
    </row>
    <row r="2691" spans="1:11" x14ac:dyDescent="0.25">
      <c r="A2691" s="307">
        <f>A2684+1</f>
        <v>8</v>
      </c>
      <c r="B2691" s="307">
        <v>5115</v>
      </c>
      <c r="C2691" s="386" t="s">
        <v>339</v>
      </c>
      <c r="D2691" s="318">
        <v>860.4</v>
      </c>
      <c r="E2691" s="318" t="s">
        <v>68</v>
      </c>
      <c r="F2691" s="330">
        <v>2</v>
      </c>
      <c r="G2691" s="161"/>
      <c r="H2691" s="87" t="s">
        <v>66</v>
      </c>
      <c r="I2691" s="223">
        <f>I2692+I2693+I2694+I2695+I2696+I2697</f>
        <v>3678210</v>
      </c>
      <c r="J2691" s="223">
        <f>J2692+J2693+J2694+J2695+J2696+J2697</f>
        <v>4275</v>
      </c>
      <c r="K2691" s="223">
        <f>K2692+K2693+K2694+K2695+K2696+K2697</f>
        <v>4275</v>
      </c>
    </row>
    <row r="2692" spans="1:11" x14ac:dyDescent="0.25">
      <c r="A2692" s="308"/>
      <c r="B2692" s="308"/>
      <c r="C2692" s="387"/>
      <c r="D2692" s="319"/>
      <c r="E2692" s="319"/>
      <c r="F2692" s="331"/>
      <c r="G2692" s="307" t="s">
        <v>70</v>
      </c>
      <c r="H2692" s="153" t="s">
        <v>67</v>
      </c>
      <c r="I2692" s="223">
        <f>D2691*K2692</f>
        <v>2552806.7999999998</v>
      </c>
      <c r="J2692" s="223">
        <f>I2692/D2691</f>
        <v>2967</v>
      </c>
      <c r="K2692" s="223">
        <v>2967</v>
      </c>
    </row>
    <row r="2693" spans="1:11" x14ac:dyDescent="0.25">
      <c r="A2693" s="308"/>
      <c r="B2693" s="308"/>
      <c r="C2693" s="387"/>
      <c r="D2693" s="319"/>
      <c r="E2693" s="319"/>
      <c r="F2693" s="331"/>
      <c r="G2693" s="309"/>
      <c r="H2693" s="153" t="s">
        <v>69</v>
      </c>
      <c r="I2693" s="223">
        <f>D2691*K2693</f>
        <v>54205.2</v>
      </c>
      <c r="J2693" s="223">
        <f>I2693/D2691</f>
        <v>63</v>
      </c>
      <c r="K2693" s="223">
        <v>63</v>
      </c>
    </row>
    <row r="2694" spans="1:11" x14ac:dyDescent="0.25">
      <c r="A2694" s="308"/>
      <c r="B2694" s="308"/>
      <c r="C2694" s="387"/>
      <c r="D2694" s="319"/>
      <c r="E2694" s="319"/>
      <c r="F2694" s="331"/>
      <c r="G2694" s="307" t="s">
        <v>71</v>
      </c>
      <c r="H2694" s="87" t="s">
        <v>67</v>
      </c>
      <c r="I2694" s="223">
        <f>D2691*K2694</f>
        <v>531727.19999999995</v>
      </c>
      <c r="J2694" s="223">
        <f>I2694/D2691</f>
        <v>618</v>
      </c>
      <c r="K2694" s="223">
        <v>618</v>
      </c>
    </row>
    <row r="2695" spans="1:11" x14ac:dyDescent="0.25">
      <c r="A2695" s="308"/>
      <c r="B2695" s="308"/>
      <c r="C2695" s="387"/>
      <c r="D2695" s="319"/>
      <c r="E2695" s="319"/>
      <c r="F2695" s="331"/>
      <c r="G2695" s="309"/>
      <c r="H2695" s="87" t="s">
        <v>69</v>
      </c>
      <c r="I2695" s="223">
        <f>D2691*K2695</f>
        <v>11185.2</v>
      </c>
      <c r="J2695" s="223">
        <f>I2695/D2691</f>
        <v>13</v>
      </c>
      <c r="K2695" s="223">
        <v>13</v>
      </c>
    </row>
    <row r="2696" spans="1:11" x14ac:dyDescent="0.25">
      <c r="A2696" s="308"/>
      <c r="B2696" s="308"/>
      <c r="C2696" s="387"/>
      <c r="D2696" s="319"/>
      <c r="E2696" s="319"/>
      <c r="F2696" s="331"/>
      <c r="G2696" s="307" t="s">
        <v>72</v>
      </c>
      <c r="H2696" s="87" t="s">
        <v>67</v>
      </c>
      <c r="I2696" s="223">
        <f>D2691*K2696</f>
        <v>517100.4</v>
      </c>
      <c r="J2696" s="223">
        <f>I2696/D2691</f>
        <v>601</v>
      </c>
      <c r="K2696" s="223">
        <v>601</v>
      </c>
    </row>
    <row r="2697" spans="1:11" x14ac:dyDescent="0.25">
      <c r="A2697" s="308"/>
      <c r="B2697" s="308"/>
      <c r="C2697" s="387"/>
      <c r="D2697" s="319"/>
      <c r="E2697" s="319"/>
      <c r="F2697" s="331"/>
      <c r="G2697" s="309"/>
      <c r="H2697" s="87" t="s">
        <v>69</v>
      </c>
      <c r="I2697" s="223">
        <f>D2691*K2697</f>
        <v>11185.2</v>
      </c>
      <c r="J2697" s="223">
        <f>I2697/D2691</f>
        <v>13</v>
      </c>
      <c r="K2697" s="223">
        <v>13</v>
      </c>
    </row>
    <row r="2698" spans="1:11" s="136" customFormat="1" ht="15.75" customHeight="1" x14ac:dyDescent="0.25">
      <c r="A2698" s="359">
        <f>A2691+1</f>
        <v>9</v>
      </c>
      <c r="B2698" s="359">
        <v>5146</v>
      </c>
      <c r="C2698" s="371" t="s">
        <v>686</v>
      </c>
      <c r="D2698" s="291">
        <v>3974</v>
      </c>
      <c r="E2698" s="291" t="s">
        <v>64</v>
      </c>
      <c r="F2698" s="366">
        <v>5</v>
      </c>
      <c r="G2698" s="146"/>
      <c r="H2698" s="91" t="s">
        <v>464</v>
      </c>
      <c r="I2698" s="229">
        <f>SUM(I2699:I2699)</f>
        <v>695450</v>
      </c>
      <c r="J2698" s="229">
        <f>SUM(J2699:J2699)</f>
        <v>175</v>
      </c>
      <c r="K2698" s="229">
        <f>SUM(K2699:K2699)</f>
        <v>175</v>
      </c>
    </row>
    <row r="2699" spans="1:11" s="136" customFormat="1" ht="94.5" x14ac:dyDescent="0.25">
      <c r="A2699" s="360"/>
      <c r="B2699" s="360"/>
      <c r="C2699" s="372"/>
      <c r="D2699" s="292"/>
      <c r="E2699" s="292"/>
      <c r="F2699" s="367"/>
      <c r="G2699" s="147" t="s">
        <v>65</v>
      </c>
      <c r="H2699" s="91" t="s">
        <v>685</v>
      </c>
      <c r="I2699" s="229">
        <f>D2698*K2699</f>
        <v>695450</v>
      </c>
      <c r="J2699" s="229">
        <f>I2699/D2698</f>
        <v>175</v>
      </c>
      <c r="K2699" s="229">
        <f>142+33</f>
        <v>175</v>
      </c>
    </row>
    <row r="2700" spans="1:11" s="136" customFormat="1" ht="15.75" customHeight="1" x14ac:dyDescent="0.25">
      <c r="A2700" s="359">
        <f>A2698+1</f>
        <v>10</v>
      </c>
      <c r="B2700" s="359">
        <v>5182</v>
      </c>
      <c r="C2700" s="371" t="s">
        <v>687</v>
      </c>
      <c r="D2700" s="291">
        <v>9311.9</v>
      </c>
      <c r="E2700" s="291" t="s">
        <v>64</v>
      </c>
      <c r="F2700" s="366">
        <v>10</v>
      </c>
      <c r="G2700" s="158"/>
      <c r="H2700" s="91" t="s">
        <v>66</v>
      </c>
      <c r="I2700" s="229">
        <f>SUM(I2701:I2702)</f>
        <v>64562</v>
      </c>
      <c r="J2700" s="229">
        <f>SUM(J2701:J2702)</f>
        <v>6.93</v>
      </c>
      <c r="K2700" s="229">
        <f>SUM(K2701:K2702)</f>
        <v>6.93</v>
      </c>
    </row>
    <row r="2701" spans="1:11" s="136" customFormat="1" ht="51" customHeight="1" x14ac:dyDescent="0.25">
      <c r="A2701" s="360"/>
      <c r="B2701" s="360"/>
      <c r="C2701" s="372"/>
      <c r="D2701" s="292"/>
      <c r="E2701" s="292"/>
      <c r="F2701" s="367"/>
      <c r="G2701" s="147" t="s">
        <v>174</v>
      </c>
      <c r="H2701" s="91" t="s">
        <v>231</v>
      </c>
      <c r="I2701" s="229">
        <f>22681+9600</f>
        <v>32281</v>
      </c>
      <c r="J2701" s="229">
        <f>I2701/D2700-0.01</f>
        <v>3.46</v>
      </c>
      <c r="K2701" s="229">
        <f>(22681+9600)/D2700-0.01</f>
        <v>3.46</v>
      </c>
    </row>
    <row r="2702" spans="1:11" s="136" customFormat="1" ht="51" customHeight="1" x14ac:dyDescent="0.25">
      <c r="A2702" s="360"/>
      <c r="B2702" s="360"/>
      <c r="C2702" s="372"/>
      <c r="D2702" s="292"/>
      <c r="E2702" s="292"/>
      <c r="F2702" s="367"/>
      <c r="G2702" s="147" t="s">
        <v>175</v>
      </c>
      <c r="H2702" s="91" t="s">
        <v>231</v>
      </c>
      <c r="I2702" s="229">
        <f>22681+9600</f>
        <v>32281</v>
      </c>
      <c r="J2702" s="229">
        <f>I2702/D2700</f>
        <v>3.47</v>
      </c>
      <c r="K2702" s="229">
        <f>(22681+9600)/D2700</f>
        <v>3.47</v>
      </c>
    </row>
    <row r="2703" spans="1:11" ht="15.75" customHeight="1" x14ac:dyDescent="0.25">
      <c r="A2703" s="307">
        <f>A2700+1</f>
        <v>11</v>
      </c>
      <c r="B2703" s="307">
        <v>5184</v>
      </c>
      <c r="C2703" s="315" t="s">
        <v>684</v>
      </c>
      <c r="D2703" s="318">
        <v>2757.5</v>
      </c>
      <c r="E2703" s="307" t="s">
        <v>68</v>
      </c>
      <c r="F2703" s="307">
        <v>5</v>
      </c>
      <c r="G2703" s="161"/>
      <c r="H2703" s="87" t="s">
        <v>66</v>
      </c>
      <c r="I2703" s="223">
        <f>SUM(I2704:I2705)</f>
        <v>10023512.5</v>
      </c>
      <c r="J2703" s="223">
        <f>SUM(J2704:J2705)</f>
        <v>3635</v>
      </c>
      <c r="K2703" s="223">
        <f>SUM(K2704:K2705)</f>
        <v>3635</v>
      </c>
    </row>
    <row r="2704" spans="1:11" ht="31.5" x14ac:dyDescent="0.25">
      <c r="A2704" s="308"/>
      <c r="B2704" s="308"/>
      <c r="C2704" s="317"/>
      <c r="D2704" s="319"/>
      <c r="E2704" s="308"/>
      <c r="F2704" s="308"/>
      <c r="G2704" s="307" t="s">
        <v>65</v>
      </c>
      <c r="H2704" s="87" t="s">
        <v>76</v>
      </c>
      <c r="I2704" s="223">
        <f>D2703*K2704</f>
        <v>9813942.5</v>
      </c>
      <c r="J2704" s="223">
        <f>I2704/D2703</f>
        <v>3559</v>
      </c>
      <c r="K2704" s="223">
        <v>3559</v>
      </c>
    </row>
    <row r="2705" spans="1:11" x14ac:dyDescent="0.25">
      <c r="A2705" s="309"/>
      <c r="B2705" s="309"/>
      <c r="C2705" s="316"/>
      <c r="D2705" s="329"/>
      <c r="E2705" s="309"/>
      <c r="F2705" s="309"/>
      <c r="G2705" s="309"/>
      <c r="H2705" s="87" t="s">
        <v>69</v>
      </c>
      <c r="I2705" s="223">
        <f>D2703*K2705</f>
        <v>209570</v>
      </c>
      <c r="J2705" s="223">
        <f>I2705/D2703</f>
        <v>76</v>
      </c>
      <c r="K2705" s="223">
        <v>76</v>
      </c>
    </row>
    <row r="2706" spans="1:11" x14ac:dyDescent="0.25">
      <c r="A2706" s="307">
        <f>A2703+1</f>
        <v>12</v>
      </c>
      <c r="B2706" s="307">
        <v>5187</v>
      </c>
      <c r="C2706" s="315" t="s">
        <v>566</v>
      </c>
      <c r="D2706" s="318">
        <v>13834.8</v>
      </c>
      <c r="E2706" s="307" t="s">
        <v>64</v>
      </c>
      <c r="F2706" s="307">
        <v>10</v>
      </c>
      <c r="G2706" s="161"/>
      <c r="H2706" s="87" t="s">
        <v>66</v>
      </c>
      <c r="I2706" s="223">
        <f>SUM(I2707:I2714)</f>
        <v>4708360</v>
      </c>
      <c r="J2706" s="223">
        <f t="shared" ref="J2706:K2706" si="95">SUM(J2707:J2714)</f>
        <v>340.33</v>
      </c>
      <c r="K2706" s="223">
        <f t="shared" si="95"/>
        <v>340.33</v>
      </c>
    </row>
    <row r="2707" spans="1:11" s="136" customFormat="1" ht="50.25" customHeight="1" x14ac:dyDescent="0.25">
      <c r="A2707" s="308"/>
      <c r="B2707" s="308"/>
      <c r="C2707" s="317"/>
      <c r="D2707" s="319"/>
      <c r="E2707" s="308"/>
      <c r="F2707" s="308"/>
      <c r="G2707" s="147" t="s">
        <v>170</v>
      </c>
      <c r="H2707" s="91" t="s">
        <v>231</v>
      </c>
      <c r="I2707" s="229">
        <f>22681+9600</f>
        <v>32281</v>
      </c>
      <c r="J2707" s="229">
        <f>I2707/D2706</f>
        <v>2.33</v>
      </c>
      <c r="K2707" s="229">
        <f>(22681+9600)/D2706</f>
        <v>2.33</v>
      </c>
    </row>
    <row r="2708" spans="1:11" s="136" customFormat="1" ht="50.25" customHeight="1" x14ac:dyDescent="0.25">
      <c r="A2708" s="308"/>
      <c r="B2708" s="308"/>
      <c r="C2708" s="317"/>
      <c r="D2708" s="319"/>
      <c r="E2708" s="308"/>
      <c r="F2708" s="308"/>
      <c r="G2708" s="147" t="s">
        <v>173</v>
      </c>
      <c r="H2708" s="91" t="s">
        <v>231</v>
      </c>
      <c r="I2708" s="229">
        <f>22681+9600</f>
        <v>32281</v>
      </c>
      <c r="J2708" s="229">
        <f>I2708/D2706</f>
        <v>2.33</v>
      </c>
      <c r="K2708" s="229">
        <f>(22681+9600)/D2706</f>
        <v>2.33</v>
      </c>
    </row>
    <row r="2709" spans="1:11" s="136" customFormat="1" ht="50.25" customHeight="1" x14ac:dyDescent="0.25">
      <c r="A2709" s="308"/>
      <c r="B2709" s="308"/>
      <c r="C2709" s="317"/>
      <c r="D2709" s="319"/>
      <c r="E2709" s="308"/>
      <c r="F2709" s="308"/>
      <c r="G2709" s="147" t="s">
        <v>174</v>
      </c>
      <c r="H2709" s="91" t="s">
        <v>231</v>
      </c>
      <c r="I2709" s="229">
        <f>22681+9600</f>
        <v>32281</v>
      </c>
      <c r="J2709" s="229">
        <f>I2709/D2706</f>
        <v>2.33</v>
      </c>
      <c r="K2709" s="229">
        <f>(22681+9600)/D2706</f>
        <v>2.33</v>
      </c>
    </row>
    <row r="2710" spans="1:11" s="136" customFormat="1" ht="50.25" customHeight="1" x14ac:dyDescent="0.25">
      <c r="A2710" s="308"/>
      <c r="B2710" s="308"/>
      <c r="C2710" s="317"/>
      <c r="D2710" s="319"/>
      <c r="E2710" s="308"/>
      <c r="F2710" s="308"/>
      <c r="G2710" s="147" t="s">
        <v>175</v>
      </c>
      <c r="H2710" s="91" t="s">
        <v>231</v>
      </c>
      <c r="I2710" s="229">
        <f>22681+9600</f>
        <v>32281</v>
      </c>
      <c r="J2710" s="229">
        <f>I2710/D2706</f>
        <v>2.33</v>
      </c>
      <c r="K2710" s="229">
        <f>(22681+9600)/D2706</f>
        <v>2.33</v>
      </c>
    </row>
    <row r="2711" spans="1:11" x14ac:dyDescent="0.25">
      <c r="A2711" s="308"/>
      <c r="B2711" s="308"/>
      <c r="C2711" s="317"/>
      <c r="D2711" s="319"/>
      <c r="E2711" s="308"/>
      <c r="F2711" s="308"/>
      <c r="G2711" s="307" t="s">
        <v>172</v>
      </c>
      <c r="H2711" s="87" t="s">
        <v>171</v>
      </c>
      <c r="I2711" s="223">
        <v>2241647</v>
      </c>
      <c r="J2711" s="223">
        <f>I2711/D2706+0.01</f>
        <v>162.04</v>
      </c>
      <c r="K2711" s="223">
        <f>2241647/D2706+0.01</f>
        <v>162.04</v>
      </c>
    </row>
    <row r="2712" spans="1:11" x14ac:dyDescent="0.25">
      <c r="A2712" s="308"/>
      <c r="B2712" s="308"/>
      <c r="C2712" s="317"/>
      <c r="D2712" s="319"/>
      <c r="E2712" s="308"/>
      <c r="F2712" s="308"/>
      <c r="G2712" s="309"/>
      <c r="H2712" s="87" t="s">
        <v>69</v>
      </c>
      <c r="I2712" s="223">
        <v>47971</v>
      </c>
      <c r="J2712" s="223">
        <f>I2712/D2706</f>
        <v>3.47</v>
      </c>
      <c r="K2712" s="223">
        <f>47971/D2706</f>
        <v>3.47</v>
      </c>
    </row>
    <row r="2713" spans="1:11" ht="15.75" customHeight="1" x14ac:dyDescent="0.25">
      <c r="A2713" s="308"/>
      <c r="B2713" s="308"/>
      <c r="C2713" s="317"/>
      <c r="D2713" s="319"/>
      <c r="E2713" s="308"/>
      <c r="F2713" s="308"/>
      <c r="G2713" s="307" t="s">
        <v>440</v>
      </c>
      <c r="H2713" s="87" t="s">
        <v>171</v>
      </c>
      <c r="I2713" s="223">
        <v>2241647</v>
      </c>
      <c r="J2713" s="223">
        <f>I2713/D2706</f>
        <v>162.03</v>
      </c>
      <c r="K2713" s="223">
        <f>2241647/D2706</f>
        <v>162.03</v>
      </c>
    </row>
    <row r="2714" spans="1:11" x14ac:dyDescent="0.25">
      <c r="A2714" s="308"/>
      <c r="B2714" s="308"/>
      <c r="C2714" s="317"/>
      <c r="D2714" s="319"/>
      <c r="E2714" s="308"/>
      <c r="F2714" s="308"/>
      <c r="G2714" s="309"/>
      <c r="H2714" s="87" t="s">
        <v>69</v>
      </c>
      <c r="I2714" s="223">
        <v>47971</v>
      </c>
      <c r="J2714" s="223">
        <f>I2714/D2706</f>
        <v>3.47</v>
      </c>
      <c r="K2714" s="223">
        <f>47971/D2706</f>
        <v>3.47</v>
      </c>
    </row>
    <row r="2715" spans="1:11" s="136" customFormat="1" ht="15.75" customHeight="1" x14ac:dyDescent="0.25">
      <c r="A2715" s="359">
        <f>A2706+1</f>
        <v>13</v>
      </c>
      <c r="B2715" s="359">
        <v>5216</v>
      </c>
      <c r="C2715" s="359" t="s">
        <v>688</v>
      </c>
      <c r="D2715" s="291">
        <v>14060.3</v>
      </c>
      <c r="E2715" s="291" t="s">
        <v>64</v>
      </c>
      <c r="F2715" s="366">
        <v>10</v>
      </c>
      <c r="G2715" s="158"/>
      <c r="H2715" s="91" t="s">
        <v>66</v>
      </c>
      <c r="I2715" s="229">
        <f>SUM(I2716:I2721)</f>
        <v>193686</v>
      </c>
      <c r="J2715" s="229">
        <f>SUM(J2716:J2721)</f>
        <v>13.78</v>
      </c>
      <c r="K2715" s="229">
        <f>SUM(K2716:K2721)</f>
        <v>13.78</v>
      </c>
    </row>
    <row r="2716" spans="1:11" s="136" customFormat="1" ht="50.25" customHeight="1" x14ac:dyDescent="0.25">
      <c r="A2716" s="360"/>
      <c r="B2716" s="360"/>
      <c r="C2716" s="360"/>
      <c r="D2716" s="292"/>
      <c r="E2716" s="292"/>
      <c r="F2716" s="367"/>
      <c r="G2716" s="147" t="s">
        <v>170</v>
      </c>
      <c r="H2716" s="91" t="s">
        <v>231</v>
      </c>
      <c r="I2716" s="229">
        <f t="shared" ref="I2716:I2721" si="96">22681+9600</f>
        <v>32281</v>
      </c>
      <c r="J2716" s="229">
        <f>I2716/D2715-0.01</f>
        <v>2.29</v>
      </c>
      <c r="K2716" s="229">
        <f>(22681+9600)/D2715-0.01</f>
        <v>2.29</v>
      </c>
    </row>
    <row r="2717" spans="1:11" s="136" customFormat="1" ht="50.25" customHeight="1" x14ac:dyDescent="0.25">
      <c r="A2717" s="360"/>
      <c r="B2717" s="360"/>
      <c r="C2717" s="360"/>
      <c r="D2717" s="292"/>
      <c r="E2717" s="292"/>
      <c r="F2717" s="367"/>
      <c r="G2717" s="147" t="s">
        <v>173</v>
      </c>
      <c r="H2717" s="91" t="s">
        <v>231</v>
      </c>
      <c r="I2717" s="229">
        <f t="shared" si="96"/>
        <v>32281</v>
      </c>
      <c r="J2717" s="229">
        <f>I2717/D2715-0.01</f>
        <v>2.29</v>
      </c>
      <c r="K2717" s="229">
        <f>(22681+9600)/D2715-0.01</f>
        <v>2.29</v>
      </c>
    </row>
    <row r="2718" spans="1:11" s="136" customFormat="1" ht="50.25" customHeight="1" x14ac:dyDescent="0.25">
      <c r="A2718" s="360"/>
      <c r="B2718" s="360"/>
      <c r="C2718" s="360"/>
      <c r="D2718" s="292"/>
      <c r="E2718" s="292"/>
      <c r="F2718" s="367"/>
      <c r="G2718" s="147" t="s">
        <v>174</v>
      </c>
      <c r="H2718" s="91" t="s">
        <v>231</v>
      </c>
      <c r="I2718" s="229">
        <f t="shared" si="96"/>
        <v>32281</v>
      </c>
      <c r="J2718" s="229">
        <f>I2718/D2715</f>
        <v>2.2999999999999998</v>
      </c>
      <c r="K2718" s="229">
        <f>(22681+9600)/D2715</f>
        <v>2.2999999999999998</v>
      </c>
    </row>
    <row r="2719" spans="1:11" s="136" customFormat="1" ht="50.25" customHeight="1" x14ac:dyDescent="0.25">
      <c r="A2719" s="360"/>
      <c r="B2719" s="360"/>
      <c r="C2719" s="360"/>
      <c r="D2719" s="292"/>
      <c r="E2719" s="292"/>
      <c r="F2719" s="367"/>
      <c r="G2719" s="147" t="s">
        <v>175</v>
      </c>
      <c r="H2719" s="91" t="s">
        <v>231</v>
      </c>
      <c r="I2719" s="229">
        <f t="shared" si="96"/>
        <v>32281</v>
      </c>
      <c r="J2719" s="229">
        <f>I2719/D2715</f>
        <v>2.2999999999999998</v>
      </c>
      <c r="K2719" s="229">
        <f>(22681+9600)/D2715</f>
        <v>2.2999999999999998</v>
      </c>
    </row>
    <row r="2720" spans="1:11" s="136" customFormat="1" ht="50.25" customHeight="1" x14ac:dyDescent="0.25">
      <c r="A2720" s="360"/>
      <c r="B2720" s="360"/>
      <c r="C2720" s="360"/>
      <c r="D2720" s="292"/>
      <c r="E2720" s="292"/>
      <c r="F2720" s="367"/>
      <c r="G2720" s="147" t="s">
        <v>172</v>
      </c>
      <c r="H2720" s="91" t="s">
        <v>231</v>
      </c>
      <c r="I2720" s="229">
        <f t="shared" si="96"/>
        <v>32281</v>
      </c>
      <c r="J2720" s="229">
        <f>I2720/D2715</f>
        <v>2.2999999999999998</v>
      </c>
      <c r="K2720" s="229">
        <f>(22681+9600)/D2715</f>
        <v>2.2999999999999998</v>
      </c>
    </row>
    <row r="2721" spans="1:11" s="136" customFormat="1" ht="50.25" customHeight="1" x14ac:dyDescent="0.25">
      <c r="A2721" s="360"/>
      <c r="B2721" s="360"/>
      <c r="C2721" s="360"/>
      <c r="D2721" s="292"/>
      <c r="E2721" s="292"/>
      <c r="F2721" s="367"/>
      <c r="G2721" s="147" t="s">
        <v>440</v>
      </c>
      <c r="H2721" s="91" t="s">
        <v>231</v>
      </c>
      <c r="I2721" s="229">
        <f t="shared" si="96"/>
        <v>32281</v>
      </c>
      <c r="J2721" s="229">
        <f>I2721/D2715</f>
        <v>2.2999999999999998</v>
      </c>
      <c r="K2721" s="229">
        <f>(22681+9600)/D2715</f>
        <v>2.2999999999999998</v>
      </c>
    </row>
    <row r="2722" spans="1:11" s="136" customFormat="1" ht="15.75" customHeight="1" x14ac:dyDescent="0.25">
      <c r="A2722" s="359">
        <f>A2715+1</f>
        <v>14</v>
      </c>
      <c r="B2722" s="359">
        <v>5230</v>
      </c>
      <c r="C2722" s="359" t="s">
        <v>689</v>
      </c>
      <c r="D2722" s="291">
        <v>11489.7</v>
      </c>
      <c r="E2722" s="291" t="s">
        <v>64</v>
      </c>
      <c r="F2722" s="366">
        <v>10</v>
      </c>
      <c r="G2722" s="158"/>
      <c r="H2722" s="91" t="s">
        <v>66</v>
      </c>
      <c r="I2722" s="229">
        <f>SUM(I2723:I2723)</f>
        <v>32281</v>
      </c>
      <c r="J2722" s="229">
        <f>SUM(J2723:J2723)</f>
        <v>2.81</v>
      </c>
      <c r="K2722" s="229">
        <f>SUM(K2723:K2723)</f>
        <v>2.81</v>
      </c>
    </row>
    <row r="2723" spans="1:11" s="136" customFormat="1" ht="50.25" customHeight="1" x14ac:dyDescent="0.25">
      <c r="A2723" s="360"/>
      <c r="B2723" s="360"/>
      <c r="C2723" s="360"/>
      <c r="D2723" s="292"/>
      <c r="E2723" s="292"/>
      <c r="F2723" s="367"/>
      <c r="G2723" s="147" t="s">
        <v>690</v>
      </c>
      <c r="H2723" s="91" t="s">
        <v>231</v>
      </c>
      <c r="I2723" s="229">
        <f>22681+9600</f>
        <v>32281</v>
      </c>
      <c r="J2723" s="229">
        <f>I2723/D2722</f>
        <v>2.81</v>
      </c>
      <c r="K2723" s="229">
        <f>(22681+9600)/D2722</f>
        <v>2.81</v>
      </c>
    </row>
    <row r="2724" spans="1:11" x14ac:dyDescent="0.25">
      <c r="A2724" s="310">
        <f>A2722+1</f>
        <v>15</v>
      </c>
      <c r="B2724" s="310">
        <v>5291</v>
      </c>
      <c r="C2724" s="333" t="s">
        <v>567</v>
      </c>
      <c r="D2724" s="312">
        <v>16305.1</v>
      </c>
      <c r="E2724" s="310" t="s">
        <v>64</v>
      </c>
      <c r="F2724" s="310">
        <v>10</v>
      </c>
      <c r="G2724" s="161"/>
      <c r="H2724" s="87" t="s">
        <v>66</v>
      </c>
      <c r="I2724" s="223">
        <f>SUM(I2725:I2738)</f>
        <v>16027326</v>
      </c>
      <c r="J2724" s="223">
        <f>SUM(J2725:J2738)</f>
        <v>982.96</v>
      </c>
      <c r="K2724" s="223">
        <f>SUM(K2725:K2738)</f>
        <v>982.96</v>
      </c>
    </row>
    <row r="2725" spans="1:11" x14ac:dyDescent="0.25">
      <c r="A2725" s="310"/>
      <c r="B2725" s="310"/>
      <c r="C2725" s="333"/>
      <c r="D2725" s="312"/>
      <c r="E2725" s="310"/>
      <c r="F2725" s="310"/>
      <c r="G2725" s="310" t="s">
        <v>170</v>
      </c>
      <c r="H2725" s="87" t="s">
        <v>171</v>
      </c>
      <c r="I2725" s="223">
        <v>2241647</v>
      </c>
      <c r="J2725" s="223">
        <f>I2725/D2724+0.01</f>
        <v>137.49</v>
      </c>
      <c r="K2725" s="223">
        <f>2241647/D2724+0.01</f>
        <v>137.49</v>
      </c>
    </row>
    <row r="2726" spans="1:11" x14ac:dyDescent="0.25">
      <c r="A2726" s="310"/>
      <c r="B2726" s="310"/>
      <c r="C2726" s="333"/>
      <c r="D2726" s="312"/>
      <c r="E2726" s="310"/>
      <c r="F2726" s="310"/>
      <c r="G2726" s="310"/>
      <c r="H2726" s="87" t="s">
        <v>69</v>
      </c>
      <c r="I2726" s="223">
        <v>47971</v>
      </c>
      <c r="J2726" s="223">
        <f>I2726/D2724</f>
        <v>2.94</v>
      </c>
      <c r="K2726" s="223">
        <f>47971/D2724</f>
        <v>2.94</v>
      </c>
    </row>
    <row r="2727" spans="1:11" ht="15.75" customHeight="1" x14ac:dyDescent="0.25">
      <c r="A2727" s="310"/>
      <c r="B2727" s="310"/>
      <c r="C2727" s="333"/>
      <c r="D2727" s="312"/>
      <c r="E2727" s="310"/>
      <c r="F2727" s="310"/>
      <c r="G2727" s="310" t="s">
        <v>173</v>
      </c>
      <c r="H2727" s="87" t="s">
        <v>171</v>
      </c>
      <c r="I2727" s="223">
        <v>2241647</v>
      </c>
      <c r="J2727" s="223">
        <f>I2727/D2724+0.01</f>
        <v>137.49</v>
      </c>
      <c r="K2727" s="223">
        <f>2241647/D2724+0.01</f>
        <v>137.49</v>
      </c>
    </row>
    <row r="2728" spans="1:11" x14ac:dyDescent="0.25">
      <c r="A2728" s="310"/>
      <c r="B2728" s="310"/>
      <c r="C2728" s="333"/>
      <c r="D2728" s="312"/>
      <c r="E2728" s="310"/>
      <c r="F2728" s="310"/>
      <c r="G2728" s="310"/>
      <c r="H2728" s="87" t="s">
        <v>69</v>
      </c>
      <c r="I2728" s="223">
        <v>47971</v>
      </c>
      <c r="J2728" s="223">
        <f>I2728/D2724</f>
        <v>2.94</v>
      </c>
      <c r="K2728" s="223">
        <f>47971/D2724</f>
        <v>2.94</v>
      </c>
    </row>
    <row r="2729" spans="1:11" ht="15.75" customHeight="1" x14ac:dyDescent="0.25">
      <c r="A2729" s="310"/>
      <c r="B2729" s="310"/>
      <c r="C2729" s="333"/>
      <c r="D2729" s="312"/>
      <c r="E2729" s="310"/>
      <c r="F2729" s="310"/>
      <c r="G2729" s="310" t="s">
        <v>174</v>
      </c>
      <c r="H2729" s="87" t="s">
        <v>171</v>
      </c>
      <c r="I2729" s="223">
        <v>2241647</v>
      </c>
      <c r="J2729" s="223">
        <f>I2729/D2724</f>
        <v>137.47999999999999</v>
      </c>
      <c r="K2729" s="223">
        <f>2241647/D2724</f>
        <v>137.47999999999999</v>
      </c>
    </row>
    <row r="2730" spans="1:11" x14ac:dyDescent="0.25">
      <c r="A2730" s="310"/>
      <c r="B2730" s="310"/>
      <c r="C2730" s="333"/>
      <c r="D2730" s="312"/>
      <c r="E2730" s="310"/>
      <c r="F2730" s="310"/>
      <c r="G2730" s="310"/>
      <c r="H2730" s="87" t="s">
        <v>69</v>
      </c>
      <c r="I2730" s="223">
        <v>47971</v>
      </c>
      <c r="J2730" s="223">
        <f>I2730/D2724</f>
        <v>2.94</v>
      </c>
      <c r="K2730" s="223">
        <f>47971/D2724</f>
        <v>2.94</v>
      </c>
    </row>
    <row r="2731" spans="1:11" ht="15.75" customHeight="1" x14ac:dyDescent="0.25">
      <c r="A2731" s="310"/>
      <c r="B2731" s="310"/>
      <c r="C2731" s="333"/>
      <c r="D2731" s="312"/>
      <c r="E2731" s="310"/>
      <c r="F2731" s="310"/>
      <c r="G2731" s="310" t="s">
        <v>175</v>
      </c>
      <c r="H2731" s="87" t="s">
        <v>171</v>
      </c>
      <c r="I2731" s="223">
        <v>2241647</v>
      </c>
      <c r="J2731" s="223">
        <f>I2731/D2724</f>
        <v>137.47999999999999</v>
      </c>
      <c r="K2731" s="223">
        <f>2241647/D2724</f>
        <v>137.47999999999999</v>
      </c>
    </row>
    <row r="2732" spans="1:11" x14ac:dyDescent="0.25">
      <c r="A2732" s="310"/>
      <c r="B2732" s="310"/>
      <c r="C2732" s="333"/>
      <c r="D2732" s="312"/>
      <c r="E2732" s="310"/>
      <c r="F2732" s="310"/>
      <c r="G2732" s="310"/>
      <c r="H2732" s="87" t="s">
        <v>69</v>
      </c>
      <c r="I2732" s="223">
        <v>47971</v>
      </c>
      <c r="J2732" s="223">
        <f>I2732/D2724</f>
        <v>2.94</v>
      </c>
      <c r="K2732" s="223">
        <f>47971/D2724</f>
        <v>2.94</v>
      </c>
    </row>
    <row r="2733" spans="1:11" ht="15.75" customHeight="1" x14ac:dyDescent="0.25">
      <c r="A2733" s="310"/>
      <c r="B2733" s="310"/>
      <c r="C2733" s="333"/>
      <c r="D2733" s="312"/>
      <c r="E2733" s="310"/>
      <c r="F2733" s="310"/>
      <c r="G2733" s="310" t="s">
        <v>172</v>
      </c>
      <c r="H2733" s="87" t="s">
        <v>171</v>
      </c>
      <c r="I2733" s="223">
        <v>2241647</v>
      </c>
      <c r="J2733" s="223">
        <f>I2733/D2724</f>
        <v>137.47999999999999</v>
      </c>
      <c r="K2733" s="223">
        <f>2241647/D2724</f>
        <v>137.47999999999999</v>
      </c>
    </row>
    <row r="2734" spans="1:11" x14ac:dyDescent="0.25">
      <c r="A2734" s="310"/>
      <c r="B2734" s="310"/>
      <c r="C2734" s="333"/>
      <c r="D2734" s="312"/>
      <c r="E2734" s="310"/>
      <c r="F2734" s="310"/>
      <c r="G2734" s="310"/>
      <c r="H2734" s="87" t="s">
        <v>69</v>
      </c>
      <c r="I2734" s="223">
        <v>47971</v>
      </c>
      <c r="J2734" s="223">
        <f>I2734/D2724</f>
        <v>2.94</v>
      </c>
      <c r="K2734" s="223">
        <f>47971/D2724</f>
        <v>2.94</v>
      </c>
    </row>
    <row r="2735" spans="1:11" ht="15.75" customHeight="1" x14ac:dyDescent="0.25">
      <c r="A2735" s="310"/>
      <c r="B2735" s="310"/>
      <c r="C2735" s="333"/>
      <c r="D2735" s="312"/>
      <c r="E2735" s="310"/>
      <c r="F2735" s="310"/>
      <c r="G2735" s="310" t="s">
        <v>440</v>
      </c>
      <c r="H2735" s="87" t="s">
        <v>171</v>
      </c>
      <c r="I2735" s="223">
        <v>2241647</v>
      </c>
      <c r="J2735" s="223">
        <f>I2735/D2724</f>
        <v>137.47999999999999</v>
      </c>
      <c r="K2735" s="223">
        <f>2241647/D2724</f>
        <v>137.47999999999999</v>
      </c>
    </row>
    <row r="2736" spans="1:11" x14ac:dyDescent="0.25">
      <c r="A2736" s="310"/>
      <c r="B2736" s="310"/>
      <c r="C2736" s="333"/>
      <c r="D2736" s="312"/>
      <c r="E2736" s="310"/>
      <c r="F2736" s="310"/>
      <c r="G2736" s="310"/>
      <c r="H2736" s="87" t="s">
        <v>69</v>
      </c>
      <c r="I2736" s="223">
        <v>47971</v>
      </c>
      <c r="J2736" s="223">
        <f>I2736/D2724</f>
        <v>2.94</v>
      </c>
      <c r="K2736" s="223">
        <f>47971/D2724</f>
        <v>2.94</v>
      </c>
    </row>
    <row r="2737" spans="1:11" ht="15.75" customHeight="1" x14ac:dyDescent="0.25">
      <c r="A2737" s="310"/>
      <c r="B2737" s="310"/>
      <c r="C2737" s="333"/>
      <c r="D2737" s="312"/>
      <c r="E2737" s="310"/>
      <c r="F2737" s="310"/>
      <c r="G2737" s="310" t="s">
        <v>449</v>
      </c>
      <c r="H2737" s="87" t="s">
        <v>171</v>
      </c>
      <c r="I2737" s="223">
        <v>2241647</v>
      </c>
      <c r="J2737" s="223">
        <f>I2737/D2724</f>
        <v>137.47999999999999</v>
      </c>
      <c r="K2737" s="223">
        <f>2241647/D2724</f>
        <v>137.47999999999999</v>
      </c>
    </row>
    <row r="2738" spans="1:11" x14ac:dyDescent="0.25">
      <c r="A2738" s="310"/>
      <c r="B2738" s="310"/>
      <c r="C2738" s="333"/>
      <c r="D2738" s="312"/>
      <c r="E2738" s="310"/>
      <c r="F2738" s="310"/>
      <c r="G2738" s="310"/>
      <c r="H2738" s="87" t="s">
        <v>69</v>
      </c>
      <c r="I2738" s="223">
        <v>47971</v>
      </c>
      <c r="J2738" s="223">
        <f>I2738/D2724</f>
        <v>2.94</v>
      </c>
      <c r="K2738" s="223">
        <f>47971/D2724</f>
        <v>2.94</v>
      </c>
    </row>
    <row r="2739" spans="1:11" x14ac:dyDescent="0.25">
      <c r="A2739" s="81" t="s">
        <v>42</v>
      </c>
      <c r="B2739" s="81"/>
      <c r="C2739" s="81"/>
      <c r="D2739" s="80">
        <f>D2740+D2745+D2750+D2753+D2756+D2759+D2762+D2765+D2768+D2771+D2774+D2777+D2780+D2783+D2786+D2789+D2792+D2795+D2798+D2801+D2804+D2807+D2810+D2813+D2816+D2819+D2822+D2829+D2836+D2845+D2848+D2851+D2854+D2857+D2860+D2863+D2866+D2869+D2872+D2875+D2882+D2885+D2892+D2895+D2899+D2902+D2905+D2916+D2919+D2922+D2925+D2932+D2937+D2940+D2947+D2950+D2953+D2956+D2959+D2962+D2965+D2968+D2971+D2974+D2977+D2980+D2983+D2986+D2989+D2996+D2999+D3012+D3015+D3018+D3021+D3024+D3027+D3032+D3039+D3042</f>
        <v>412733.17</v>
      </c>
      <c r="E2739" s="83"/>
      <c r="F2739" s="83"/>
      <c r="G2739" s="145"/>
      <c r="H2739" s="84"/>
      <c r="I2739" s="223">
        <f>I2740+I2745+I2750+I2753+I2756+I2759+I2762+I2765+I2768+I2771+I2774+I2777+I2780+I2783+I2786+I2789+I2792+I2795+I2798+I2801+I2804+I2807+I2810+I2813+I2816+I2819+I2822+I2829+I2836+I2845+I2848+I2851+I2854+I2857+I2860+I2863+I2866+I2869+I2872+I2875+I2882+I2885+I2892+I2895+I2899+I2902+I2905+I2916+I2919+I2922+I2925+I2932+I2937+I2940+I2947+I2950+I2953+I2956+I2959+I2962+I2965+I2968+I2971+I2974+I2977+I2980+I2983+I2986+I2989+I2996+I2999+I3012+I3015+I3018+I3021+I3024+I3027+I3032+I3039+I3042</f>
        <v>749392682.23000002</v>
      </c>
      <c r="J2739" s="223"/>
      <c r="K2739" s="223"/>
    </row>
    <row r="2740" spans="1:11" x14ac:dyDescent="0.25">
      <c r="A2740" s="307">
        <v>1</v>
      </c>
      <c r="B2740" s="307">
        <v>757</v>
      </c>
      <c r="C2740" s="315" t="s">
        <v>92</v>
      </c>
      <c r="D2740" s="318">
        <v>1020.67</v>
      </c>
      <c r="E2740" s="318" t="s">
        <v>68</v>
      </c>
      <c r="F2740" s="330">
        <v>5</v>
      </c>
      <c r="G2740" s="307" t="s">
        <v>75</v>
      </c>
      <c r="H2740" s="87" t="s">
        <v>66</v>
      </c>
      <c r="I2740" s="223">
        <f>I2741+I2742+I2743+I2744</f>
        <v>7788732.7699999996</v>
      </c>
      <c r="J2740" s="223">
        <f>J2741+J2742+J2743+J2744</f>
        <v>7631</v>
      </c>
      <c r="K2740" s="223">
        <f>K2741+K2742+K2743+K2744</f>
        <v>7631</v>
      </c>
    </row>
    <row r="2741" spans="1:11" x14ac:dyDescent="0.25">
      <c r="A2741" s="308"/>
      <c r="B2741" s="308"/>
      <c r="C2741" s="317"/>
      <c r="D2741" s="308"/>
      <c r="E2741" s="319"/>
      <c r="F2741" s="331"/>
      <c r="G2741" s="308"/>
      <c r="H2741" s="87" t="s">
        <v>67</v>
      </c>
      <c r="I2741" s="223">
        <f>D2740*K2741</f>
        <v>1768821.11</v>
      </c>
      <c r="J2741" s="223">
        <f>I2741/D2740</f>
        <v>1733</v>
      </c>
      <c r="K2741" s="223">
        <v>1733</v>
      </c>
    </row>
    <row r="2742" spans="1:11" x14ac:dyDescent="0.25">
      <c r="A2742" s="308"/>
      <c r="B2742" s="308"/>
      <c r="C2742" s="317"/>
      <c r="D2742" s="308"/>
      <c r="E2742" s="319"/>
      <c r="F2742" s="331"/>
      <c r="G2742" s="308"/>
      <c r="H2742" s="87" t="s">
        <v>69</v>
      </c>
      <c r="I2742" s="223">
        <f>D2740*K2742</f>
        <v>37764.79</v>
      </c>
      <c r="J2742" s="223">
        <f>I2742/D2740</f>
        <v>37</v>
      </c>
      <c r="K2742" s="223">
        <v>37</v>
      </c>
    </row>
    <row r="2743" spans="1:11" x14ac:dyDescent="0.25">
      <c r="A2743" s="308"/>
      <c r="B2743" s="308"/>
      <c r="C2743" s="317"/>
      <c r="D2743" s="308"/>
      <c r="E2743" s="319"/>
      <c r="F2743" s="331"/>
      <c r="G2743" s="308"/>
      <c r="H2743" s="87" t="s">
        <v>179</v>
      </c>
      <c r="I2743" s="223">
        <f>D2740*K2743</f>
        <v>5856604.46</v>
      </c>
      <c r="J2743" s="223">
        <f>I2743/D2740</f>
        <v>5738</v>
      </c>
      <c r="K2743" s="223">
        <v>5738</v>
      </c>
    </row>
    <row r="2744" spans="1:11" x14ac:dyDescent="0.25">
      <c r="A2744" s="309"/>
      <c r="B2744" s="309"/>
      <c r="C2744" s="316"/>
      <c r="D2744" s="309"/>
      <c r="E2744" s="329"/>
      <c r="F2744" s="332"/>
      <c r="G2744" s="309"/>
      <c r="H2744" s="87" t="s">
        <v>69</v>
      </c>
      <c r="I2744" s="223">
        <f>D2740*K2744</f>
        <v>125542.41</v>
      </c>
      <c r="J2744" s="223">
        <f>I2744/D2740</f>
        <v>123</v>
      </c>
      <c r="K2744" s="223">
        <v>123</v>
      </c>
    </row>
    <row r="2745" spans="1:11" x14ac:dyDescent="0.25">
      <c r="A2745" s="307">
        <f>A2740+1</f>
        <v>2</v>
      </c>
      <c r="B2745" s="307">
        <v>887</v>
      </c>
      <c r="C2745" s="315" t="s">
        <v>187</v>
      </c>
      <c r="D2745" s="318">
        <v>2590.4</v>
      </c>
      <c r="E2745" s="318" t="s">
        <v>73</v>
      </c>
      <c r="F2745" s="330">
        <v>5</v>
      </c>
      <c r="G2745" s="307" t="s">
        <v>75</v>
      </c>
      <c r="H2745" s="87" t="s">
        <v>66</v>
      </c>
      <c r="I2745" s="223">
        <f>I2746+I2747+I2748+I2749</f>
        <v>18688855.050000001</v>
      </c>
      <c r="J2745" s="223">
        <f>J2746+J2747+J2748+J2749</f>
        <v>7214.66</v>
      </c>
      <c r="K2745" s="223">
        <f>K2746+K2747+K2748+K2749</f>
        <v>8273</v>
      </c>
    </row>
    <row r="2746" spans="1:11" x14ac:dyDescent="0.25">
      <c r="A2746" s="308"/>
      <c r="B2746" s="308"/>
      <c r="C2746" s="317"/>
      <c r="D2746" s="308"/>
      <c r="E2746" s="319"/>
      <c r="F2746" s="331"/>
      <c r="G2746" s="308"/>
      <c r="H2746" s="87" t="s">
        <v>67</v>
      </c>
      <c r="I2746" s="223">
        <f>(2724519+80263.12)*1.02*1.2</f>
        <v>3433053.31</v>
      </c>
      <c r="J2746" s="223">
        <f>I2746/D2745</f>
        <v>1325.3</v>
      </c>
      <c r="K2746" s="223">
        <v>2361</v>
      </c>
    </row>
    <row r="2747" spans="1:11" x14ac:dyDescent="0.25">
      <c r="A2747" s="308"/>
      <c r="B2747" s="308"/>
      <c r="C2747" s="317"/>
      <c r="D2747" s="308"/>
      <c r="E2747" s="319"/>
      <c r="F2747" s="331"/>
      <c r="G2747" s="308"/>
      <c r="H2747" s="87" t="s">
        <v>69</v>
      </c>
      <c r="I2747" s="223">
        <f>I2746*0.0214</f>
        <v>73467.34</v>
      </c>
      <c r="J2747" s="223">
        <f>I2747/D2745</f>
        <v>28.36</v>
      </c>
      <c r="K2747" s="223">
        <v>51</v>
      </c>
    </row>
    <row r="2748" spans="1:11" x14ac:dyDescent="0.25">
      <c r="A2748" s="308"/>
      <c r="B2748" s="308"/>
      <c r="C2748" s="317"/>
      <c r="D2748" s="308"/>
      <c r="E2748" s="319"/>
      <c r="F2748" s="331"/>
      <c r="G2748" s="308"/>
      <c r="H2748" s="87" t="s">
        <v>179</v>
      </c>
      <c r="I2748" s="223">
        <f>D2745*K2748</f>
        <v>14863715.199999999</v>
      </c>
      <c r="J2748" s="223">
        <f>I2748/D2745</f>
        <v>5738</v>
      </c>
      <c r="K2748" s="223">
        <v>5738</v>
      </c>
    </row>
    <row r="2749" spans="1:11" x14ac:dyDescent="0.25">
      <c r="A2749" s="309"/>
      <c r="B2749" s="309"/>
      <c r="C2749" s="316"/>
      <c r="D2749" s="309"/>
      <c r="E2749" s="329"/>
      <c r="F2749" s="332"/>
      <c r="G2749" s="309"/>
      <c r="H2749" s="87" t="s">
        <v>69</v>
      </c>
      <c r="I2749" s="223">
        <f>D2745*K2749</f>
        <v>318619.2</v>
      </c>
      <c r="J2749" s="223">
        <f>I2749/D2745</f>
        <v>123</v>
      </c>
      <c r="K2749" s="223">
        <v>123</v>
      </c>
    </row>
    <row r="2750" spans="1:11" ht="15.75" customHeight="1" x14ac:dyDescent="0.25">
      <c r="A2750" s="310">
        <f>A2745+1</f>
        <v>3</v>
      </c>
      <c r="B2750" s="310">
        <v>504</v>
      </c>
      <c r="C2750" s="311" t="s">
        <v>738</v>
      </c>
      <c r="D2750" s="312">
        <v>3172.4</v>
      </c>
      <c r="E2750" s="312" t="s">
        <v>68</v>
      </c>
      <c r="F2750" s="313">
        <v>5</v>
      </c>
      <c r="G2750" s="145"/>
      <c r="H2750" s="87" t="s">
        <v>66</v>
      </c>
      <c r="I2750" s="223">
        <f>I2751+I2752</f>
        <v>12302567.199999999</v>
      </c>
      <c r="J2750" s="223">
        <f>J2751+J2752</f>
        <v>3878</v>
      </c>
      <c r="K2750" s="223">
        <f>K2751+K2752</f>
        <v>3878</v>
      </c>
    </row>
    <row r="2751" spans="1:11" x14ac:dyDescent="0.25">
      <c r="A2751" s="310">
        <v>756</v>
      </c>
      <c r="B2751" s="310"/>
      <c r="C2751" s="311"/>
      <c r="D2751" s="312"/>
      <c r="E2751" s="312"/>
      <c r="F2751" s="313"/>
      <c r="G2751" s="307" t="s">
        <v>65</v>
      </c>
      <c r="H2751" s="87" t="s">
        <v>67</v>
      </c>
      <c r="I2751" s="223">
        <f>D2750*K2751</f>
        <v>12045602.800000001</v>
      </c>
      <c r="J2751" s="223">
        <f>I2751/D2750</f>
        <v>3797</v>
      </c>
      <c r="K2751" s="223">
        <v>3797</v>
      </c>
    </row>
    <row r="2752" spans="1:11" x14ac:dyDescent="0.25">
      <c r="A2752" s="310">
        <v>757</v>
      </c>
      <c r="B2752" s="310"/>
      <c r="C2752" s="311"/>
      <c r="D2752" s="312"/>
      <c r="E2752" s="312"/>
      <c r="F2752" s="313"/>
      <c r="G2752" s="309"/>
      <c r="H2752" s="87" t="s">
        <v>69</v>
      </c>
      <c r="I2752" s="223">
        <f>D2750*K2752</f>
        <v>256964.4</v>
      </c>
      <c r="J2752" s="223">
        <f>I2752/D2750</f>
        <v>81</v>
      </c>
      <c r="K2752" s="223">
        <v>81</v>
      </c>
    </row>
    <row r="2753" spans="1:11" ht="15.75" customHeight="1" x14ac:dyDescent="0.25">
      <c r="A2753" s="310">
        <f>A2750+1</f>
        <v>4</v>
      </c>
      <c r="B2753" s="310">
        <v>190</v>
      </c>
      <c r="C2753" s="333" t="s">
        <v>615</v>
      </c>
      <c r="D2753" s="312">
        <v>1091.8</v>
      </c>
      <c r="E2753" s="312" t="s">
        <v>73</v>
      </c>
      <c r="F2753" s="313">
        <v>3</v>
      </c>
      <c r="G2753" s="310" t="s">
        <v>74</v>
      </c>
      <c r="H2753" s="87" t="s">
        <v>66</v>
      </c>
      <c r="I2753" s="223">
        <f>I2754+I2755</f>
        <v>395231.6</v>
      </c>
      <c r="J2753" s="223">
        <f>J2754+J2755</f>
        <v>362</v>
      </c>
      <c r="K2753" s="223">
        <f>K2754+K2755</f>
        <v>362</v>
      </c>
    </row>
    <row r="2754" spans="1:11" ht="15.75" customHeight="1" x14ac:dyDescent="0.25">
      <c r="A2754" s="310"/>
      <c r="B2754" s="310"/>
      <c r="C2754" s="333"/>
      <c r="D2754" s="312"/>
      <c r="E2754" s="312"/>
      <c r="F2754" s="313"/>
      <c r="G2754" s="310"/>
      <c r="H2754" s="87" t="s">
        <v>67</v>
      </c>
      <c r="I2754" s="223">
        <f>K2754*D2753</f>
        <v>386497.2</v>
      </c>
      <c r="J2754" s="223">
        <f>I2754/D2753</f>
        <v>354</v>
      </c>
      <c r="K2754" s="223">
        <v>354</v>
      </c>
    </row>
    <row r="2755" spans="1:11" ht="15.75" customHeight="1" x14ac:dyDescent="0.25">
      <c r="A2755" s="310"/>
      <c r="B2755" s="310"/>
      <c r="C2755" s="333"/>
      <c r="D2755" s="312"/>
      <c r="E2755" s="312"/>
      <c r="F2755" s="313"/>
      <c r="G2755" s="310"/>
      <c r="H2755" s="87" t="s">
        <v>69</v>
      </c>
      <c r="I2755" s="223">
        <f>D2753*K2755</f>
        <v>8734.4</v>
      </c>
      <c r="J2755" s="223">
        <f>I2755/D2753</f>
        <v>8</v>
      </c>
      <c r="K2755" s="223">
        <v>8</v>
      </c>
    </row>
    <row r="2756" spans="1:11" ht="15.75" customHeight="1" x14ac:dyDescent="0.25">
      <c r="A2756" s="310">
        <f>A2753+1</f>
        <v>5</v>
      </c>
      <c r="B2756" s="310">
        <v>197</v>
      </c>
      <c r="C2756" s="333" t="s">
        <v>616</v>
      </c>
      <c r="D2756" s="312">
        <v>1027.9000000000001</v>
      </c>
      <c r="E2756" s="312" t="s">
        <v>73</v>
      </c>
      <c r="F2756" s="313">
        <v>3</v>
      </c>
      <c r="G2756" s="310" t="s">
        <v>74</v>
      </c>
      <c r="H2756" s="87" t="s">
        <v>66</v>
      </c>
      <c r="I2756" s="223">
        <f>I2757+I2758</f>
        <v>372099.8</v>
      </c>
      <c r="J2756" s="223">
        <f>J2757+J2758</f>
        <v>362</v>
      </c>
      <c r="K2756" s="223">
        <f>K2757+K2758</f>
        <v>362</v>
      </c>
    </row>
    <row r="2757" spans="1:11" ht="15.75" customHeight="1" x14ac:dyDescent="0.25">
      <c r="A2757" s="310"/>
      <c r="B2757" s="310"/>
      <c r="C2757" s="333"/>
      <c r="D2757" s="312"/>
      <c r="E2757" s="312"/>
      <c r="F2757" s="313"/>
      <c r="G2757" s="310"/>
      <c r="H2757" s="87" t="s">
        <v>67</v>
      </c>
      <c r="I2757" s="223">
        <f>K2757*D2756</f>
        <v>363876.6</v>
      </c>
      <c r="J2757" s="223">
        <f>I2757/D2756</f>
        <v>354</v>
      </c>
      <c r="K2757" s="223">
        <v>354</v>
      </c>
    </row>
    <row r="2758" spans="1:11" ht="15.75" customHeight="1" x14ac:dyDescent="0.25">
      <c r="A2758" s="310"/>
      <c r="B2758" s="310"/>
      <c r="C2758" s="333"/>
      <c r="D2758" s="312"/>
      <c r="E2758" s="312"/>
      <c r="F2758" s="313"/>
      <c r="G2758" s="310"/>
      <c r="H2758" s="87" t="s">
        <v>69</v>
      </c>
      <c r="I2758" s="223">
        <f>D2756*K2758</f>
        <v>8223.2000000000007</v>
      </c>
      <c r="J2758" s="223">
        <f>I2758/D2756</f>
        <v>8</v>
      </c>
      <c r="K2758" s="223">
        <v>8</v>
      </c>
    </row>
    <row r="2759" spans="1:11" ht="15.75" customHeight="1" x14ac:dyDescent="0.25">
      <c r="A2759" s="310">
        <f>A2756+1</f>
        <v>6</v>
      </c>
      <c r="B2759" s="310">
        <v>347</v>
      </c>
      <c r="C2759" s="333" t="s">
        <v>617</v>
      </c>
      <c r="D2759" s="312">
        <v>3127.4</v>
      </c>
      <c r="E2759" s="312" t="s">
        <v>68</v>
      </c>
      <c r="F2759" s="313">
        <v>5</v>
      </c>
      <c r="G2759" s="310" t="s">
        <v>74</v>
      </c>
      <c r="H2759" s="87" t="s">
        <v>66</v>
      </c>
      <c r="I2759" s="223">
        <f>I2760+I2761</f>
        <v>1272851.8</v>
      </c>
      <c r="J2759" s="223">
        <f>J2760+J2761</f>
        <v>407</v>
      </c>
      <c r="K2759" s="223">
        <f>K2760+K2761</f>
        <v>407</v>
      </c>
    </row>
    <row r="2760" spans="1:11" ht="15.75" customHeight="1" x14ac:dyDescent="0.25">
      <c r="A2760" s="310"/>
      <c r="B2760" s="310"/>
      <c r="C2760" s="333"/>
      <c r="D2760" s="312"/>
      <c r="E2760" s="312"/>
      <c r="F2760" s="313"/>
      <c r="G2760" s="310"/>
      <c r="H2760" s="87" t="s">
        <v>67</v>
      </c>
      <c r="I2760" s="223">
        <f>K2760*D2759</f>
        <v>1244705.2</v>
      </c>
      <c r="J2760" s="223">
        <f>I2760/D2759</f>
        <v>398</v>
      </c>
      <c r="K2760" s="223">
        <v>398</v>
      </c>
    </row>
    <row r="2761" spans="1:11" ht="15.75" customHeight="1" x14ac:dyDescent="0.25">
      <c r="A2761" s="310"/>
      <c r="B2761" s="310"/>
      <c r="C2761" s="333"/>
      <c r="D2761" s="312"/>
      <c r="E2761" s="312"/>
      <c r="F2761" s="313"/>
      <c r="G2761" s="310"/>
      <c r="H2761" s="87" t="s">
        <v>69</v>
      </c>
      <c r="I2761" s="223">
        <f>D2759*K2761</f>
        <v>28146.6</v>
      </c>
      <c r="J2761" s="223">
        <f>I2761/D2759</f>
        <v>9</v>
      </c>
      <c r="K2761" s="223">
        <v>9</v>
      </c>
    </row>
    <row r="2762" spans="1:11" ht="15.75" customHeight="1" x14ac:dyDescent="0.25">
      <c r="A2762" s="310">
        <f>A2759+1</f>
        <v>7</v>
      </c>
      <c r="B2762" s="310">
        <v>348</v>
      </c>
      <c r="C2762" s="333" t="s">
        <v>618</v>
      </c>
      <c r="D2762" s="312">
        <v>3202.33</v>
      </c>
      <c r="E2762" s="312" t="s">
        <v>68</v>
      </c>
      <c r="F2762" s="313">
        <v>5</v>
      </c>
      <c r="G2762" s="310" t="s">
        <v>74</v>
      </c>
      <c r="H2762" s="87" t="s">
        <v>66</v>
      </c>
      <c r="I2762" s="223">
        <f>I2763+I2764</f>
        <v>1303348.31</v>
      </c>
      <c r="J2762" s="223">
        <f>J2763+J2764</f>
        <v>407</v>
      </c>
      <c r="K2762" s="223">
        <f>K2763+K2764</f>
        <v>407</v>
      </c>
    </row>
    <row r="2763" spans="1:11" ht="15.75" customHeight="1" x14ac:dyDescent="0.25">
      <c r="A2763" s="310"/>
      <c r="B2763" s="310"/>
      <c r="C2763" s="333"/>
      <c r="D2763" s="312"/>
      <c r="E2763" s="312"/>
      <c r="F2763" s="313"/>
      <c r="G2763" s="310"/>
      <c r="H2763" s="87" t="s">
        <v>67</v>
      </c>
      <c r="I2763" s="223">
        <f>K2763*D2762</f>
        <v>1274527.3400000001</v>
      </c>
      <c r="J2763" s="223">
        <f>I2763/D2762</f>
        <v>398</v>
      </c>
      <c r="K2763" s="223">
        <v>398</v>
      </c>
    </row>
    <row r="2764" spans="1:11" ht="15.75" customHeight="1" x14ac:dyDescent="0.25">
      <c r="A2764" s="310"/>
      <c r="B2764" s="310"/>
      <c r="C2764" s="333"/>
      <c r="D2764" s="312"/>
      <c r="E2764" s="312"/>
      <c r="F2764" s="313"/>
      <c r="G2764" s="310"/>
      <c r="H2764" s="87" t="s">
        <v>69</v>
      </c>
      <c r="I2764" s="223">
        <f>D2762*K2764</f>
        <v>28820.97</v>
      </c>
      <c r="J2764" s="223">
        <f>I2764/D2762</f>
        <v>9</v>
      </c>
      <c r="K2764" s="223">
        <v>9</v>
      </c>
    </row>
    <row r="2765" spans="1:11" ht="15.75" customHeight="1" x14ac:dyDescent="0.25">
      <c r="A2765" s="310">
        <f>A2762+1</f>
        <v>8</v>
      </c>
      <c r="B2765" s="310">
        <v>234</v>
      </c>
      <c r="C2765" s="311" t="s">
        <v>739</v>
      </c>
      <c r="D2765" s="312">
        <v>1369.3</v>
      </c>
      <c r="E2765" s="312" t="s">
        <v>73</v>
      </c>
      <c r="F2765" s="313">
        <v>3</v>
      </c>
      <c r="G2765" s="145"/>
      <c r="H2765" s="87" t="s">
        <v>66</v>
      </c>
      <c r="I2765" s="223">
        <f>I2766+I2767</f>
        <v>7043679.2000000002</v>
      </c>
      <c r="J2765" s="223">
        <f>J2766+J2767</f>
        <v>5144</v>
      </c>
      <c r="K2765" s="223">
        <f>K2766+K2767</f>
        <v>5144</v>
      </c>
    </row>
    <row r="2766" spans="1:11" x14ac:dyDescent="0.25">
      <c r="A2766" s="310">
        <v>756</v>
      </c>
      <c r="B2766" s="310"/>
      <c r="C2766" s="311"/>
      <c r="D2766" s="312"/>
      <c r="E2766" s="312"/>
      <c r="F2766" s="313"/>
      <c r="G2766" s="307" t="s">
        <v>65</v>
      </c>
      <c r="H2766" s="87" t="s">
        <v>67</v>
      </c>
      <c r="I2766" s="223">
        <f>D2765*K2766</f>
        <v>6895794.7999999998</v>
      </c>
      <c r="J2766" s="223">
        <f>I2766/D2765</f>
        <v>5036</v>
      </c>
      <c r="K2766" s="223">
        <v>5036</v>
      </c>
    </row>
    <row r="2767" spans="1:11" x14ac:dyDescent="0.25">
      <c r="A2767" s="310">
        <v>757</v>
      </c>
      <c r="B2767" s="310"/>
      <c r="C2767" s="311"/>
      <c r="D2767" s="312"/>
      <c r="E2767" s="312"/>
      <c r="F2767" s="313"/>
      <c r="G2767" s="309"/>
      <c r="H2767" s="87" t="s">
        <v>69</v>
      </c>
      <c r="I2767" s="223">
        <f>D2765*K2767</f>
        <v>147884.4</v>
      </c>
      <c r="J2767" s="223">
        <f>I2767/D2765</f>
        <v>108</v>
      </c>
      <c r="K2767" s="223">
        <v>108</v>
      </c>
    </row>
    <row r="2768" spans="1:11" x14ac:dyDescent="0.25">
      <c r="A2768" s="310">
        <f>A2765+1</f>
        <v>9</v>
      </c>
      <c r="B2768" s="310">
        <v>870</v>
      </c>
      <c r="C2768" s="333" t="s">
        <v>190</v>
      </c>
      <c r="D2768" s="312">
        <v>3342.5</v>
      </c>
      <c r="E2768" s="312" t="s">
        <v>68</v>
      </c>
      <c r="F2768" s="313">
        <v>6</v>
      </c>
      <c r="G2768" s="310" t="s">
        <v>65</v>
      </c>
      <c r="H2768" s="87" t="s">
        <v>66</v>
      </c>
      <c r="I2768" s="223">
        <f>I2769+I2770</f>
        <v>11064099.52</v>
      </c>
      <c r="J2768" s="223">
        <f>J2769+J2770</f>
        <v>3310.13</v>
      </c>
      <c r="K2768" s="223">
        <f>K2769+K2770</f>
        <v>3878</v>
      </c>
    </row>
    <row r="2769" spans="1:11" x14ac:dyDescent="0.25">
      <c r="A2769" s="310"/>
      <c r="B2769" s="310"/>
      <c r="C2769" s="333"/>
      <c r="D2769" s="310"/>
      <c r="E2769" s="312"/>
      <c r="F2769" s="313"/>
      <c r="G2769" s="310"/>
      <c r="H2769" s="87" t="s">
        <v>67</v>
      </c>
      <c r="I2769" s="223">
        <f>(8523089+326819.95)*1.02*1.2</f>
        <v>10832288.550000001</v>
      </c>
      <c r="J2769" s="223">
        <f>I2769/D2768+0.01</f>
        <v>3240.78</v>
      </c>
      <c r="K2769" s="223">
        <v>3797</v>
      </c>
    </row>
    <row r="2770" spans="1:11" x14ac:dyDescent="0.25">
      <c r="A2770" s="310"/>
      <c r="B2770" s="310"/>
      <c r="C2770" s="333"/>
      <c r="D2770" s="310"/>
      <c r="E2770" s="312"/>
      <c r="F2770" s="313"/>
      <c r="G2770" s="310"/>
      <c r="H2770" s="87" t="s">
        <v>69</v>
      </c>
      <c r="I2770" s="223">
        <f>I2769*0.0214</f>
        <v>231810.97</v>
      </c>
      <c r="J2770" s="223">
        <f>I2770/D2768</f>
        <v>69.349999999999994</v>
      </c>
      <c r="K2770" s="223">
        <v>81</v>
      </c>
    </row>
    <row r="2771" spans="1:11" x14ac:dyDescent="0.25">
      <c r="A2771" s="310">
        <f>A2768+1</f>
        <v>10</v>
      </c>
      <c r="B2771" s="310">
        <v>827</v>
      </c>
      <c r="C2771" s="333" t="s">
        <v>369</v>
      </c>
      <c r="D2771" s="312">
        <v>4235.7</v>
      </c>
      <c r="E2771" s="312" t="s">
        <v>68</v>
      </c>
      <c r="F2771" s="313">
        <v>5</v>
      </c>
      <c r="G2771" s="310" t="s">
        <v>65</v>
      </c>
      <c r="H2771" s="87" t="s">
        <v>66</v>
      </c>
      <c r="I2771" s="223">
        <f>I2772+I2773</f>
        <v>16426044.6</v>
      </c>
      <c r="J2771" s="223">
        <f>J2772+J2773</f>
        <v>3878</v>
      </c>
      <c r="K2771" s="223">
        <f>K2772+K2773</f>
        <v>3878</v>
      </c>
    </row>
    <row r="2772" spans="1:11" x14ac:dyDescent="0.25">
      <c r="A2772" s="310">
        <v>77</v>
      </c>
      <c r="B2772" s="310"/>
      <c r="C2772" s="333"/>
      <c r="D2772" s="310"/>
      <c r="E2772" s="312"/>
      <c r="F2772" s="313"/>
      <c r="G2772" s="310"/>
      <c r="H2772" s="87" t="s">
        <v>67</v>
      </c>
      <c r="I2772" s="223">
        <f>D2771*K2772</f>
        <v>16082952.9</v>
      </c>
      <c r="J2772" s="223">
        <f>I2772/D2771</f>
        <v>3797</v>
      </c>
      <c r="K2772" s="223">
        <v>3797</v>
      </c>
    </row>
    <row r="2773" spans="1:11" x14ac:dyDescent="0.25">
      <c r="A2773" s="310"/>
      <c r="B2773" s="310"/>
      <c r="C2773" s="333"/>
      <c r="D2773" s="310"/>
      <c r="E2773" s="312"/>
      <c r="F2773" s="313"/>
      <c r="G2773" s="310"/>
      <c r="H2773" s="87" t="s">
        <v>69</v>
      </c>
      <c r="I2773" s="223">
        <f>D2771*K2773</f>
        <v>343091.7</v>
      </c>
      <c r="J2773" s="223">
        <f>I2773/D2771</f>
        <v>81</v>
      </c>
      <c r="K2773" s="223">
        <v>81</v>
      </c>
    </row>
    <row r="2774" spans="1:11" ht="15.75" customHeight="1" x14ac:dyDescent="0.25">
      <c r="A2774" s="310">
        <f>A2771+1</f>
        <v>11</v>
      </c>
      <c r="B2774" s="310">
        <v>293</v>
      </c>
      <c r="C2774" s="333" t="s">
        <v>619</v>
      </c>
      <c r="D2774" s="312">
        <v>1262.0999999999999</v>
      </c>
      <c r="E2774" s="312" t="s">
        <v>68</v>
      </c>
      <c r="F2774" s="313">
        <v>4</v>
      </c>
      <c r="G2774" s="310" t="s">
        <v>74</v>
      </c>
      <c r="H2774" s="87" t="s">
        <v>66</v>
      </c>
      <c r="I2774" s="223">
        <f>I2775+I2776</f>
        <v>456880.2</v>
      </c>
      <c r="J2774" s="223">
        <f>J2775+J2776</f>
        <v>362</v>
      </c>
      <c r="K2774" s="223">
        <f>K2775+K2776</f>
        <v>362</v>
      </c>
    </row>
    <row r="2775" spans="1:11" ht="15.75" customHeight="1" x14ac:dyDescent="0.25">
      <c r="A2775" s="310"/>
      <c r="B2775" s="310"/>
      <c r="C2775" s="333"/>
      <c r="D2775" s="312"/>
      <c r="E2775" s="312"/>
      <c r="F2775" s="313"/>
      <c r="G2775" s="310"/>
      <c r="H2775" s="87" t="s">
        <v>67</v>
      </c>
      <c r="I2775" s="223">
        <f>K2775*D2774</f>
        <v>446783.4</v>
      </c>
      <c r="J2775" s="223">
        <f>I2775/D2774</f>
        <v>354</v>
      </c>
      <c r="K2775" s="223">
        <v>354</v>
      </c>
    </row>
    <row r="2776" spans="1:11" ht="15.75" customHeight="1" x14ac:dyDescent="0.25">
      <c r="A2776" s="310"/>
      <c r="B2776" s="310"/>
      <c r="C2776" s="333"/>
      <c r="D2776" s="312"/>
      <c r="E2776" s="312"/>
      <c r="F2776" s="313"/>
      <c r="G2776" s="310"/>
      <c r="H2776" s="87" t="s">
        <v>69</v>
      </c>
      <c r="I2776" s="223">
        <f>D2774*K2776</f>
        <v>10096.799999999999</v>
      </c>
      <c r="J2776" s="223">
        <f>I2776/D2774</f>
        <v>8</v>
      </c>
      <c r="K2776" s="223">
        <v>8</v>
      </c>
    </row>
    <row r="2777" spans="1:11" ht="15.75" customHeight="1" x14ac:dyDescent="0.25">
      <c r="A2777" s="310">
        <f>A2774+1</f>
        <v>12</v>
      </c>
      <c r="B2777" s="310">
        <v>471</v>
      </c>
      <c r="C2777" s="333" t="s">
        <v>620</v>
      </c>
      <c r="D2777" s="312">
        <v>1568.8</v>
      </c>
      <c r="E2777" s="312" t="s">
        <v>68</v>
      </c>
      <c r="F2777" s="313">
        <v>5</v>
      </c>
      <c r="G2777" s="310" t="s">
        <v>65</v>
      </c>
      <c r="H2777" s="87" t="s">
        <v>66</v>
      </c>
      <c r="I2777" s="223">
        <f>I2778+I2779</f>
        <v>6083806.4000000004</v>
      </c>
      <c r="J2777" s="223">
        <f>J2778+J2779</f>
        <v>3878</v>
      </c>
      <c r="K2777" s="223">
        <f>K2778+K2779</f>
        <v>3878</v>
      </c>
    </row>
    <row r="2778" spans="1:11" ht="15.75" customHeight="1" x14ac:dyDescent="0.25">
      <c r="A2778" s="310">
        <v>77</v>
      </c>
      <c r="B2778" s="310"/>
      <c r="C2778" s="333"/>
      <c r="D2778" s="310"/>
      <c r="E2778" s="312"/>
      <c r="F2778" s="313"/>
      <c r="G2778" s="310"/>
      <c r="H2778" s="87" t="s">
        <v>67</v>
      </c>
      <c r="I2778" s="223">
        <f>D2777*K2778</f>
        <v>5956733.5999999996</v>
      </c>
      <c r="J2778" s="223">
        <f>I2778/D2777</f>
        <v>3797</v>
      </c>
      <c r="K2778" s="223">
        <v>3797</v>
      </c>
    </row>
    <row r="2779" spans="1:11" ht="15.75" customHeight="1" x14ac:dyDescent="0.25">
      <c r="A2779" s="310"/>
      <c r="B2779" s="310"/>
      <c r="C2779" s="333"/>
      <c r="D2779" s="310"/>
      <c r="E2779" s="312"/>
      <c r="F2779" s="313"/>
      <c r="G2779" s="310"/>
      <c r="H2779" s="87" t="s">
        <v>69</v>
      </c>
      <c r="I2779" s="223">
        <f>D2777*K2779</f>
        <v>127072.8</v>
      </c>
      <c r="J2779" s="223">
        <f>I2779/D2777</f>
        <v>81</v>
      </c>
      <c r="K2779" s="223">
        <v>81</v>
      </c>
    </row>
    <row r="2780" spans="1:11" ht="15.75" customHeight="1" x14ac:dyDescent="0.25">
      <c r="A2780" s="310">
        <f>A2777+1</f>
        <v>13</v>
      </c>
      <c r="B2780" s="310">
        <v>340</v>
      </c>
      <c r="C2780" s="333" t="s">
        <v>621</v>
      </c>
      <c r="D2780" s="312">
        <v>1359.55</v>
      </c>
      <c r="E2780" s="312" t="s">
        <v>68</v>
      </c>
      <c r="F2780" s="313">
        <v>4</v>
      </c>
      <c r="G2780" s="310" t="s">
        <v>74</v>
      </c>
      <c r="H2780" s="87" t="s">
        <v>66</v>
      </c>
      <c r="I2780" s="223">
        <f>I2781+I2782</f>
        <v>492157.1</v>
      </c>
      <c r="J2780" s="223">
        <f>J2781+J2782</f>
        <v>362</v>
      </c>
      <c r="K2780" s="223">
        <f>K2781+K2782</f>
        <v>362</v>
      </c>
    </row>
    <row r="2781" spans="1:11" ht="15.75" customHeight="1" x14ac:dyDescent="0.25">
      <c r="A2781" s="310"/>
      <c r="B2781" s="310"/>
      <c r="C2781" s="333"/>
      <c r="D2781" s="312"/>
      <c r="E2781" s="312"/>
      <c r="F2781" s="313"/>
      <c r="G2781" s="310"/>
      <c r="H2781" s="87" t="s">
        <v>67</v>
      </c>
      <c r="I2781" s="223">
        <f>K2781*D2780</f>
        <v>481280.7</v>
      </c>
      <c r="J2781" s="223">
        <f>I2781/D2780</f>
        <v>354</v>
      </c>
      <c r="K2781" s="223">
        <v>354</v>
      </c>
    </row>
    <row r="2782" spans="1:11" ht="15.75" customHeight="1" x14ac:dyDescent="0.25">
      <c r="A2782" s="310"/>
      <c r="B2782" s="310"/>
      <c r="C2782" s="333"/>
      <c r="D2782" s="312"/>
      <c r="E2782" s="312"/>
      <c r="F2782" s="313"/>
      <c r="G2782" s="310"/>
      <c r="H2782" s="87" t="s">
        <v>69</v>
      </c>
      <c r="I2782" s="223">
        <f>D2780*K2782</f>
        <v>10876.4</v>
      </c>
      <c r="J2782" s="223">
        <f>I2782/D2780</f>
        <v>8</v>
      </c>
      <c r="K2782" s="223">
        <v>8</v>
      </c>
    </row>
    <row r="2783" spans="1:11" ht="15.75" customHeight="1" x14ac:dyDescent="0.25">
      <c r="A2783" s="310">
        <f>A2780+1</f>
        <v>14</v>
      </c>
      <c r="B2783" s="310">
        <v>341</v>
      </c>
      <c r="C2783" s="333" t="s">
        <v>622</v>
      </c>
      <c r="D2783" s="312">
        <v>1268.5999999999999</v>
      </c>
      <c r="E2783" s="312" t="s">
        <v>68</v>
      </c>
      <c r="F2783" s="313">
        <v>4</v>
      </c>
      <c r="G2783" s="310" t="s">
        <v>74</v>
      </c>
      <c r="H2783" s="87" t="s">
        <v>66</v>
      </c>
      <c r="I2783" s="223">
        <f>I2784+I2785</f>
        <v>459233.2</v>
      </c>
      <c r="J2783" s="223">
        <f>J2784+J2785</f>
        <v>362</v>
      </c>
      <c r="K2783" s="223">
        <f>K2784+K2785</f>
        <v>362</v>
      </c>
    </row>
    <row r="2784" spans="1:11" ht="15.75" customHeight="1" x14ac:dyDescent="0.25">
      <c r="A2784" s="310"/>
      <c r="B2784" s="310"/>
      <c r="C2784" s="333"/>
      <c r="D2784" s="312"/>
      <c r="E2784" s="312"/>
      <c r="F2784" s="313"/>
      <c r="G2784" s="310"/>
      <c r="H2784" s="87" t="s">
        <v>67</v>
      </c>
      <c r="I2784" s="223">
        <f>K2784*D2783</f>
        <v>449084.4</v>
      </c>
      <c r="J2784" s="223">
        <f>I2784/D2783</f>
        <v>354</v>
      </c>
      <c r="K2784" s="223">
        <v>354</v>
      </c>
    </row>
    <row r="2785" spans="1:11" ht="15.75" customHeight="1" x14ac:dyDescent="0.25">
      <c r="A2785" s="310"/>
      <c r="B2785" s="310"/>
      <c r="C2785" s="333"/>
      <c r="D2785" s="312"/>
      <c r="E2785" s="312"/>
      <c r="F2785" s="313"/>
      <c r="G2785" s="310"/>
      <c r="H2785" s="87" t="s">
        <v>69</v>
      </c>
      <c r="I2785" s="223">
        <f>D2783*K2785</f>
        <v>10148.799999999999</v>
      </c>
      <c r="J2785" s="223">
        <f>I2785/D2783</f>
        <v>8</v>
      </c>
      <c r="K2785" s="223">
        <v>8</v>
      </c>
    </row>
    <row r="2786" spans="1:11" ht="15.75" customHeight="1" x14ac:dyDescent="0.25">
      <c r="A2786" s="310">
        <f>A2783+1</f>
        <v>15</v>
      </c>
      <c r="B2786" s="310">
        <v>34</v>
      </c>
      <c r="C2786" s="311" t="s">
        <v>740</v>
      </c>
      <c r="D2786" s="312">
        <v>257.7</v>
      </c>
      <c r="E2786" s="312" t="s">
        <v>167</v>
      </c>
      <c r="F2786" s="313">
        <v>2</v>
      </c>
      <c r="G2786" s="145"/>
      <c r="H2786" s="87" t="s">
        <v>66</v>
      </c>
      <c r="I2786" s="223">
        <f>I2787+I2788</f>
        <v>184513.2</v>
      </c>
      <c r="J2786" s="223">
        <f>J2787+J2788</f>
        <v>716</v>
      </c>
      <c r="K2786" s="223">
        <f>K2787+K2788</f>
        <v>716</v>
      </c>
    </row>
    <row r="2787" spans="1:11" x14ac:dyDescent="0.25">
      <c r="A2787" s="310">
        <v>756</v>
      </c>
      <c r="B2787" s="310"/>
      <c r="C2787" s="311"/>
      <c r="D2787" s="312"/>
      <c r="E2787" s="312"/>
      <c r="F2787" s="313"/>
      <c r="G2787" s="307" t="s">
        <v>77</v>
      </c>
      <c r="H2787" s="87" t="s">
        <v>67</v>
      </c>
      <c r="I2787" s="223">
        <f>D2786*K2787</f>
        <v>180647.7</v>
      </c>
      <c r="J2787" s="223">
        <f>I2787/D2786</f>
        <v>701</v>
      </c>
      <c r="K2787" s="223">
        <v>701</v>
      </c>
    </row>
    <row r="2788" spans="1:11" x14ac:dyDescent="0.25">
      <c r="A2788" s="310">
        <v>757</v>
      </c>
      <c r="B2788" s="310"/>
      <c r="C2788" s="311"/>
      <c r="D2788" s="312"/>
      <c r="E2788" s="312"/>
      <c r="F2788" s="313"/>
      <c r="G2788" s="309"/>
      <c r="H2788" s="87" t="s">
        <v>69</v>
      </c>
      <c r="I2788" s="223">
        <f>D2786*K2788</f>
        <v>3865.5</v>
      </c>
      <c r="J2788" s="223">
        <f>I2788/D2786</f>
        <v>15</v>
      </c>
      <c r="K2788" s="223">
        <v>15</v>
      </c>
    </row>
    <row r="2789" spans="1:11" ht="15.75" customHeight="1" x14ac:dyDescent="0.25">
      <c r="A2789" s="310">
        <f>A2786+1</f>
        <v>16</v>
      </c>
      <c r="B2789" s="310">
        <v>294</v>
      </c>
      <c r="C2789" s="333" t="s">
        <v>623</v>
      </c>
      <c r="D2789" s="312">
        <v>3808.2</v>
      </c>
      <c r="E2789" s="312" t="s">
        <v>68</v>
      </c>
      <c r="F2789" s="313">
        <v>4</v>
      </c>
      <c r="G2789" s="310" t="s">
        <v>74</v>
      </c>
      <c r="H2789" s="87" t="s">
        <v>66</v>
      </c>
      <c r="I2789" s="223">
        <f>I2790+I2791</f>
        <v>1549937.4</v>
      </c>
      <c r="J2789" s="223">
        <f>J2790+J2791</f>
        <v>407</v>
      </c>
      <c r="K2789" s="223">
        <f>K2790+K2791</f>
        <v>407</v>
      </c>
    </row>
    <row r="2790" spans="1:11" ht="15.75" customHeight="1" x14ac:dyDescent="0.25">
      <c r="A2790" s="310"/>
      <c r="B2790" s="310"/>
      <c r="C2790" s="333"/>
      <c r="D2790" s="312"/>
      <c r="E2790" s="312"/>
      <c r="F2790" s="313"/>
      <c r="G2790" s="310"/>
      <c r="H2790" s="87" t="s">
        <v>67</v>
      </c>
      <c r="I2790" s="223">
        <f>K2790*D2789</f>
        <v>1515663.6</v>
      </c>
      <c r="J2790" s="223">
        <f>I2790/D2789</f>
        <v>398</v>
      </c>
      <c r="K2790" s="223">
        <v>398</v>
      </c>
    </row>
    <row r="2791" spans="1:11" ht="15.75" customHeight="1" x14ac:dyDescent="0.25">
      <c r="A2791" s="310"/>
      <c r="B2791" s="310"/>
      <c r="C2791" s="333"/>
      <c r="D2791" s="312"/>
      <c r="E2791" s="312"/>
      <c r="F2791" s="313"/>
      <c r="G2791" s="310"/>
      <c r="H2791" s="87" t="s">
        <v>69</v>
      </c>
      <c r="I2791" s="223">
        <f>D2789*K2791</f>
        <v>34273.800000000003</v>
      </c>
      <c r="J2791" s="223">
        <f>I2791/D2789</f>
        <v>9</v>
      </c>
      <c r="K2791" s="223">
        <v>9</v>
      </c>
    </row>
    <row r="2792" spans="1:11" ht="15.75" customHeight="1" x14ac:dyDescent="0.25">
      <c r="A2792" s="310">
        <f>A2789+1</f>
        <v>17</v>
      </c>
      <c r="B2792" s="310">
        <v>326</v>
      </c>
      <c r="C2792" s="333" t="s">
        <v>624</v>
      </c>
      <c r="D2792" s="312">
        <v>1786.7</v>
      </c>
      <c r="E2792" s="312" t="s">
        <v>68</v>
      </c>
      <c r="F2792" s="313">
        <v>5</v>
      </c>
      <c r="G2792" s="310" t="s">
        <v>74</v>
      </c>
      <c r="H2792" s="87" t="s">
        <v>66</v>
      </c>
      <c r="I2792" s="223">
        <f>I2793+I2794</f>
        <v>646785.4</v>
      </c>
      <c r="J2792" s="223">
        <f>J2793+J2794</f>
        <v>362</v>
      </c>
      <c r="K2792" s="223">
        <f>K2793+K2794</f>
        <v>362</v>
      </c>
    </row>
    <row r="2793" spans="1:11" ht="15.75" customHeight="1" x14ac:dyDescent="0.25">
      <c r="A2793" s="310"/>
      <c r="B2793" s="310"/>
      <c r="C2793" s="333"/>
      <c r="D2793" s="312"/>
      <c r="E2793" s="312"/>
      <c r="F2793" s="313"/>
      <c r="G2793" s="310"/>
      <c r="H2793" s="87" t="s">
        <v>67</v>
      </c>
      <c r="I2793" s="223">
        <f>K2793*D2792</f>
        <v>632491.80000000005</v>
      </c>
      <c r="J2793" s="223">
        <f>I2793/D2792</f>
        <v>354</v>
      </c>
      <c r="K2793" s="223">
        <v>354</v>
      </c>
    </row>
    <row r="2794" spans="1:11" ht="15.75" customHeight="1" x14ac:dyDescent="0.25">
      <c r="A2794" s="310"/>
      <c r="B2794" s="310"/>
      <c r="C2794" s="333"/>
      <c r="D2794" s="312"/>
      <c r="E2794" s="312"/>
      <c r="F2794" s="313"/>
      <c r="G2794" s="310"/>
      <c r="H2794" s="87" t="s">
        <v>69</v>
      </c>
      <c r="I2794" s="223">
        <f>D2792*K2794</f>
        <v>14293.6</v>
      </c>
      <c r="J2794" s="223">
        <f>I2794/D2792</f>
        <v>8</v>
      </c>
      <c r="K2794" s="223">
        <v>8</v>
      </c>
    </row>
    <row r="2795" spans="1:11" x14ac:dyDescent="0.25">
      <c r="A2795" s="310">
        <f>A2792+1</f>
        <v>18</v>
      </c>
      <c r="B2795" s="310">
        <v>892</v>
      </c>
      <c r="C2795" s="333" t="s">
        <v>193</v>
      </c>
      <c r="D2795" s="312">
        <v>5985.4</v>
      </c>
      <c r="E2795" s="312" t="s">
        <v>68</v>
      </c>
      <c r="F2795" s="313">
        <v>6</v>
      </c>
      <c r="G2795" s="310" t="s">
        <v>65</v>
      </c>
      <c r="H2795" s="87" t="s">
        <v>66</v>
      </c>
      <c r="I2795" s="223">
        <f>I2796+I2797</f>
        <v>17901290.420000002</v>
      </c>
      <c r="J2795" s="223">
        <f>J2796+J2797</f>
        <v>2990.83</v>
      </c>
      <c r="K2795" s="223">
        <f>K2796+K2797</f>
        <v>3878</v>
      </c>
    </row>
    <row r="2796" spans="1:11" x14ac:dyDescent="0.25">
      <c r="A2796" s="310">
        <v>77</v>
      </c>
      <c r="B2796" s="310"/>
      <c r="C2796" s="333"/>
      <c r="D2796" s="310"/>
      <c r="E2796" s="312"/>
      <c r="F2796" s="313"/>
      <c r="G2796" s="310"/>
      <c r="H2796" s="87" t="s">
        <v>67</v>
      </c>
      <c r="I2796" s="223">
        <f>(13974804+344010.64)*1.02*1.2</f>
        <v>17526229.120000001</v>
      </c>
      <c r="J2796" s="223">
        <f>I2796/D2795+0.01</f>
        <v>2928.17</v>
      </c>
      <c r="K2796" s="223">
        <v>3797</v>
      </c>
    </row>
    <row r="2797" spans="1:11" x14ac:dyDescent="0.25">
      <c r="A2797" s="310"/>
      <c r="B2797" s="310"/>
      <c r="C2797" s="333"/>
      <c r="D2797" s="310"/>
      <c r="E2797" s="312"/>
      <c r="F2797" s="313"/>
      <c r="G2797" s="310"/>
      <c r="H2797" s="87" t="s">
        <v>69</v>
      </c>
      <c r="I2797" s="223">
        <f>I2796*0.0214</f>
        <v>375061.3</v>
      </c>
      <c r="J2797" s="223">
        <f>I2797/D2795</f>
        <v>62.66</v>
      </c>
      <c r="K2797" s="223">
        <v>81</v>
      </c>
    </row>
    <row r="2798" spans="1:11" x14ac:dyDescent="0.25">
      <c r="A2798" s="310">
        <f>A2795+1</f>
        <v>19</v>
      </c>
      <c r="B2798" s="310">
        <v>828</v>
      </c>
      <c r="C2798" s="333" t="s">
        <v>194</v>
      </c>
      <c r="D2798" s="312">
        <v>11340.2</v>
      </c>
      <c r="E2798" s="312" t="s">
        <v>64</v>
      </c>
      <c r="F2798" s="313">
        <v>10</v>
      </c>
      <c r="G2798" s="310" t="s">
        <v>65</v>
      </c>
      <c r="H2798" s="87" t="s">
        <v>66</v>
      </c>
      <c r="I2798" s="223">
        <f>I2799+I2800</f>
        <v>13870631</v>
      </c>
      <c r="J2798" s="223">
        <f>J2799+J2800</f>
        <v>1223.1400000000001</v>
      </c>
      <c r="K2798" s="223">
        <f>K2799+K2800</f>
        <v>2492</v>
      </c>
    </row>
    <row r="2799" spans="1:11" x14ac:dyDescent="0.25">
      <c r="A2799" s="310">
        <v>77</v>
      </c>
      <c r="B2799" s="310"/>
      <c r="C2799" s="333"/>
      <c r="D2799" s="310"/>
      <c r="E2799" s="312"/>
      <c r="F2799" s="313"/>
      <c r="G2799" s="310"/>
      <c r="H2799" s="87" t="s">
        <v>67</v>
      </c>
      <c r="I2799" s="223">
        <f>(10861808+232978.44)*1.02*1.2</f>
        <v>13580018.6</v>
      </c>
      <c r="J2799" s="223">
        <f>I2799/D2798</f>
        <v>1197.51</v>
      </c>
      <c r="K2799" s="223">
        <v>2440</v>
      </c>
    </row>
    <row r="2800" spans="1:11" x14ac:dyDescent="0.25">
      <c r="A2800" s="310"/>
      <c r="B2800" s="310"/>
      <c r="C2800" s="333"/>
      <c r="D2800" s="310"/>
      <c r="E2800" s="312"/>
      <c r="F2800" s="313"/>
      <c r="G2800" s="310"/>
      <c r="H2800" s="87" t="s">
        <v>69</v>
      </c>
      <c r="I2800" s="223">
        <f>I2799*0.0214</f>
        <v>290612.40000000002</v>
      </c>
      <c r="J2800" s="223">
        <f>I2800/D2798</f>
        <v>25.63</v>
      </c>
      <c r="K2800" s="223">
        <v>52</v>
      </c>
    </row>
    <row r="2801" spans="1:11" x14ac:dyDescent="0.25">
      <c r="A2801" s="307">
        <f>A2798+1</f>
        <v>20</v>
      </c>
      <c r="B2801" s="307">
        <v>453</v>
      </c>
      <c r="C2801" s="315" t="s">
        <v>98</v>
      </c>
      <c r="D2801" s="318">
        <v>2506.3000000000002</v>
      </c>
      <c r="E2801" s="318" t="s">
        <v>68</v>
      </c>
      <c r="F2801" s="330">
        <v>5</v>
      </c>
      <c r="G2801" s="307" t="s">
        <v>74</v>
      </c>
      <c r="H2801" s="87" t="s">
        <v>66</v>
      </c>
      <c r="I2801" s="223">
        <f>I2802+I2803</f>
        <v>755836</v>
      </c>
      <c r="J2801" s="223">
        <f>J2802+J2803</f>
        <v>301.57</v>
      </c>
      <c r="K2801" s="223">
        <f>K2802+K2803</f>
        <v>362</v>
      </c>
    </row>
    <row r="2802" spans="1:11" x14ac:dyDescent="0.25">
      <c r="A2802" s="308"/>
      <c r="B2802" s="308"/>
      <c r="C2802" s="317"/>
      <c r="D2802" s="308"/>
      <c r="E2802" s="319"/>
      <c r="F2802" s="331"/>
      <c r="G2802" s="308"/>
      <c r="H2802" s="87" t="s">
        <v>67</v>
      </c>
      <c r="I2802" s="223">
        <v>740000</v>
      </c>
      <c r="J2802" s="223">
        <f>I2802/D2801-0.01</f>
        <v>295.25</v>
      </c>
      <c r="K2802" s="223">
        <v>354</v>
      </c>
    </row>
    <row r="2803" spans="1:11" x14ac:dyDescent="0.25">
      <c r="A2803" s="309"/>
      <c r="B2803" s="309"/>
      <c r="C2803" s="316"/>
      <c r="D2803" s="309"/>
      <c r="E2803" s="329"/>
      <c r="F2803" s="332"/>
      <c r="G2803" s="309"/>
      <c r="H2803" s="87" t="s">
        <v>69</v>
      </c>
      <c r="I2803" s="223">
        <f>I2802*0.0214</f>
        <v>15836</v>
      </c>
      <c r="J2803" s="223">
        <f>I2803/D2801</f>
        <v>6.32</v>
      </c>
      <c r="K2803" s="223">
        <v>8</v>
      </c>
    </row>
    <row r="2804" spans="1:11" ht="15.75" customHeight="1" x14ac:dyDescent="0.25">
      <c r="A2804" s="310">
        <f>A2801+1</f>
        <v>21</v>
      </c>
      <c r="B2804" s="310">
        <v>169</v>
      </c>
      <c r="C2804" s="311" t="s">
        <v>741</v>
      </c>
      <c r="D2804" s="312">
        <v>1896.3</v>
      </c>
      <c r="E2804" s="312" t="s">
        <v>73</v>
      </c>
      <c r="F2804" s="313">
        <v>4</v>
      </c>
      <c r="G2804" s="145"/>
      <c r="H2804" s="87" t="s">
        <v>66</v>
      </c>
      <c r="I2804" s="223">
        <f>I2805+I2806</f>
        <v>11635696.800000001</v>
      </c>
      <c r="J2804" s="223">
        <f>J2805+J2806</f>
        <v>6136</v>
      </c>
      <c r="K2804" s="223">
        <f>K2805+K2806</f>
        <v>6136</v>
      </c>
    </row>
    <row r="2805" spans="1:11" x14ac:dyDescent="0.25">
      <c r="A2805" s="310">
        <v>756</v>
      </c>
      <c r="B2805" s="310"/>
      <c r="C2805" s="311"/>
      <c r="D2805" s="312"/>
      <c r="E2805" s="312"/>
      <c r="F2805" s="313"/>
      <c r="G2805" s="307" t="s">
        <v>75</v>
      </c>
      <c r="H2805" s="87" t="s">
        <v>67</v>
      </c>
      <c r="I2805" s="223">
        <f>D2804*K2805</f>
        <v>11391074.1</v>
      </c>
      <c r="J2805" s="223">
        <f>I2805/D2804</f>
        <v>6007</v>
      </c>
      <c r="K2805" s="223">
        <v>6007</v>
      </c>
    </row>
    <row r="2806" spans="1:11" x14ac:dyDescent="0.25">
      <c r="A2806" s="310">
        <v>757</v>
      </c>
      <c r="B2806" s="310"/>
      <c r="C2806" s="311"/>
      <c r="D2806" s="312"/>
      <c r="E2806" s="312"/>
      <c r="F2806" s="313"/>
      <c r="G2806" s="309"/>
      <c r="H2806" s="87" t="s">
        <v>69</v>
      </c>
      <c r="I2806" s="223">
        <f>D2804*K2806</f>
        <v>244622.7</v>
      </c>
      <c r="J2806" s="223">
        <f>I2806/D2804</f>
        <v>129</v>
      </c>
      <c r="K2806" s="223">
        <v>129</v>
      </c>
    </row>
    <row r="2807" spans="1:11" ht="15.75" customHeight="1" x14ac:dyDescent="0.25">
      <c r="A2807" s="310">
        <f>A2804+1</f>
        <v>22</v>
      </c>
      <c r="B2807" s="310">
        <v>179</v>
      </c>
      <c r="C2807" s="333" t="s">
        <v>625</v>
      </c>
      <c r="D2807" s="312">
        <v>840.9</v>
      </c>
      <c r="E2807" s="312" t="s">
        <v>73</v>
      </c>
      <c r="F2807" s="313">
        <v>3</v>
      </c>
      <c r="G2807" s="310" t="s">
        <v>74</v>
      </c>
      <c r="H2807" s="87" t="s">
        <v>66</v>
      </c>
      <c r="I2807" s="223">
        <f>I2808+I2809</f>
        <v>304405.8</v>
      </c>
      <c r="J2807" s="223">
        <f>J2808+J2809</f>
        <v>362</v>
      </c>
      <c r="K2807" s="223">
        <f>K2808+K2809</f>
        <v>362</v>
      </c>
    </row>
    <row r="2808" spans="1:11" ht="15.75" customHeight="1" x14ac:dyDescent="0.25">
      <c r="A2808" s="310"/>
      <c r="B2808" s="310"/>
      <c r="C2808" s="333"/>
      <c r="D2808" s="312"/>
      <c r="E2808" s="312"/>
      <c r="F2808" s="313"/>
      <c r="G2808" s="310"/>
      <c r="H2808" s="87" t="s">
        <v>67</v>
      </c>
      <c r="I2808" s="223">
        <f>K2808*D2807</f>
        <v>297678.59999999998</v>
      </c>
      <c r="J2808" s="223">
        <f>I2808/D2807</f>
        <v>354</v>
      </c>
      <c r="K2808" s="223">
        <v>354</v>
      </c>
    </row>
    <row r="2809" spans="1:11" ht="15.75" customHeight="1" x14ac:dyDescent="0.25">
      <c r="A2809" s="310"/>
      <c r="B2809" s="310"/>
      <c r="C2809" s="333"/>
      <c r="D2809" s="312"/>
      <c r="E2809" s="312"/>
      <c r="F2809" s="313"/>
      <c r="G2809" s="310"/>
      <c r="H2809" s="87" t="s">
        <v>69</v>
      </c>
      <c r="I2809" s="223">
        <f>D2807*K2809</f>
        <v>6727.2</v>
      </c>
      <c r="J2809" s="223">
        <f>I2809/D2807</f>
        <v>8</v>
      </c>
      <c r="K2809" s="223">
        <v>8</v>
      </c>
    </row>
    <row r="2810" spans="1:11" ht="15.75" customHeight="1" x14ac:dyDescent="0.25">
      <c r="A2810" s="310">
        <f>A2807+1</f>
        <v>23</v>
      </c>
      <c r="B2810" s="310">
        <v>262</v>
      </c>
      <c r="C2810" s="333" t="s">
        <v>626</v>
      </c>
      <c r="D2810" s="312">
        <v>990.5</v>
      </c>
      <c r="E2810" s="312" t="s">
        <v>73</v>
      </c>
      <c r="F2810" s="313">
        <v>3</v>
      </c>
      <c r="G2810" s="310" t="s">
        <v>74</v>
      </c>
      <c r="H2810" s="87" t="s">
        <v>66</v>
      </c>
      <c r="I2810" s="223">
        <f>I2811+I2812</f>
        <v>358561</v>
      </c>
      <c r="J2810" s="223">
        <f>J2811+J2812</f>
        <v>362</v>
      </c>
      <c r="K2810" s="223">
        <f>K2811+K2812</f>
        <v>362</v>
      </c>
    </row>
    <row r="2811" spans="1:11" ht="15.75" customHeight="1" x14ac:dyDescent="0.25">
      <c r="A2811" s="310"/>
      <c r="B2811" s="310"/>
      <c r="C2811" s="333"/>
      <c r="D2811" s="312"/>
      <c r="E2811" s="312"/>
      <c r="F2811" s="313"/>
      <c r="G2811" s="310"/>
      <c r="H2811" s="87" t="s">
        <v>67</v>
      </c>
      <c r="I2811" s="223">
        <f>K2811*D2810</f>
        <v>350637</v>
      </c>
      <c r="J2811" s="223">
        <f>I2811/D2810</f>
        <v>354</v>
      </c>
      <c r="K2811" s="223">
        <v>354</v>
      </c>
    </row>
    <row r="2812" spans="1:11" ht="15.75" customHeight="1" x14ac:dyDescent="0.25">
      <c r="A2812" s="310"/>
      <c r="B2812" s="310"/>
      <c r="C2812" s="333"/>
      <c r="D2812" s="312"/>
      <c r="E2812" s="312"/>
      <c r="F2812" s="313"/>
      <c r="G2812" s="310"/>
      <c r="H2812" s="87" t="s">
        <v>69</v>
      </c>
      <c r="I2812" s="223">
        <f>D2810*K2812</f>
        <v>7924</v>
      </c>
      <c r="J2812" s="223">
        <f>I2812/D2810</f>
        <v>8</v>
      </c>
      <c r="K2812" s="223">
        <v>8</v>
      </c>
    </row>
    <row r="2813" spans="1:11" ht="15.75" customHeight="1" x14ac:dyDescent="0.25">
      <c r="A2813" s="310">
        <f>A2810+1</f>
        <v>24</v>
      </c>
      <c r="B2813" s="310">
        <v>263</v>
      </c>
      <c r="C2813" s="333" t="s">
        <v>627</v>
      </c>
      <c r="D2813" s="312">
        <v>994.7</v>
      </c>
      <c r="E2813" s="312" t="s">
        <v>73</v>
      </c>
      <c r="F2813" s="313">
        <v>3</v>
      </c>
      <c r="G2813" s="310" t="s">
        <v>74</v>
      </c>
      <c r="H2813" s="87" t="s">
        <v>66</v>
      </c>
      <c r="I2813" s="223">
        <f>I2814+I2815</f>
        <v>360081.4</v>
      </c>
      <c r="J2813" s="223">
        <f>J2814+J2815</f>
        <v>362</v>
      </c>
      <c r="K2813" s="223">
        <f>K2814+K2815</f>
        <v>362</v>
      </c>
    </row>
    <row r="2814" spans="1:11" ht="15.75" customHeight="1" x14ac:dyDescent="0.25">
      <c r="A2814" s="310"/>
      <c r="B2814" s="310"/>
      <c r="C2814" s="333"/>
      <c r="D2814" s="312"/>
      <c r="E2814" s="312"/>
      <c r="F2814" s="313"/>
      <c r="G2814" s="310"/>
      <c r="H2814" s="87" t="s">
        <v>67</v>
      </c>
      <c r="I2814" s="223">
        <f>K2814*D2813</f>
        <v>352123.8</v>
      </c>
      <c r="J2814" s="223">
        <f>I2814/D2813</f>
        <v>354</v>
      </c>
      <c r="K2814" s="223">
        <v>354</v>
      </c>
    </row>
    <row r="2815" spans="1:11" ht="15.75" customHeight="1" x14ac:dyDescent="0.25">
      <c r="A2815" s="310"/>
      <c r="B2815" s="310"/>
      <c r="C2815" s="333"/>
      <c r="D2815" s="312"/>
      <c r="E2815" s="312"/>
      <c r="F2815" s="313"/>
      <c r="G2815" s="310"/>
      <c r="H2815" s="87" t="s">
        <v>69</v>
      </c>
      <c r="I2815" s="223">
        <f>D2813*K2815</f>
        <v>7957.6</v>
      </c>
      <c r="J2815" s="223">
        <f>I2815/D2813</f>
        <v>8</v>
      </c>
      <c r="K2815" s="223">
        <v>8</v>
      </c>
    </row>
    <row r="2816" spans="1:11" ht="15.75" customHeight="1" x14ac:dyDescent="0.25">
      <c r="A2816" s="310">
        <f>A2813+1</f>
        <v>25</v>
      </c>
      <c r="B2816" s="310">
        <v>245</v>
      </c>
      <c r="C2816" s="333" t="s">
        <v>628</v>
      </c>
      <c r="D2816" s="312">
        <v>2691.8</v>
      </c>
      <c r="E2816" s="312" t="s">
        <v>68</v>
      </c>
      <c r="F2816" s="313">
        <v>4</v>
      </c>
      <c r="G2816" s="310" t="s">
        <v>74</v>
      </c>
      <c r="H2816" s="87" t="s">
        <v>66</v>
      </c>
      <c r="I2816" s="223">
        <f>I2817+I2818</f>
        <v>974431.6</v>
      </c>
      <c r="J2816" s="223">
        <f>J2817+J2818</f>
        <v>362</v>
      </c>
      <c r="K2816" s="223">
        <f>K2817+K2818</f>
        <v>362</v>
      </c>
    </row>
    <row r="2817" spans="1:11" ht="15.75" customHeight="1" x14ac:dyDescent="0.25">
      <c r="A2817" s="310"/>
      <c r="B2817" s="310"/>
      <c r="C2817" s="333"/>
      <c r="D2817" s="312"/>
      <c r="E2817" s="312"/>
      <c r="F2817" s="313"/>
      <c r="G2817" s="310"/>
      <c r="H2817" s="87" t="s">
        <v>67</v>
      </c>
      <c r="I2817" s="223">
        <f>K2817*D2816</f>
        <v>952897.2</v>
      </c>
      <c r="J2817" s="223">
        <f>I2817/D2816</f>
        <v>354</v>
      </c>
      <c r="K2817" s="223">
        <v>354</v>
      </c>
    </row>
    <row r="2818" spans="1:11" ht="15.75" customHeight="1" x14ac:dyDescent="0.25">
      <c r="A2818" s="310"/>
      <c r="B2818" s="310"/>
      <c r="C2818" s="333"/>
      <c r="D2818" s="312"/>
      <c r="E2818" s="312"/>
      <c r="F2818" s="313"/>
      <c r="G2818" s="310"/>
      <c r="H2818" s="87" t="s">
        <v>69</v>
      </c>
      <c r="I2818" s="223">
        <f>D2816*K2818</f>
        <v>21534.400000000001</v>
      </c>
      <c r="J2818" s="223">
        <f>I2818/D2816</f>
        <v>8</v>
      </c>
      <c r="K2818" s="223">
        <v>8</v>
      </c>
    </row>
    <row r="2819" spans="1:11" ht="15.75" customHeight="1" x14ac:dyDescent="0.25">
      <c r="A2819" s="310">
        <f>A2816+1</f>
        <v>26</v>
      </c>
      <c r="B2819" s="310">
        <v>352</v>
      </c>
      <c r="C2819" s="333" t="s">
        <v>629</v>
      </c>
      <c r="D2819" s="312">
        <v>1250.22</v>
      </c>
      <c r="E2819" s="312" t="s">
        <v>68</v>
      </c>
      <c r="F2819" s="313">
        <v>4</v>
      </c>
      <c r="G2819" s="310" t="s">
        <v>74</v>
      </c>
      <c r="H2819" s="87" t="s">
        <v>66</v>
      </c>
      <c r="I2819" s="223">
        <f>I2820+I2821</f>
        <v>452579.64</v>
      </c>
      <c r="J2819" s="223">
        <f>J2820+J2821</f>
        <v>362</v>
      </c>
      <c r="K2819" s="223">
        <f>K2820+K2821</f>
        <v>362</v>
      </c>
    </row>
    <row r="2820" spans="1:11" ht="15.75" customHeight="1" x14ac:dyDescent="0.25">
      <c r="A2820" s="310"/>
      <c r="B2820" s="310"/>
      <c r="C2820" s="333"/>
      <c r="D2820" s="312"/>
      <c r="E2820" s="312"/>
      <c r="F2820" s="313"/>
      <c r="G2820" s="310"/>
      <c r="H2820" s="87" t="s">
        <v>67</v>
      </c>
      <c r="I2820" s="223">
        <f>K2820*D2819</f>
        <v>442577.88</v>
      </c>
      <c r="J2820" s="223">
        <f>I2820/D2819</f>
        <v>354</v>
      </c>
      <c r="K2820" s="223">
        <v>354</v>
      </c>
    </row>
    <row r="2821" spans="1:11" ht="15.75" customHeight="1" x14ac:dyDescent="0.25">
      <c r="A2821" s="310"/>
      <c r="B2821" s="310"/>
      <c r="C2821" s="333"/>
      <c r="D2821" s="312"/>
      <c r="E2821" s="312"/>
      <c r="F2821" s="313"/>
      <c r="G2821" s="310"/>
      <c r="H2821" s="87" t="s">
        <v>69</v>
      </c>
      <c r="I2821" s="223">
        <f>D2819*K2821</f>
        <v>10001.76</v>
      </c>
      <c r="J2821" s="223">
        <f>I2821/D2819</f>
        <v>8</v>
      </c>
      <c r="K2821" s="223">
        <v>8</v>
      </c>
    </row>
    <row r="2822" spans="1:11" ht="15.75" customHeight="1" x14ac:dyDescent="0.25">
      <c r="A2822" s="307">
        <f>A2819+1</f>
        <v>27</v>
      </c>
      <c r="B2822" s="307">
        <v>1239</v>
      </c>
      <c r="C2822" s="315" t="s">
        <v>630</v>
      </c>
      <c r="D2822" s="318">
        <v>6398.3</v>
      </c>
      <c r="E2822" s="307" t="s">
        <v>68</v>
      </c>
      <c r="F2822" s="307">
        <v>9</v>
      </c>
      <c r="G2822" s="145"/>
      <c r="H2822" s="87" t="s">
        <v>66</v>
      </c>
      <c r="I2822" s="223">
        <f>I2823+I2824+I2825+I2826+I2827+I2828</f>
        <v>6868854</v>
      </c>
      <c r="J2822" s="223">
        <f>J2823+J2824+J2825+J2826+J2827+J2828</f>
        <v>1073.54</v>
      </c>
      <c r="K2822" s="223">
        <f>K2823+K2824+K2825+K2826+K2827+K2828</f>
        <v>1073.54</v>
      </c>
    </row>
    <row r="2823" spans="1:11" ht="15.75" customHeight="1" x14ac:dyDescent="0.25">
      <c r="A2823" s="308"/>
      <c r="B2823" s="308"/>
      <c r="C2823" s="317"/>
      <c r="D2823" s="319"/>
      <c r="E2823" s="308"/>
      <c r="F2823" s="308"/>
      <c r="G2823" s="307" t="s">
        <v>170</v>
      </c>
      <c r="H2823" s="87" t="s">
        <v>171</v>
      </c>
      <c r="I2823" s="223">
        <v>2241647</v>
      </c>
      <c r="J2823" s="223">
        <f>I2823/D2822</f>
        <v>350.35</v>
      </c>
      <c r="K2823" s="223">
        <f>2241647/D2822</f>
        <v>350.35</v>
      </c>
    </row>
    <row r="2824" spans="1:11" ht="15.75" customHeight="1" x14ac:dyDescent="0.25">
      <c r="A2824" s="308"/>
      <c r="B2824" s="308"/>
      <c r="C2824" s="317"/>
      <c r="D2824" s="319"/>
      <c r="E2824" s="308"/>
      <c r="F2824" s="308"/>
      <c r="G2824" s="309"/>
      <c r="H2824" s="87" t="s">
        <v>69</v>
      </c>
      <c r="I2824" s="223">
        <v>47971</v>
      </c>
      <c r="J2824" s="223">
        <f>I2824/D2822</f>
        <v>7.5</v>
      </c>
      <c r="K2824" s="223">
        <f>47971/D2822</f>
        <v>7.5</v>
      </c>
    </row>
    <row r="2825" spans="1:11" ht="15.75" customHeight="1" x14ac:dyDescent="0.25">
      <c r="A2825" s="308"/>
      <c r="B2825" s="308"/>
      <c r="C2825" s="317"/>
      <c r="D2825" s="319"/>
      <c r="E2825" s="308"/>
      <c r="F2825" s="308"/>
      <c r="G2825" s="307" t="s">
        <v>173</v>
      </c>
      <c r="H2825" s="87" t="s">
        <v>171</v>
      </c>
      <c r="I2825" s="223">
        <v>2241647</v>
      </c>
      <c r="J2825" s="223">
        <f>I2825/D2822-0.01</f>
        <v>350.34</v>
      </c>
      <c r="K2825" s="223">
        <f>2241647/D2822-0.01</f>
        <v>350.34</v>
      </c>
    </row>
    <row r="2826" spans="1:11" ht="15.75" customHeight="1" x14ac:dyDescent="0.25">
      <c r="A2826" s="308"/>
      <c r="B2826" s="308"/>
      <c r="C2826" s="317"/>
      <c r="D2826" s="319"/>
      <c r="E2826" s="308"/>
      <c r="F2826" s="308"/>
      <c r="G2826" s="309"/>
      <c r="H2826" s="87" t="s">
        <v>69</v>
      </c>
      <c r="I2826" s="223">
        <v>47971</v>
      </c>
      <c r="J2826" s="223">
        <f>I2826/D2822</f>
        <v>7.5</v>
      </c>
      <c r="K2826" s="223">
        <f>47971/D2822</f>
        <v>7.5</v>
      </c>
    </row>
    <row r="2827" spans="1:11" ht="15.75" customHeight="1" x14ac:dyDescent="0.25">
      <c r="A2827" s="308"/>
      <c r="B2827" s="308"/>
      <c r="C2827" s="317"/>
      <c r="D2827" s="319"/>
      <c r="E2827" s="308"/>
      <c r="F2827" s="308"/>
      <c r="G2827" s="307" t="s">
        <v>174</v>
      </c>
      <c r="H2827" s="87" t="s">
        <v>171</v>
      </c>
      <c r="I2827" s="223">
        <v>2241647</v>
      </c>
      <c r="J2827" s="223">
        <f>I2827/D2822</f>
        <v>350.35</v>
      </c>
      <c r="K2827" s="223">
        <f>2241647/D2822</f>
        <v>350.35</v>
      </c>
    </row>
    <row r="2828" spans="1:11" ht="15.75" customHeight="1" x14ac:dyDescent="0.25">
      <c r="A2828" s="308"/>
      <c r="B2828" s="308"/>
      <c r="C2828" s="317"/>
      <c r="D2828" s="319"/>
      <c r="E2828" s="308"/>
      <c r="F2828" s="308"/>
      <c r="G2828" s="309"/>
      <c r="H2828" s="87" t="s">
        <v>69</v>
      </c>
      <c r="I2828" s="223">
        <v>47971</v>
      </c>
      <c r="J2828" s="223">
        <f>I2828/D2822</f>
        <v>7.5</v>
      </c>
      <c r="K2828" s="223">
        <f>47971/D2822</f>
        <v>7.5</v>
      </c>
    </row>
    <row r="2829" spans="1:11" x14ac:dyDescent="0.25">
      <c r="A2829" s="307">
        <f>A2822+1</f>
        <v>28</v>
      </c>
      <c r="B2829" s="307">
        <v>1242</v>
      </c>
      <c r="C2829" s="315" t="s">
        <v>198</v>
      </c>
      <c r="D2829" s="318">
        <v>10059.200000000001</v>
      </c>
      <c r="E2829" s="318" t="s">
        <v>64</v>
      </c>
      <c r="F2829" s="330">
        <v>9</v>
      </c>
      <c r="G2829" s="121"/>
      <c r="H2829" s="87" t="s">
        <v>66</v>
      </c>
      <c r="I2829" s="223">
        <f>I2830+I2831+I2832+I2833+I2834+I2835</f>
        <v>13709491.09</v>
      </c>
      <c r="J2829" s="223">
        <f>J2830+J2831+J2832+J2833+J2834+J2835</f>
        <v>1362.88</v>
      </c>
      <c r="K2829" s="223">
        <f>K2830+K2831+K2832+K2833+K2834+K2835</f>
        <v>3419</v>
      </c>
    </row>
    <row r="2830" spans="1:11" x14ac:dyDescent="0.25">
      <c r="A2830" s="308"/>
      <c r="B2830" s="308"/>
      <c r="C2830" s="317"/>
      <c r="D2830" s="308"/>
      <c r="E2830" s="319"/>
      <c r="F2830" s="331"/>
      <c r="G2830" s="307" t="s">
        <v>70</v>
      </c>
      <c r="H2830" s="87" t="s">
        <v>67</v>
      </c>
      <c r="I2830" s="223">
        <f>(12281670+69910+98965+6909)*1.02*1.2*0.7</f>
        <v>10673546.59</v>
      </c>
      <c r="J2830" s="223">
        <f>I2830/D2829</f>
        <v>1061.07</v>
      </c>
      <c r="K2830" s="223">
        <v>2292</v>
      </c>
    </row>
    <row r="2831" spans="1:11" x14ac:dyDescent="0.25">
      <c r="A2831" s="308"/>
      <c r="B2831" s="308"/>
      <c r="C2831" s="317"/>
      <c r="D2831" s="308"/>
      <c r="E2831" s="319"/>
      <c r="F2831" s="331"/>
      <c r="G2831" s="309"/>
      <c r="H2831" s="87" t="s">
        <v>69</v>
      </c>
      <c r="I2831" s="223">
        <f>15247923.7*0.0214</f>
        <v>326305.57</v>
      </c>
      <c r="J2831" s="223">
        <f>I2831/D2829</f>
        <v>32.44</v>
      </c>
      <c r="K2831" s="223">
        <v>49</v>
      </c>
    </row>
    <row r="2832" spans="1:11" x14ac:dyDescent="0.25">
      <c r="A2832" s="308"/>
      <c r="B2832" s="308"/>
      <c r="C2832" s="317"/>
      <c r="D2832" s="308"/>
      <c r="E2832" s="319"/>
      <c r="F2832" s="331"/>
      <c r="G2832" s="307" t="s">
        <v>71</v>
      </c>
      <c r="H2832" s="87" t="s">
        <v>67</v>
      </c>
      <c r="I2832" s="223">
        <f>(1166903)*1.02*1.2*0.7</f>
        <v>999802.49</v>
      </c>
      <c r="J2832" s="223">
        <f>I2832/D2829</f>
        <v>99.39</v>
      </c>
      <c r="K2832" s="223">
        <v>513</v>
      </c>
    </row>
    <row r="2833" spans="1:11" x14ac:dyDescent="0.25">
      <c r="A2833" s="308"/>
      <c r="B2833" s="308"/>
      <c r="C2833" s="317"/>
      <c r="D2833" s="308"/>
      <c r="E2833" s="319"/>
      <c r="F2833" s="331"/>
      <c r="G2833" s="309"/>
      <c r="H2833" s="87" t="s">
        <v>69</v>
      </c>
      <c r="I2833" s="223">
        <f>1428289.27*0.0214</f>
        <v>30565.39</v>
      </c>
      <c r="J2833" s="223">
        <f>I2833/D2829</f>
        <v>3.04</v>
      </c>
      <c r="K2833" s="223">
        <v>11</v>
      </c>
    </row>
    <row r="2834" spans="1:11" x14ac:dyDescent="0.25">
      <c r="A2834" s="308"/>
      <c r="B2834" s="308"/>
      <c r="C2834" s="317"/>
      <c r="D2834" s="308"/>
      <c r="E2834" s="319"/>
      <c r="F2834" s="331"/>
      <c r="G2834" s="307" t="s">
        <v>72</v>
      </c>
      <c r="H2834" s="87" t="s">
        <v>67</v>
      </c>
      <c r="I2834" s="223">
        <f>(1901793)*1.02*1.2*0.7</f>
        <v>1629456.24</v>
      </c>
      <c r="J2834" s="223">
        <f>I2834/D2829</f>
        <v>161.99</v>
      </c>
      <c r="K2834" s="223">
        <v>542</v>
      </c>
    </row>
    <row r="2835" spans="1:11" x14ac:dyDescent="0.25">
      <c r="A2835" s="309"/>
      <c r="B2835" s="309"/>
      <c r="C2835" s="316"/>
      <c r="D2835" s="309"/>
      <c r="E2835" s="329"/>
      <c r="F2835" s="332"/>
      <c r="G2835" s="309"/>
      <c r="H2835" s="87" t="s">
        <v>69</v>
      </c>
      <c r="I2835" s="223">
        <f>2327794.63*0.0214</f>
        <v>49814.81</v>
      </c>
      <c r="J2835" s="223">
        <f>I2835/D2829</f>
        <v>4.95</v>
      </c>
      <c r="K2835" s="223">
        <v>12</v>
      </c>
    </row>
    <row r="2836" spans="1:11" ht="15.75" customHeight="1" x14ac:dyDescent="0.25">
      <c r="A2836" s="307">
        <f>A2829+1</f>
        <v>29</v>
      </c>
      <c r="B2836" s="307">
        <v>1397</v>
      </c>
      <c r="C2836" s="315" t="s">
        <v>631</v>
      </c>
      <c r="D2836" s="318">
        <v>7809.1</v>
      </c>
      <c r="E2836" s="307" t="s">
        <v>68</v>
      </c>
      <c r="F2836" s="307">
        <v>9</v>
      </c>
      <c r="G2836" s="145"/>
      <c r="H2836" s="87" t="s">
        <v>66</v>
      </c>
      <c r="I2836" s="223">
        <f>I2837+I2838+I2839+I2840+I2841+I2842+I2843+I2844</f>
        <v>9158472</v>
      </c>
      <c r="J2836" s="223">
        <f>J2837+J2838+J2839+J2840+J2841+J2842+J2843+J2844</f>
        <v>1172.79</v>
      </c>
      <c r="K2836" s="223">
        <f>K2837+K2838+K2839+K2840+K2841+K2842+K2843+K2844</f>
        <v>1172.79</v>
      </c>
    </row>
    <row r="2837" spans="1:11" ht="15.75" customHeight="1" x14ac:dyDescent="0.25">
      <c r="A2837" s="308"/>
      <c r="B2837" s="308"/>
      <c r="C2837" s="317"/>
      <c r="D2837" s="319"/>
      <c r="E2837" s="308"/>
      <c r="F2837" s="308"/>
      <c r="G2837" s="307" t="s">
        <v>170</v>
      </c>
      <c r="H2837" s="87" t="s">
        <v>171</v>
      </c>
      <c r="I2837" s="223">
        <v>2241647</v>
      </c>
      <c r="J2837" s="223">
        <f>I2837/D2836</f>
        <v>287.06</v>
      </c>
      <c r="K2837" s="223">
        <f>2241647/D2836</f>
        <v>287.06</v>
      </c>
    </row>
    <row r="2838" spans="1:11" ht="15.75" customHeight="1" x14ac:dyDescent="0.25">
      <c r="A2838" s="308"/>
      <c r="B2838" s="308"/>
      <c r="C2838" s="317"/>
      <c r="D2838" s="319"/>
      <c r="E2838" s="308"/>
      <c r="F2838" s="308"/>
      <c r="G2838" s="309"/>
      <c r="H2838" s="87" t="s">
        <v>69</v>
      </c>
      <c r="I2838" s="223">
        <v>47971</v>
      </c>
      <c r="J2838" s="223">
        <f>I2838/D2836</f>
        <v>6.14</v>
      </c>
      <c r="K2838" s="223">
        <f>47971/D2836</f>
        <v>6.14</v>
      </c>
    </row>
    <row r="2839" spans="1:11" ht="15.75" customHeight="1" x14ac:dyDescent="0.25">
      <c r="A2839" s="308"/>
      <c r="B2839" s="308"/>
      <c r="C2839" s="317"/>
      <c r="D2839" s="319"/>
      <c r="E2839" s="308"/>
      <c r="F2839" s="308"/>
      <c r="G2839" s="307" t="s">
        <v>173</v>
      </c>
      <c r="H2839" s="87" t="s">
        <v>171</v>
      </c>
      <c r="I2839" s="223">
        <v>2241647</v>
      </c>
      <c r="J2839" s="223">
        <f>I2839/D2836</f>
        <v>287.06</v>
      </c>
      <c r="K2839" s="223">
        <f>2241647/D2836</f>
        <v>287.06</v>
      </c>
    </row>
    <row r="2840" spans="1:11" ht="15.75" customHeight="1" x14ac:dyDescent="0.25">
      <c r="A2840" s="308"/>
      <c r="B2840" s="308"/>
      <c r="C2840" s="317"/>
      <c r="D2840" s="319"/>
      <c r="E2840" s="308"/>
      <c r="F2840" s="308"/>
      <c r="G2840" s="309"/>
      <c r="H2840" s="87" t="s">
        <v>69</v>
      </c>
      <c r="I2840" s="223">
        <v>47971</v>
      </c>
      <c r="J2840" s="223">
        <f>I2840/D2836</f>
        <v>6.14</v>
      </c>
      <c r="K2840" s="223">
        <f>47971/D2836</f>
        <v>6.14</v>
      </c>
    </row>
    <row r="2841" spans="1:11" ht="15.75" customHeight="1" x14ac:dyDescent="0.25">
      <c r="A2841" s="308"/>
      <c r="B2841" s="308"/>
      <c r="C2841" s="317"/>
      <c r="D2841" s="319"/>
      <c r="E2841" s="308"/>
      <c r="F2841" s="308"/>
      <c r="G2841" s="307" t="s">
        <v>174</v>
      </c>
      <c r="H2841" s="87" t="s">
        <v>171</v>
      </c>
      <c r="I2841" s="223">
        <v>2241647</v>
      </c>
      <c r="J2841" s="223">
        <f>I2841/D2836-0.01</f>
        <v>287.05</v>
      </c>
      <c r="K2841" s="223">
        <f>2241647/D2836-0.01</f>
        <v>287.05</v>
      </c>
    </row>
    <row r="2842" spans="1:11" ht="15.75" customHeight="1" x14ac:dyDescent="0.25">
      <c r="A2842" s="308"/>
      <c r="B2842" s="308"/>
      <c r="C2842" s="317"/>
      <c r="D2842" s="319"/>
      <c r="E2842" s="308"/>
      <c r="F2842" s="308"/>
      <c r="G2842" s="309"/>
      <c r="H2842" s="87" t="s">
        <v>69</v>
      </c>
      <c r="I2842" s="223">
        <v>47971</v>
      </c>
      <c r="J2842" s="223">
        <f>I2842/D2836</f>
        <v>6.14</v>
      </c>
      <c r="K2842" s="223">
        <f>47971/D2836</f>
        <v>6.14</v>
      </c>
    </row>
    <row r="2843" spans="1:11" ht="15.75" customHeight="1" x14ac:dyDescent="0.25">
      <c r="A2843" s="308"/>
      <c r="B2843" s="308"/>
      <c r="C2843" s="317"/>
      <c r="D2843" s="319"/>
      <c r="E2843" s="308"/>
      <c r="F2843" s="308"/>
      <c r="G2843" s="307" t="s">
        <v>175</v>
      </c>
      <c r="H2843" s="87" t="s">
        <v>171</v>
      </c>
      <c r="I2843" s="223">
        <v>2241647</v>
      </c>
      <c r="J2843" s="223">
        <f>I2843/D2836</f>
        <v>287.06</v>
      </c>
      <c r="K2843" s="223">
        <f>2241647/D2836</f>
        <v>287.06</v>
      </c>
    </row>
    <row r="2844" spans="1:11" ht="15.75" customHeight="1" x14ac:dyDescent="0.25">
      <c r="A2844" s="308"/>
      <c r="B2844" s="308"/>
      <c r="C2844" s="317"/>
      <c r="D2844" s="319"/>
      <c r="E2844" s="308"/>
      <c r="F2844" s="308"/>
      <c r="G2844" s="309"/>
      <c r="H2844" s="87" t="s">
        <v>69</v>
      </c>
      <c r="I2844" s="223">
        <v>47971</v>
      </c>
      <c r="J2844" s="223">
        <f>I2844/D2836</f>
        <v>6.14</v>
      </c>
      <c r="K2844" s="223">
        <f>47971/D2836</f>
        <v>6.14</v>
      </c>
    </row>
    <row r="2845" spans="1:11" x14ac:dyDescent="0.25">
      <c r="A2845" s="310">
        <f>A2836+1</f>
        <v>30</v>
      </c>
      <c r="B2845" s="310">
        <v>1279</v>
      </c>
      <c r="C2845" s="333" t="s">
        <v>370</v>
      </c>
      <c r="D2845" s="312">
        <v>4031.2</v>
      </c>
      <c r="E2845" s="312" t="s">
        <v>68</v>
      </c>
      <c r="F2845" s="313">
        <v>5</v>
      </c>
      <c r="G2845" s="310" t="s">
        <v>65</v>
      </c>
      <c r="H2845" s="87" t="s">
        <v>66</v>
      </c>
      <c r="I2845" s="223">
        <f>I2846+I2847</f>
        <v>15632993.6</v>
      </c>
      <c r="J2845" s="223">
        <f>J2846+J2847</f>
        <v>3878</v>
      </c>
      <c r="K2845" s="223">
        <f>K2846+K2847</f>
        <v>3878</v>
      </c>
    </row>
    <row r="2846" spans="1:11" x14ac:dyDescent="0.25">
      <c r="A2846" s="310">
        <v>77</v>
      </c>
      <c r="B2846" s="310"/>
      <c r="C2846" s="333"/>
      <c r="D2846" s="310"/>
      <c r="E2846" s="312"/>
      <c r="F2846" s="313"/>
      <c r="G2846" s="310"/>
      <c r="H2846" s="87" t="s">
        <v>67</v>
      </c>
      <c r="I2846" s="223">
        <f>D2845*K2846</f>
        <v>15306466.4</v>
      </c>
      <c r="J2846" s="223">
        <f>I2846/D2845</f>
        <v>3797</v>
      </c>
      <c r="K2846" s="223">
        <v>3797</v>
      </c>
    </row>
    <row r="2847" spans="1:11" x14ac:dyDescent="0.25">
      <c r="A2847" s="310"/>
      <c r="B2847" s="310"/>
      <c r="C2847" s="333"/>
      <c r="D2847" s="310"/>
      <c r="E2847" s="312"/>
      <c r="F2847" s="313"/>
      <c r="G2847" s="310"/>
      <c r="H2847" s="87" t="s">
        <v>69</v>
      </c>
      <c r="I2847" s="223">
        <f>D2845*K2847</f>
        <v>326527.2</v>
      </c>
      <c r="J2847" s="223">
        <f>I2847/D2845</f>
        <v>81</v>
      </c>
      <c r="K2847" s="223">
        <v>81</v>
      </c>
    </row>
    <row r="2848" spans="1:11" ht="15.75" customHeight="1" x14ac:dyDescent="0.25">
      <c r="A2848" s="310">
        <f>A2845+1</f>
        <v>31</v>
      </c>
      <c r="B2848" s="310">
        <v>1057</v>
      </c>
      <c r="C2848" s="311" t="s">
        <v>535</v>
      </c>
      <c r="D2848" s="312">
        <v>15850.4</v>
      </c>
      <c r="E2848" s="312" t="s">
        <v>64</v>
      </c>
      <c r="F2848" s="313">
        <v>10</v>
      </c>
      <c r="G2848" s="145"/>
      <c r="H2848" s="87" t="s">
        <v>66</v>
      </c>
      <c r="I2848" s="223">
        <f>I2849+I2850</f>
        <v>39499196.799999997</v>
      </c>
      <c r="J2848" s="223">
        <f>J2849+J2850</f>
        <v>2492</v>
      </c>
      <c r="K2848" s="223">
        <f>K2849+K2850</f>
        <v>2492</v>
      </c>
    </row>
    <row r="2849" spans="1:11" x14ac:dyDescent="0.25">
      <c r="A2849" s="310">
        <v>756</v>
      </c>
      <c r="B2849" s="310"/>
      <c r="C2849" s="311"/>
      <c r="D2849" s="312"/>
      <c r="E2849" s="312"/>
      <c r="F2849" s="313"/>
      <c r="G2849" s="307" t="s">
        <v>65</v>
      </c>
      <c r="H2849" s="87" t="s">
        <v>67</v>
      </c>
      <c r="I2849" s="223">
        <f>D2848*K2849</f>
        <v>38674976</v>
      </c>
      <c r="J2849" s="223">
        <f>I2849/D2848</f>
        <v>2440</v>
      </c>
      <c r="K2849" s="223">
        <v>2440</v>
      </c>
    </row>
    <row r="2850" spans="1:11" x14ac:dyDescent="0.25">
      <c r="A2850" s="310">
        <v>757</v>
      </c>
      <c r="B2850" s="310"/>
      <c r="C2850" s="311"/>
      <c r="D2850" s="312"/>
      <c r="E2850" s="312"/>
      <c r="F2850" s="313"/>
      <c r="G2850" s="309"/>
      <c r="H2850" s="87" t="s">
        <v>69</v>
      </c>
      <c r="I2850" s="223">
        <f>D2848*K2850</f>
        <v>824220.8</v>
      </c>
      <c r="J2850" s="223">
        <f>I2850/D2848</f>
        <v>52</v>
      </c>
      <c r="K2850" s="223">
        <v>52</v>
      </c>
    </row>
    <row r="2851" spans="1:11" ht="15.75" customHeight="1" x14ac:dyDescent="0.25">
      <c r="A2851" s="310">
        <f>A2848+1</f>
        <v>32</v>
      </c>
      <c r="B2851" s="310">
        <v>1020</v>
      </c>
      <c r="C2851" s="333" t="s">
        <v>632</v>
      </c>
      <c r="D2851" s="312">
        <v>2062.31</v>
      </c>
      <c r="E2851" s="312" t="s">
        <v>68</v>
      </c>
      <c r="F2851" s="313">
        <v>3</v>
      </c>
      <c r="G2851" s="310" t="s">
        <v>74</v>
      </c>
      <c r="H2851" s="87" t="s">
        <v>66</v>
      </c>
      <c r="I2851" s="223">
        <f>I2852+I2853</f>
        <v>746556.22</v>
      </c>
      <c r="J2851" s="223">
        <f>J2852+J2853</f>
        <v>362</v>
      </c>
      <c r="K2851" s="223">
        <f>K2852+K2853</f>
        <v>362</v>
      </c>
    </row>
    <row r="2852" spans="1:11" ht="15.75" customHeight="1" x14ac:dyDescent="0.25">
      <c r="A2852" s="310"/>
      <c r="B2852" s="310"/>
      <c r="C2852" s="333"/>
      <c r="D2852" s="312"/>
      <c r="E2852" s="312"/>
      <c r="F2852" s="313"/>
      <c r="G2852" s="310"/>
      <c r="H2852" s="87" t="s">
        <v>67</v>
      </c>
      <c r="I2852" s="223">
        <f>K2852*D2851</f>
        <v>730057.74</v>
      </c>
      <c r="J2852" s="223">
        <f>I2852/D2851</f>
        <v>354</v>
      </c>
      <c r="K2852" s="223">
        <v>354</v>
      </c>
    </row>
    <row r="2853" spans="1:11" ht="15.75" customHeight="1" x14ac:dyDescent="0.25">
      <c r="A2853" s="310"/>
      <c r="B2853" s="310"/>
      <c r="C2853" s="333"/>
      <c r="D2853" s="312"/>
      <c r="E2853" s="312"/>
      <c r="F2853" s="313"/>
      <c r="G2853" s="310"/>
      <c r="H2853" s="87" t="s">
        <v>69</v>
      </c>
      <c r="I2853" s="223">
        <f>D2851*K2853</f>
        <v>16498.48</v>
      </c>
      <c r="J2853" s="223">
        <f>I2853/D2851</f>
        <v>8</v>
      </c>
      <c r="K2853" s="223">
        <v>8</v>
      </c>
    </row>
    <row r="2854" spans="1:11" x14ac:dyDescent="0.25">
      <c r="A2854" s="310">
        <f>A2851+1</f>
        <v>33</v>
      </c>
      <c r="B2854" s="310">
        <v>1417</v>
      </c>
      <c r="C2854" s="333" t="s">
        <v>371</v>
      </c>
      <c r="D2854" s="312">
        <v>37493.51</v>
      </c>
      <c r="E2854" s="312" t="s">
        <v>64</v>
      </c>
      <c r="F2854" s="313">
        <v>10</v>
      </c>
      <c r="G2854" s="310" t="s">
        <v>65</v>
      </c>
      <c r="H2854" s="87" t="s">
        <v>66</v>
      </c>
      <c r="I2854" s="223">
        <f>I2855+I2856</f>
        <v>53295852.82</v>
      </c>
      <c r="J2854" s="223">
        <f>J2855+J2856</f>
        <v>1421.47</v>
      </c>
      <c r="K2854" s="223">
        <f>K2855+K2856</f>
        <v>2492</v>
      </c>
    </row>
    <row r="2855" spans="1:11" x14ac:dyDescent="0.25">
      <c r="A2855" s="310">
        <v>77</v>
      </c>
      <c r="B2855" s="310"/>
      <c r="C2855" s="333"/>
      <c r="D2855" s="310"/>
      <c r="E2855" s="312"/>
      <c r="F2855" s="313"/>
      <c r="G2855" s="310"/>
      <c r="H2855" s="87" t="s">
        <v>67</v>
      </c>
      <c r="I2855" s="223">
        <v>52179217.560000002</v>
      </c>
      <c r="J2855" s="223">
        <f>I2855/D2854</f>
        <v>1391.69</v>
      </c>
      <c r="K2855" s="223">
        <v>2440</v>
      </c>
    </row>
    <row r="2856" spans="1:11" x14ac:dyDescent="0.25">
      <c r="A2856" s="310"/>
      <c r="B2856" s="310"/>
      <c r="C2856" s="333"/>
      <c r="D2856" s="310"/>
      <c r="E2856" s="312"/>
      <c r="F2856" s="313"/>
      <c r="G2856" s="310"/>
      <c r="H2856" s="87" t="s">
        <v>69</v>
      </c>
      <c r="I2856" s="223">
        <f>I2855*0.0214</f>
        <v>1116635.26</v>
      </c>
      <c r="J2856" s="223">
        <f>I2856/D2854</f>
        <v>29.78</v>
      </c>
      <c r="K2856" s="223">
        <v>52</v>
      </c>
    </row>
    <row r="2857" spans="1:11" x14ac:dyDescent="0.25">
      <c r="A2857" s="310">
        <f>A2854+1</f>
        <v>34</v>
      </c>
      <c r="B2857" s="310">
        <v>1362</v>
      </c>
      <c r="C2857" s="333" t="s">
        <v>199</v>
      </c>
      <c r="D2857" s="312">
        <v>16594.099999999999</v>
      </c>
      <c r="E2857" s="312" t="s">
        <v>64</v>
      </c>
      <c r="F2857" s="313">
        <v>9</v>
      </c>
      <c r="G2857" s="310" t="s">
        <v>70</v>
      </c>
      <c r="H2857" s="87" t="s">
        <v>66</v>
      </c>
      <c r="I2857" s="223">
        <f>I2858+I2859</f>
        <v>19079896.18</v>
      </c>
      <c r="J2857" s="223">
        <f>J2858+J2859</f>
        <v>1149.8</v>
      </c>
      <c r="K2857" s="223">
        <f>K2858+K2859</f>
        <v>1628</v>
      </c>
    </row>
    <row r="2858" spans="1:11" x14ac:dyDescent="0.25">
      <c r="A2858" s="310">
        <v>75</v>
      </c>
      <c r="B2858" s="310"/>
      <c r="C2858" s="333"/>
      <c r="D2858" s="310"/>
      <c r="E2858" s="312"/>
      <c r="F2858" s="313"/>
      <c r="G2858" s="310"/>
      <c r="H2858" s="87" t="s">
        <v>67</v>
      </c>
      <c r="I2858" s="223">
        <f>D2857*K2858*0.7</f>
        <v>18515696.780000001</v>
      </c>
      <c r="J2858" s="223">
        <f>I2858/D2857</f>
        <v>1115.8</v>
      </c>
      <c r="K2858" s="223">
        <v>1594</v>
      </c>
    </row>
    <row r="2859" spans="1:11" x14ac:dyDescent="0.25">
      <c r="A2859" s="310"/>
      <c r="B2859" s="310"/>
      <c r="C2859" s="333"/>
      <c r="D2859" s="310"/>
      <c r="E2859" s="312"/>
      <c r="F2859" s="313"/>
      <c r="G2859" s="310"/>
      <c r="H2859" s="87" t="s">
        <v>69</v>
      </c>
      <c r="I2859" s="223">
        <f>D2857*K2859</f>
        <v>564199.4</v>
      </c>
      <c r="J2859" s="223">
        <f>I2859/D2857</f>
        <v>34</v>
      </c>
      <c r="K2859" s="223">
        <v>34</v>
      </c>
    </row>
    <row r="2860" spans="1:11" x14ac:dyDescent="0.25">
      <c r="A2860" s="310">
        <f>A2857+1</f>
        <v>35</v>
      </c>
      <c r="B2860" s="310">
        <v>1628</v>
      </c>
      <c r="C2860" s="333" t="s">
        <v>104</v>
      </c>
      <c r="D2860" s="312">
        <v>6113.76</v>
      </c>
      <c r="E2860" s="312" t="s">
        <v>68</v>
      </c>
      <c r="F2860" s="313">
        <v>5</v>
      </c>
      <c r="G2860" s="310" t="s">
        <v>65</v>
      </c>
      <c r="H2860" s="87" t="s">
        <v>66</v>
      </c>
      <c r="I2860" s="223">
        <f>I2861+I2862</f>
        <v>18173742.350000001</v>
      </c>
      <c r="J2860" s="223">
        <f>J2861+J2862</f>
        <v>2972.6</v>
      </c>
      <c r="K2860" s="223">
        <f>K2861+K2862</f>
        <v>3878</v>
      </c>
    </row>
    <row r="2861" spans="1:11" x14ac:dyDescent="0.25">
      <c r="A2861" s="310">
        <v>77</v>
      </c>
      <c r="B2861" s="310"/>
      <c r="C2861" s="333"/>
      <c r="D2861" s="310"/>
      <c r="E2861" s="312"/>
      <c r="F2861" s="313"/>
      <c r="G2861" s="310"/>
      <c r="H2861" s="87" t="s">
        <v>67</v>
      </c>
      <c r="I2861" s="223">
        <f>(1570943+12602737+2244+360818.43)*1.02*1.2</f>
        <v>17792972.73</v>
      </c>
      <c r="J2861" s="223">
        <f>I2861/D2860</f>
        <v>2910.32</v>
      </c>
      <c r="K2861" s="223">
        <v>3797</v>
      </c>
    </row>
    <row r="2862" spans="1:11" x14ac:dyDescent="0.25">
      <c r="A2862" s="310"/>
      <c r="B2862" s="310"/>
      <c r="C2862" s="333"/>
      <c r="D2862" s="310"/>
      <c r="E2862" s="312"/>
      <c r="F2862" s="313"/>
      <c r="G2862" s="310"/>
      <c r="H2862" s="87" t="s">
        <v>69</v>
      </c>
      <c r="I2862" s="223">
        <f>I2861*0.0214</f>
        <v>380769.62</v>
      </c>
      <c r="J2862" s="223">
        <f>I2862/D2860</f>
        <v>62.28</v>
      </c>
      <c r="K2862" s="223">
        <v>81</v>
      </c>
    </row>
    <row r="2863" spans="1:11" x14ac:dyDescent="0.25">
      <c r="A2863" s="310">
        <f>A2860+1</f>
        <v>36</v>
      </c>
      <c r="B2863" s="310">
        <v>1473</v>
      </c>
      <c r="C2863" s="333" t="s">
        <v>200</v>
      </c>
      <c r="D2863" s="312">
        <v>18544</v>
      </c>
      <c r="E2863" s="312" t="s">
        <v>68</v>
      </c>
      <c r="F2863" s="313">
        <v>10</v>
      </c>
      <c r="G2863" s="310" t="s">
        <v>65</v>
      </c>
      <c r="H2863" s="87" t="s">
        <v>66</v>
      </c>
      <c r="I2863" s="223">
        <f>I2864+I2865</f>
        <v>46211648</v>
      </c>
      <c r="J2863" s="223">
        <f>J2864+J2865</f>
        <v>2492</v>
      </c>
      <c r="K2863" s="223">
        <f>K2864+K2865</f>
        <v>2492</v>
      </c>
    </row>
    <row r="2864" spans="1:11" x14ac:dyDescent="0.25">
      <c r="A2864" s="310">
        <v>77</v>
      </c>
      <c r="B2864" s="310"/>
      <c r="C2864" s="333"/>
      <c r="D2864" s="310"/>
      <c r="E2864" s="312"/>
      <c r="F2864" s="313"/>
      <c r="G2864" s="310"/>
      <c r="H2864" s="87" t="s">
        <v>67</v>
      </c>
      <c r="I2864" s="223">
        <f>D2863*K2864</f>
        <v>45247360</v>
      </c>
      <c r="J2864" s="223">
        <f>I2864/D2863</f>
        <v>2440</v>
      </c>
      <c r="K2864" s="223">
        <v>2440</v>
      </c>
    </row>
    <row r="2865" spans="1:11" x14ac:dyDescent="0.25">
      <c r="A2865" s="310"/>
      <c r="B2865" s="310"/>
      <c r="C2865" s="333"/>
      <c r="D2865" s="310"/>
      <c r="E2865" s="312"/>
      <c r="F2865" s="313"/>
      <c r="G2865" s="310"/>
      <c r="H2865" s="87" t="s">
        <v>69</v>
      </c>
      <c r="I2865" s="223">
        <f>D2863*K2865</f>
        <v>964288</v>
      </c>
      <c r="J2865" s="223">
        <f>I2865/D2863</f>
        <v>52</v>
      </c>
      <c r="K2865" s="223">
        <v>52</v>
      </c>
    </row>
    <row r="2866" spans="1:11" ht="15.75" customHeight="1" x14ac:dyDescent="0.25">
      <c r="A2866" s="310">
        <f>A2863+1</f>
        <v>37</v>
      </c>
      <c r="B2866" s="310">
        <v>3130</v>
      </c>
      <c r="C2866" s="311" t="s">
        <v>742</v>
      </c>
      <c r="D2866" s="312">
        <v>3111.2</v>
      </c>
      <c r="E2866" s="312" t="s">
        <v>68</v>
      </c>
      <c r="F2866" s="313">
        <v>5</v>
      </c>
      <c r="G2866" s="145"/>
      <c r="H2866" s="87" t="s">
        <v>66</v>
      </c>
      <c r="I2866" s="223">
        <f>I2867+I2868</f>
        <v>12065233.6</v>
      </c>
      <c r="J2866" s="223">
        <f>J2867+J2868</f>
        <v>3878</v>
      </c>
      <c r="K2866" s="223">
        <f>K2867+K2868</f>
        <v>3878</v>
      </c>
    </row>
    <row r="2867" spans="1:11" x14ac:dyDescent="0.25">
      <c r="A2867" s="310">
        <v>756</v>
      </c>
      <c r="B2867" s="310"/>
      <c r="C2867" s="311"/>
      <c r="D2867" s="312"/>
      <c r="E2867" s="312"/>
      <c r="F2867" s="313"/>
      <c r="G2867" s="307" t="s">
        <v>65</v>
      </c>
      <c r="H2867" s="87" t="s">
        <v>67</v>
      </c>
      <c r="I2867" s="223">
        <f>D2866*K2867</f>
        <v>11813226.4</v>
      </c>
      <c r="J2867" s="223">
        <f>I2867/D2866</f>
        <v>3797</v>
      </c>
      <c r="K2867" s="223">
        <v>3797</v>
      </c>
    </row>
    <row r="2868" spans="1:11" x14ac:dyDescent="0.25">
      <c r="A2868" s="310">
        <v>757</v>
      </c>
      <c r="B2868" s="310"/>
      <c r="C2868" s="311"/>
      <c r="D2868" s="312"/>
      <c r="E2868" s="312"/>
      <c r="F2868" s="313"/>
      <c r="G2868" s="309"/>
      <c r="H2868" s="87" t="s">
        <v>69</v>
      </c>
      <c r="I2868" s="223">
        <f>D2866*K2868</f>
        <v>252007.2</v>
      </c>
      <c r="J2868" s="223">
        <f>I2868/D2866</f>
        <v>81</v>
      </c>
      <c r="K2868" s="223">
        <v>81</v>
      </c>
    </row>
    <row r="2869" spans="1:11" ht="15.75" customHeight="1" x14ac:dyDescent="0.25">
      <c r="A2869" s="310">
        <f>A2866+1</f>
        <v>38</v>
      </c>
      <c r="B2869" s="310">
        <v>3379</v>
      </c>
      <c r="C2869" s="333" t="s">
        <v>633</v>
      </c>
      <c r="D2869" s="312">
        <v>1879.46</v>
      </c>
      <c r="E2869" s="312" t="s">
        <v>73</v>
      </c>
      <c r="F2869" s="313">
        <v>3</v>
      </c>
      <c r="G2869" s="310" t="s">
        <v>65</v>
      </c>
      <c r="H2869" s="87" t="s">
        <v>66</v>
      </c>
      <c r="I2869" s="223">
        <f>I2870+I2871</f>
        <v>9667942.2400000002</v>
      </c>
      <c r="J2869" s="223">
        <f>J2870+J2871</f>
        <v>5144</v>
      </c>
      <c r="K2869" s="223">
        <f>K2870+K2871</f>
        <v>5144</v>
      </c>
    </row>
    <row r="2870" spans="1:11" ht="15.75" customHeight="1" x14ac:dyDescent="0.25">
      <c r="A2870" s="310">
        <v>77</v>
      </c>
      <c r="B2870" s="310"/>
      <c r="C2870" s="333"/>
      <c r="D2870" s="310"/>
      <c r="E2870" s="312"/>
      <c r="F2870" s="313"/>
      <c r="G2870" s="310"/>
      <c r="H2870" s="87" t="s">
        <v>67</v>
      </c>
      <c r="I2870" s="223">
        <f>D2869*K2870</f>
        <v>9464960.5600000005</v>
      </c>
      <c r="J2870" s="223">
        <f>I2870/D2869</f>
        <v>5036</v>
      </c>
      <c r="K2870" s="223">
        <v>5036</v>
      </c>
    </row>
    <row r="2871" spans="1:11" ht="15.75" customHeight="1" x14ac:dyDescent="0.25">
      <c r="A2871" s="310"/>
      <c r="B2871" s="310"/>
      <c r="C2871" s="333"/>
      <c r="D2871" s="310"/>
      <c r="E2871" s="312"/>
      <c r="F2871" s="313"/>
      <c r="G2871" s="310"/>
      <c r="H2871" s="87" t="s">
        <v>69</v>
      </c>
      <c r="I2871" s="223">
        <f>K2871*D2869</f>
        <v>202981.68</v>
      </c>
      <c r="J2871" s="223">
        <f>I2871/D2869</f>
        <v>108</v>
      </c>
      <c r="K2871" s="223">
        <v>108</v>
      </c>
    </row>
    <row r="2872" spans="1:11" ht="15.75" customHeight="1" x14ac:dyDescent="0.25">
      <c r="A2872" s="310">
        <f>A2869+1</f>
        <v>39</v>
      </c>
      <c r="B2872" s="310">
        <v>3053</v>
      </c>
      <c r="C2872" s="311" t="s">
        <v>743</v>
      </c>
      <c r="D2872" s="312">
        <v>3625.88</v>
      </c>
      <c r="E2872" s="312" t="s">
        <v>64</v>
      </c>
      <c r="F2872" s="313">
        <v>5</v>
      </c>
      <c r="G2872" s="145"/>
      <c r="H2872" s="87" t="s">
        <v>66</v>
      </c>
      <c r="I2872" s="223">
        <f>I2873+I2874</f>
        <v>14061162.640000001</v>
      </c>
      <c r="J2872" s="223">
        <f>J2873+J2874</f>
        <v>3878</v>
      </c>
      <c r="K2872" s="223">
        <f>K2873+K2874</f>
        <v>3878</v>
      </c>
    </row>
    <row r="2873" spans="1:11" x14ac:dyDescent="0.25">
      <c r="A2873" s="310">
        <v>756</v>
      </c>
      <c r="B2873" s="310"/>
      <c r="C2873" s="311"/>
      <c r="D2873" s="312"/>
      <c r="E2873" s="312"/>
      <c r="F2873" s="313"/>
      <c r="G2873" s="307" t="s">
        <v>65</v>
      </c>
      <c r="H2873" s="87" t="s">
        <v>67</v>
      </c>
      <c r="I2873" s="223">
        <f>D2872*K2873</f>
        <v>13767466.359999999</v>
      </c>
      <c r="J2873" s="223">
        <f>I2873/D2872</f>
        <v>3797</v>
      </c>
      <c r="K2873" s="223">
        <v>3797</v>
      </c>
    </row>
    <row r="2874" spans="1:11" x14ac:dyDescent="0.25">
      <c r="A2874" s="310">
        <v>757</v>
      </c>
      <c r="B2874" s="310"/>
      <c r="C2874" s="311"/>
      <c r="D2874" s="312"/>
      <c r="E2874" s="312"/>
      <c r="F2874" s="313"/>
      <c r="G2874" s="309"/>
      <c r="H2874" s="87" t="s">
        <v>69</v>
      </c>
      <c r="I2874" s="223">
        <f>D2872*K2874</f>
        <v>293696.28000000003</v>
      </c>
      <c r="J2874" s="223">
        <f>I2874/D2872</f>
        <v>81</v>
      </c>
      <c r="K2874" s="223">
        <v>81</v>
      </c>
    </row>
    <row r="2875" spans="1:11" ht="15.75" customHeight="1" x14ac:dyDescent="0.25">
      <c r="A2875" s="307">
        <f>A2872+1</f>
        <v>40</v>
      </c>
      <c r="B2875" s="307">
        <v>3081</v>
      </c>
      <c r="C2875" s="315" t="s">
        <v>634</v>
      </c>
      <c r="D2875" s="318">
        <v>12256.9</v>
      </c>
      <c r="E2875" s="307" t="s">
        <v>68</v>
      </c>
      <c r="F2875" s="307">
        <v>9</v>
      </c>
      <c r="G2875" s="145"/>
      <c r="H2875" s="87" t="s">
        <v>66</v>
      </c>
      <c r="I2875" s="223">
        <f>I2876+I2877+I2878+I2879+I2880+I2881</f>
        <v>6868854</v>
      </c>
      <c r="J2875" s="223">
        <f>J2876+J2877+J2878+J2879+J2880+J2881</f>
        <v>560.41</v>
      </c>
      <c r="K2875" s="223">
        <f>K2876+K2877+K2878+K2879+K2880+K2881</f>
        <v>560.41</v>
      </c>
    </row>
    <row r="2876" spans="1:11" ht="15.75" customHeight="1" x14ac:dyDescent="0.25">
      <c r="A2876" s="308"/>
      <c r="B2876" s="308"/>
      <c r="C2876" s="317"/>
      <c r="D2876" s="319"/>
      <c r="E2876" s="308"/>
      <c r="F2876" s="308"/>
      <c r="G2876" s="307" t="s">
        <v>175</v>
      </c>
      <c r="H2876" s="87" t="s">
        <v>171</v>
      </c>
      <c r="I2876" s="223">
        <v>2241647</v>
      </c>
      <c r="J2876" s="223">
        <f>I2876/D2875</f>
        <v>182.89</v>
      </c>
      <c r="K2876" s="223">
        <f>2241647/D2875</f>
        <v>182.89</v>
      </c>
    </row>
    <row r="2877" spans="1:11" ht="15.75" customHeight="1" x14ac:dyDescent="0.25">
      <c r="A2877" s="308"/>
      <c r="B2877" s="308"/>
      <c r="C2877" s="317"/>
      <c r="D2877" s="319"/>
      <c r="E2877" s="308"/>
      <c r="F2877" s="308"/>
      <c r="G2877" s="309"/>
      <c r="H2877" s="87" t="s">
        <v>69</v>
      </c>
      <c r="I2877" s="223">
        <v>47971</v>
      </c>
      <c r="J2877" s="223">
        <f>I2877/D2875</f>
        <v>3.91</v>
      </c>
      <c r="K2877" s="223">
        <f>47971/D2875</f>
        <v>3.91</v>
      </c>
    </row>
    <row r="2878" spans="1:11" ht="15.75" customHeight="1" x14ac:dyDescent="0.25">
      <c r="A2878" s="308"/>
      <c r="B2878" s="308"/>
      <c r="C2878" s="317"/>
      <c r="D2878" s="319"/>
      <c r="E2878" s="308"/>
      <c r="F2878" s="308"/>
      <c r="G2878" s="307" t="s">
        <v>172</v>
      </c>
      <c r="H2878" s="87" t="s">
        <v>171</v>
      </c>
      <c r="I2878" s="223">
        <v>2241647</v>
      </c>
      <c r="J2878" s="223">
        <f>I2878/D2875+0.01</f>
        <v>182.9</v>
      </c>
      <c r="K2878" s="223">
        <f>2241647/D2875+0.01</f>
        <v>182.9</v>
      </c>
    </row>
    <row r="2879" spans="1:11" ht="15.75" customHeight="1" x14ac:dyDescent="0.25">
      <c r="A2879" s="308"/>
      <c r="B2879" s="308"/>
      <c r="C2879" s="317"/>
      <c r="D2879" s="319"/>
      <c r="E2879" s="308"/>
      <c r="F2879" s="308"/>
      <c r="G2879" s="309"/>
      <c r="H2879" s="87" t="s">
        <v>69</v>
      </c>
      <c r="I2879" s="223">
        <v>47971</v>
      </c>
      <c r="J2879" s="223">
        <f>I2879/D2875</f>
        <v>3.91</v>
      </c>
      <c r="K2879" s="223">
        <f>47971/D2875</f>
        <v>3.91</v>
      </c>
    </row>
    <row r="2880" spans="1:11" ht="15.75" customHeight="1" x14ac:dyDescent="0.25">
      <c r="A2880" s="308"/>
      <c r="B2880" s="308"/>
      <c r="C2880" s="317"/>
      <c r="D2880" s="319"/>
      <c r="E2880" s="308"/>
      <c r="F2880" s="308"/>
      <c r="G2880" s="307" t="s">
        <v>440</v>
      </c>
      <c r="H2880" s="87" t="s">
        <v>171</v>
      </c>
      <c r="I2880" s="223">
        <v>2241647</v>
      </c>
      <c r="J2880" s="223">
        <f>I2880/D2875</f>
        <v>182.89</v>
      </c>
      <c r="K2880" s="223">
        <f>2241647/D2875</f>
        <v>182.89</v>
      </c>
    </row>
    <row r="2881" spans="1:11" ht="15.75" customHeight="1" x14ac:dyDescent="0.25">
      <c r="A2881" s="308"/>
      <c r="B2881" s="308"/>
      <c r="C2881" s="317"/>
      <c r="D2881" s="319"/>
      <c r="E2881" s="308"/>
      <c r="F2881" s="308"/>
      <c r="G2881" s="309"/>
      <c r="H2881" s="87" t="s">
        <v>69</v>
      </c>
      <c r="I2881" s="223">
        <v>47971</v>
      </c>
      <c r="J2881" s="223">
        <f>I2881/D2875</f>
        <v>3.91</v>
      </c>
      <c r="K2881" s="223">
        <f>47971/D2875</f>
        <v>3.91</v>
      </c>
    </row>
    <row r="2882" spans="1:11" ht="15.75" customHeight="1" x14ac:dyDescent="0.25">
      <c r="A2882" s="310">
        <f>A2875+1</f>
        <v>41</v>
      </c>
      <c r="B2882" s="310">
        <v>3162</v>
      </c>
      <c r="C2882" s="311" t="s">
        <v>744</v>
      </c>
      <c r="D2882" s="312">
        <v>2639.6</v>
      </c>
      <c r="E2882" s="312" t="s">
        <v>64</v>
      </c>
      <c r="F2882" s="313">
        <v>5</v>
      </c>
      <c r="G2882" s="145"/>
      <c r="H2882" s="87" t="s">
        <v>66</v>
      </c>
      <c r="I2882" s="223">
        <f>I2883+I2884</f>
        <v>10236368.800000001</v>
      </c>
      <c r="J2882" s="223">
        <f>J2883+J2884</f>
        <v>3878</v>
      </c>
      <c r="K2882" s="223">
        <f>K2883+K2884</f>
        <v>3878</v>
      </c>
    </row>
    <row r="2883" spans="1:11" x14ac:dyDescent="0.25">
      <c r="A2883" s="310">
        <v>756</v>
      </c>
      <c r="B2883" s="310"/>
      <c r="C2883" s="311"/>
      <c r="D2883" s="312"/>
      <c r="E2883" s="312"/>
      <c r="F2883" s="313"/>
      <c r="G2883" s="307" t="s">
        <v>65</v>
      </c>
      <c r="H2883" s="87" t="s">
        <v>67</v>
      </c>
      <c r="I2883" s="223">
        <f>D2882*K2883</f>
        <v>10022561.199999999</v>
      </c>
      <c r="J2883" s="223">
        <f>I2883/D2882</f>
        <v>3797</v>
      </c>
      <c r="K2883" s="223">
        <v>3797</v>
      </c>
    </row>
    <row r="2884" spans="1:11" x14ac:dyDescent="0.25">
      <c r="A2884" s="310">
        <v>757</v>
      </c>
      <c r="B2884" s="310"/>
      <c r="C2884" s="311"/>
      <c r="D2884" s="312"/>
      <c r="E2884" s="312"/>
      <c r="F2884" s="313"/>
      <c r="G2884" s="309"/>
      <c r="H2884" s="87" t="s">
        <v>69</v>
      </c>
      <c r="I2884" s="223">
        <f>D2882*K2884</f>
        <v>213807.6</v>
      </c>
      <c r="J2884" s="223">
        <f>I2884/D2882</f>
        <v>81</v>
      </c>
      <c r="K2884" s="223">
        <v>81</v>
      </c>
    </row>
    <row r="2885" spans="1:11" ht="15.75" customHeight="1" x14ac:dyDescent="0.25">
      <c r="A2885" s="307">
        <f>A2882+1</f>
        <v>42</v>
      </c>
      <c r="B2885" s="307">
        <v>4374</v>
      </c>
      <c r="C2885" s="315" t="s">
        <v>635</v>
      </c>
      <c r="D2885" s="318">
        <v>6931.5</v>
      </c>
      <c r="E2885" s="307" t="s">
        <v>64</v>
      </c>
      <c r="F2885" s="307">
        <v>10</v>
      </c>
      <c r="G2885" s="145"/>
      <c r="H2885" s="87" t="s">
        <v>66</v>
      </c>
      <c r="I2885" s="223">
        <f>I2886+I2887+I2888+I2889+I2890+I2891</f>
        <v>6868854</v>
      </c>
      <c r="J2885" s="223">
        <f>J2886+J2887+J2888+J2889+J2890+J2891</f>
        <v>990.96</v>
      </c>
      <c r="K2885" s="223">
        <f>K2886+K2887+K2888+K2889+K2890+K2891</f>
        <v>990.96</v>
      </c>
    </row>
    <row r="2886" spans="1:11" ht="15.75" customHeight="1" x14ac:dyDescent="0.25">
      <c r="A2886" s="308"/>
      <c r="B2886" s="308"/>
      <c r="C2886" s="317"/>
      <c r="D2886" s="319"/>
      <c r="E2886" s="308"/>
      <c r="F2886" s="308"/>
      <c r="G2886" s="308" t="s">
        <v>170</v>
      </c>
      <c r="H2886" s="87" t="s">
        <v>171</v>
      </c>
      <c r="I2886" s="223">
        <v>2241647</v>
      </c>
      <c r="J2886" s="223">
        <f>I2886/D2885</f>
        <v>323.39999999999998</v>
      </c>
      <c r="K2886" s="223">
        <f>2241647/D2885</f>
        <v>323.39999999999998</v>
      </c>
    </row>
    <row r="2887" spans="1:11" ht="15.75" customHeight="1" x14ac:dyDescent="0.25">
      <c r="A2887" s="308"/>
      <c r="B2887" s="308"/>
      <c r="C2887" s="317"/>
      <c r="D2887" s="319"/>
      <c r="E2887" s="308"/>
      <c r="F2887" s="308"/>
      <c r="G2887" s="309"/>
      <c r="H2887" s="87" t="s">
        <v>69</v>
      </c>
      <c r="I2887" s="223">
        <v>47971</v>
      </c>
      <c r="J2887" s="223">
        <f>I2887/D2885</f>
        <v>6.92</v>
      </c>
      <c r="K2887" s="223">
        <f>47971/D2885</f>
        <v>6.92</v>
      </c>
    </row>
    <row r="2888" spans="1:11" ht="15.75" customHeight="1" x14ac:dyDescent="0.25">
      <c r="A2888" s="308"/>
      <c r="B2888" s="308"/>
      <c r="C2888" s="317"/>
      <c r="D2888" s="319"/>
      <c r="E2888" s="308"/>
      <c r="F2888" s="308"/>
      <c r="G2888" s="308" t="s">
        <v>173</v>
      </c>
      <c r="H2888" s="87" t="s">
        <v>171</v>
      </c>
      <c r="I2888" s="223">
        <v>2241647</v>
      </c>
      <c r="J2888" s="223">
        <f>I2888/D2885</f>
        <v>323.39999999999998</v>
      </c>
      <c r="K2888" s="223">
        <f>2241647/D2885</f>
        <v>323.39999999999998</v>
      </c>
    </row>
    <row r="2889" spans="1:11" ht="15.75" customHeight="1" x14ac:dyDescent="0.25">
      <c r="A2889" s="308"/>
      <c r="B2889" s="308"/>
      <c r="C2889" s="317"/>
      <c r="D2889" s="319"/>
      <c r="E2889" s="308"/>
      <c r="F2889" s="308"/>
      <c r="G2889" s="309"/>
      <c r="H2889" s="87" t="s">
        <v>69</v>
      </c>
      <c r="I2889" s="223">
        <v>47971</v>
      </c>
      <c r="J2889" s="223">
        <f>I2889/D2885</f>
        <v>6.92</v>
      </c>
      <c r="K2889" s="223">
        <f>47971/D2885</f>
        <v>6.92</v>
      </c>
    </row>
    <row r="2890" spans="1:11" ht="15.75" customHeight="1" x14ac:dyDescent="0.25">
      <c r="A2890" s="308"/>
      <c r="B2890" s="308"/>
      <c r="C2890" s="317"/>
      <c r="D2890" s="319"/>
      <c r="E2890" s="308"/>
      <c r="F2890" s="308"/>
      <c r="G2890" s="308" t="s">
        <v>174</v>
      </c>
      <c r="H2890" s="87" t="s">
        <v>171</v>
      </c>
      <c r="I2890" s="223">
        <v>2241647</v>
      </c>
      <c r="J2890" s="223">
        <f>I2890/D2885</f>
        <v>323.39999999999998</v>
      </c>
      <c r="K2890" s="223">
        <f>2241647/D2885</f>
        <v>323.39999999999998</v>
      </c>
    </row>
    <row r="2891" spans="1:11" ht="15.75" customHeight="1" x14ac:dyDescent="0.25">
      <c r="A2891" s="308"/>
      <c r="B2891" s="308"/>
      <c r="C2891" s="317"/>
      <c r="D2891" s="319"/>
      <c r="E2891" s="308"/>
      <c r="F2891" s="308"/>
      <c r="G2891" s="309"/>
      <c r="H2891" s="87" t="s">
        <v>69</v>
      </c>
      <c r="I2891" s="223">
        <v>47971</v>
      </c>
      <c r="J2891" s="223">
        <f>I2891/D2885</f>
        <v>6.92</v>
      </c>
      <c r="K2891" s="223">
        <f>47971/D2885</f>
        <v>6.92</v>
      </c>
    </row>
    <row r="2892" spans="1:11" x14ac:dyDescent="0.25">
      <c r="A2892" s="310">
        <f>A2885+1</f>
        <v>43</v>
      </c>
      <c r="B2892" s="310">
        <v>4329</v>
      </c>
      <c r="C2892" s="333" t="s">
        <v>109</v>
      </c>
      <c r="D2892" s="312">
        <v>7336.1</v>
      </c>
      <c r="E2892" s="312" t="s">
        <v>64</v>
      </c>
      <c r="F2892" s="313">
        <v>10</v>
      </c>
      <c r="G2892" s="310" t="s">
        <v>65</v>
      </c>
      <c r="H2892" s="87" t="s">
        <v>66</v>
      </c>
      <c r="I2892" s="223">
        <f>I2893+I2894</f>
        <v>15249632.75</v>
      </c>
      <c r="J2892" s="223">
        <f>J2893+J2894</f>
        <v>2078.71</v>
      </c>
      <c r="K2892" s="223">
        <f>K2893+K2894</f>
        <v>2492</v>
      </c>
    </row>
    <row r="2893" spans="1:11" x14ac:dyDescent="0.25">
      <c r="A2893" s="310">
        <v>77</v>
      </c>
      <c r="B2893" s="310"/>
      <c r="C2893" s="333"/>
      <c r="D2893" s="310"/>
      <c r="E2893" s="312"/>
      <c r="F2893" s="313"/>
      <c r="G2893" s="310"/>
      <c r="H2893" s="87" t="s">
        <v>67</v>
      </c>
      <c r="I2893" s="223">
        <f>(11920064+277753)*1.02*1.2</f>
        <v>14930128.01</v>
      </c>
      <c r="J2893" s="223">
        <f>I2893/D2892</f>
        <v>2035.16</v>
      </c>
      <c r="K2893" s="223">
        <v>2440</v>
      </c>
    </row>
    <row r="2894" spans="1:11" x14ac:dyDescent="0.25">
      <c r="A2894" s="310"/>
      <c r="B2894" s="310"/>
      <c r="C2894" s="333"/>
      <c r="D2894" s="310"/>
      <c r="E2894" s="312"/>
      <c r="F2894" s="313"/>
      <c r="G2894" s="310"/>
      <c r="H2894" s="87" t="s">
        <v>69</v>
      </c>
      <c r="I2894" s="223">
        <f>I2893*0.0214</f>
        <v>319504.74</v>
      </c>
      <c r="J2894" s="223">
        <f>I2894/D2892</f>
        <v>43.55</v>
      </c>
      <c r="K2894" s="223">
        <v>52</v>
      </c>
    </row>
    <row r="2895" spans="1:11" x14ac:dyDescent="0.25">
      <c r="A2895" s="307">
        <f>A2892+1</f>
        <v>44</v>
      </c>
      <c r="B2895" s="307">
        <v>4335</v>
      </c>
      <c r="C2895" s="371" t="s">
        <v>530</v>
      </c>
      <c r="D2895" s="318">
        <v>2109.1999999999998</v>
      </c>
      <c r="E2895" s="397" t="s">
        <v>68</v>
      </c>
      <c r="F2895" s="397">
        <v>5</v>
      </c>
      <c r="G2895" s="307" t="s">
        <v>75</v>
      </c>
      <c r="H2895" s="87" t="s">
        <v>66</v>
      </c>
      <c r="I2895" s="223">
        <f>I2897+I2898+I2896</f>
        <v>3904129.2</v>
      </c>
      <c r="J2895" s="223">
        <f>J2897+J2898+J2896</f>
        <v>1851</v>
      </c>
      <c r="K2895" s="223">
        <f>K2897+K2898+K2896</f>
        <v>1851</v>
      </c>
    </row>
    <row r="2896" spans="1:11" ht="63" x14ac:dyDescent="0.25">
      <c r="A2896" s="308"/>
      <c r="B2896" s="308"/>
      <c r="C2896" s="372"/>
      <c r="D2896" s="319"/>
      <c r="E2896" s="398"/>
      <c r="F2896" s="398"/>
      <c r="G2896" s="308"/>
      <c r="H2896" s="87" t="s">
        <v>178</v>
      </c>
      <c r="I2896" s="223">
        <f>D2895*K2896</f>
        <v>170845.2</v>
      </c>
      <c r="J2896" s="223">
        <f>I2896/D2895</f>
        <v>81</v>
      </c>
      <c r="K2896" s="223">
        <f>69+12</f>
        <v>81</v>
      </c>
    </row>
    <row r="2897" spans="1:11" x14ac:dyDescent="0.25">
      <c r="A2897" s="308"/>
      <c r="B2897" s="308"/>
      <c r="C2897" s="372"/>
      <c r="D2897" s="319"/>
      <c r="E2897" s="398"/>
      <c r="F2897" s="398"/>
      <c r="G2897" s="308"/>
      <c r="H2897" s="87" t="s">
        <v>67</v>
      </c>
      <c r="I2897" s="223">
        <f>D2895*K2897</f>
        <v>3655243.6</v>
      </c>
      <c r="J2897" s="223">
        <f>I2897/D2895</f>
        <v>1733</v>
      </c>
      <c r="K2897" s="223">
        <v>1733</v>
      </c>
    </row>
    <row r="2898" spans="1:11" x14ac:dyDescent="0.25">
      <c r="A2898" s="309"/>
      <c r="B2898" s="309"/>
      <c r="C2898" s="396"/>
      <c r="D2898" s="329"/>
      <c r="E2898" s="399"/>
      <c r="F2898" s="399"/>
      <c r="G2898" s="309"/>
      <c r="H2898" s="87" t="s">
        <v>69</v>
      </c>
      <c r="I2898" s="223">
        <f>D2895*K2898</f>
        <v>78040.399999999994</v>
      </c>
      <c r="J2898" s="223">
        <f>I2898/D2895</f>
        <v>37</v>
      </c>
      <c r="K2898" s="223">
        <v>37</v>
      </c>
    </row>
    <row r="2899" spans="1:11" x14ac:dyDescent="0.25">
      <c r="A2899" s="310">
        <f>A2895+1</f>
        <v>45</v>
      </c>
      <c r="B2899" s="310">
        <v>3112</v>
      </c>
      <c r="C2899" s="333" t="s">
        <v>373</v>
      </c>
      <c r="D2899" s="312">
        <v>16849.099999999999</v>
      </c>
      <c r="E2899" s="312" t="s">
        <v>64</v>
      </c>
      <c r="F2899" s="313">
        <v>9</v>
      </c>
      <c r="G2899" s="310" t="s">
        <v>65</v>
      </c>
      <c r="H2899" s="87" t="s">
        <v>66</v>
      </c>
      <c r="I2899" s="223">
        <f>I2900+I2901</f>
        <v>41987957.200000003</v>
      </c>
      <c r="J2899" s="223">
        <f>J2900+J2901</f>
        <v>2492</v>
      </c>
      <c r="K2899" s="223">
        <f>K2900+K2901</f>
        <v>2492</v>
      </c>
    </row>
    <row r="2900" spans="1:11" x14ac:dyDescent="0.25">
      <c r="A2900" s="310">
        <v>77</v>
      </c>
      <c r="B2900" s="310"/>
      <c r="C2900" s="333"/>
      <c r="D2900" s="310"/>
      <c r="E2900" s="312"/>
      <c r="F2900" s="313"/>
      <c r="G2900" s="310"/>
      <c r="H2900" s="87" t="s">
        <v>67</v>
      </c>
      <c r="I2900" s="223">
        <f>D2899*K2900</f>
        <v>41111804</v>
      </c>
      <c r="J2900" s="223">
        <f>I2900/D2899</f>
        <v>2440</v>
      </c>
      <c r="K2900" s="223">
        <v>2440</v>
      </c>
    </row>
    <row r="2901" spans="1:11" x14ac:dyDescent="0.25">
      <c r="A2901" s="310"/>
      <c r="B2901" s="310"/>
      <c r="C2901" s="333"/>
      <c r="D2901" s="310"/>
      <c r="E2901" s="312"/>
      <c r="F2901" s="313"/>
      <c r="G2901" s="310"/>
      <c r="H2901" s="87" t="s">
        <v>69</v>
      </c>
      <c r="I2901" s="223">
        <f>D2899*K2901</f>
        <v>876153.2</v>
      </c>
      <c r="J2901" s="223">
        <f>I2901/D2899</f>
        <v>52</v>
      </c>
      <c r="K2901" s="223">
        <v>52</v>
      </c>
    </row>
    <row r="2902" spans="1:11" ht="15.75" customHeight="1" x14ac:dyDescent="0.25">
      <c r="A2902" s="310">
        <f>A2899+1</f>
        <v>46</v>
      </c>
      <c r="B2902" s="310">
        <v>3103</v>
      </c>
      <c r="C2902" s="333" t="s">
        <v>636</v>
      </c>
      <c r="D2902" s="312">
        <v>2533.89</v>
      </c>
      <c r="E2902" s="312" t="s">
        <v>68</v>
      </c>
      <c r="F2902" s="313">
        <v>4</v>
      </c>
      <c r="G2902" s="310" t="s">
        <v>74</v>
      </c>
      <c r="H2902" s="87" t="s">
        <v>66</v>
      </c>
      <c r="I2902" s="223">
        <f>I2903+I2904</f>
        <v>917268.18</v>
      </c>
      <c r="J2902" s="223">
        <f>J2903+J2904</f>
        <v>362</v>
      </c>
      <c r="K2902" s="223">
        <f>K2903+K2904</f>
        <v>362</v>
      </c>
    </row>
    <row r="2903" spans="1:11" ht="15.75" customHeight="1" x14ac:dyDescent="0.25">
      <c r="A2903" s="310"/>
      <c r="B2903" s="310"/>
      <c r="C2903" s="333"/>
      <c r="D2903" s="312"/>
      <c r="E2903" s="312"/>
      <c r="F2903" s="313"/>
      <c r="G2903" s="310"/>
      <c r="H2903" s="87" t="s">
        <v>67</v>
      </c>
      <c r="I2903" s="223">
        <f>K2903*D2902</f>
        <v>896997.06</v>
      </c>
      <c r="J2903" s="223">
        <f>I2903/D2902</f>
        <v>354</v>
      </c>
      <c r="K2903" s="223">
        <v>354</v>
      </c>
    </row>
    <row r="2904" spans="1:11" ht="15.75" customHeight="1" x14ac:dyDescent="0.25">
      <c r="A2904" s="310"/>
      <c r="B2904" s="310"/>
      <c r="C2904" s="333"/>
      <c r="D2904" s="312"/>
      <c r="E2904" s="312"/>
      <c r="F2904" s="313"/>
      <c r="G2904" s="310"/>
      <c r="H2904" s="87" t="s">
        <v>69</v>
      </c>
      <c r="I2904" s="223">
        <f>D2902*K2904</f>
        <v>20271.12</v>
      </c>
      <c r="J2904" s="223">
        <f>I2904/D2902</f>
        <v>8</v>
      </c>
      <c r="K2904" s="223">
        <v>8</v>
      </c>
    </row>
    <row r="2905" spans="1:11" ht="15.75" customHeight="1" x14ac:dyDescent="0.25">
      <c r="A2905" s="307">
        <f>A2902+1</f>
        <v>47</v>
      </c>
      <c r="B2905" s="307">
        <v>3105</v>
      </c>
      <c r="C2905" s="315" t="s">
        <v>208</v>
      </c>
      <c r="D2905" s="318">
        <v>11658.1</v>
      </c>
      <c r="E2905" s="318" t="s">
        <v>64</v>
      </c>
      <c r="F2905" s="330">
        <v>10</v>
      </c>
      <c r="G2905" s="145"/>
      <c r="H2905" s="87" t="s">
        <v>66</v>
      </c>
      <c r="I2905" s="223">
        <f>I2906+I2907+I2908+I2909+I2910+I2911+I2912+I2913+I2914+I2915</f>
        <v>11448090</v>
      </c>
      <c r="J2905" s="223">
        <f>J2906+J2907+J2908+J2909+J2910+J2911+J2912+J2913+J2914+J2915</f>
        <v>981.99</v>
      </c>
      <c r="K2905" s="223">
        <f>K2906+K2907+K2908+K2909+K2910+K2911+K2912+K2913+K2914+K2915</f>
        <v>981.99</v>
      </c>
    </row>
    <row r="2906" spans="1:11" ht="15.75" customHeight="1" x14ac:dyDescent="0.25">
      <c r="A2906" s="308"/>
      <c r="B2906" s="308"/>
      <c r="C2906" s="317"/>
      <c r="D2906" s="319"/>
      <c r="E2906" s="319"/>
      <c r="F2906" s="331"/>
      <c r="G2906" s="307" t="s">
        <v>170</v>
      </c>
      <c r="H2906" s="87" t="s">
        <v>171</v>
      </c>
      <c r="I2906" s="223">
        <v>2241647</v>
      </c>
      <c r="J2906" s="223">
        <f>I2906/D2905+0.01</f>
        <v>192.29</v>
      </c>
      <c r="K2906" s="223">
        <f>2241647/D2905+0.01</f>
        <v>192.29</v>
      </c>
    </row>
    <row r="2907" spans="1:11" ht="15.75" customHeight="1" x14ac:dyDescent="0.25">
      <c r="A2907" s="308"/>
      <c r="B2907" s="308"/>
      <c r="C2907" s="317"/>
      <c r="D2907" s="319"/>
      <c r="E2907" s="319"/>
      <c r="F2907" s="331"/>
      <c r="G2907" s="309"/>
      <c r="H2907" s="87" t="s">
        <v>69</v>
      </c>
      <c r="I2907" s="223">
        <v>47971</v>
      </c>
      <c r="J2907" s="223">
        <f>I2907/D2905</f>
        <v>4.1100000000000003</v>
      </c>
      <c r="K2907" s="223">
        <f>47971/D2905</f>
        <v>4.1100000000000003</v>
      </c>
    </row>
    <row r="2908" spans="1:11" ht="15.75" customHeight="1" x14ac:dyDescent="0.25">
      <c r="A2908" s="308"/>
      <c r="B2908" s="308"/>
      <c r="C2908" s="317"/>
      <c r="D2908" s="319"/>
      <c r="E2908" s="319"/>
      <c r="F2908" s="331"/>
      <c r="G2908" s="307" t="s">
        <v>173</v>
      </c>
      <c r="H2908" s="87" t="s">
        <v>171</v>
      </c>
      <c r="I2908" s="223">
        <v>2241647</v>
      </c>
      <c r="J2908" s="223">
        <f>I2908/D2905+0.01</f>
        <v>192.29</v>
      </c>
      <c r="K2908" s="223">
        <f>2241647/D2905+0.01</f>
        <v>192.29</v>
      </c>
    </row>
    <row r="2909" spans="1:11" ht="15.75" customHeight="1" x14ac:dyDescent="0.25">
      <c r="A2909" s="308"/>
      <c r="B2909" s="308"/>
      <c r="C2909" s="317"/>
      <c r="D2909" s="319"/>
      <c r="E2909" s="319"/>
      <c r="F2909" s="331"/>
      <c r="G2909" s="309"/>
      <c r="H2909" s="87" t="s">
        <v>69</v>
      </c>
      <c r="I2909" s="223">
        <v>47971</v>
      </c>
      <c r="J2909" s="223">
        <f>I2909/D2905</f>
        <v>4.1100000000000003</v>
      </c>
      <c r="K2909" s="223">
        <f>47971/D2905</f>
        <v>4.1100000000000003</v>
      </c>
    </row>
    <row r="2910" spans="1:11" ht="15.75" customHeight="1" x14ac:dyDescent="0.25">
      <c r="A2910" s="308"/>
      <c r="B2910" s="308"/>
      <c r="C2910" s="317"/>
      <c r="D2910" s="319"/>
      <c r="E2910" s="319"/>
      <c r="F2910" s="331"/>
      <c r="G2910" s="307" t="s">
        <v>174</v>
      </c>
      <c r="H2910" s="87" t="s">
        <v>171</v>
      </c>
      <c r="I2910" s="223">
        <v>2241647</v>
      </c>
      <c r="J2910" s="223">
        <f>I2910/D2905+0.01</f>
        <v>192.29</v>
      </c>
      <c r="K2910" s="223">
        <f>2241647/D2905+0.01</f>
        <v>192.29</v>
      </c>
    </row>
    <row r="2911" spans="1:11" ht="15.75" customHeight="1" x14ac:dyDescent="0.25">
      <c r="A2911" s="308"/>
      <c r="B2911" s="308"/>
      <c r="C2911" s="317"/>
      <c r="D2911" s="319"/>
      <c r="E2911" s="319"/>
      <c r="F2911" s="331"/>
      <c r="G2911" s="309"/>
      <c r="H2911" s="87" t="s">
        <v>69</v>
      </c>
      <c r="I2911" s="223">
        <v>47971</v>
      </c>
      <c r="J2911" s="223">
        <f>I2911/D2905</f>
        <v>4.1100000000000003</v>
      </c>
      <c r="K2911" s="223">
        <f>47971/D2905</f>
        <v>4.1100000000000003</v>
      </c>
    </row>
    <row r="2912" spans="1:11" ht="15.75" customHeight="1" x14ac:dyDescent="0.25">
      <c r="A2912" s="308"/>
      <c r="B2912" s="308"/>
      <c r="C2912" s="317"/>
      <c r="D2912" s="319"/>
      <c r="E2912" s="319"/>
      <c r="F2912" s="331"/>
      <c r="G2912" s="307" t="s">
        <v>175</v>
      </c>
      <c r="H2912" s="87" t="s">
        <v>171</v>
      </c>
      <c r="I2912" s="223">
        <v>2241647</v>
      </c>
      <c r="J2912" s="223">
        <f>I2912/D2905</f>
        <v>192.28</v>
      </c>
      <c r="K2912" s="223">
        <f>2241647/D2905</f>
        <v>192.28</v>
      </c>
    </row>
    <row r="2913" spans="1:11" ht="15.75" customHeight="1" x14ac:dyDescent="0.25">
      <c r="A2913" s="308"/>
      <c r="B2913" s="308"/>
      <c r="C2913" s="317"/>
      <c r="D2913" s="319"/>
      <c r="E2913" s="319"/>
      <c r="F2913" s="331"/>
      <c r="G2913" s="309"/>
      <c r="H2913" s="87" t="s">
        <v>69</v>
      </c>
      <c r="I2913" s="223">
        <v>47971</v>
      </c>
      <c r="J2913" s="223">
        <f>I2913/D2905</f>
        <v>4.1100000000000003</v>
      </c>
      <c r="K2913" s="223">
        <f>47971/D2905</f>
        <v>4.1100000000000003</v>
      </c>
    </row>
    <row r="2914" spans="1:11" ht="15.75" customHeight="1" x14ac:dyDescent="0.25">
      <c r="A2914" s="308"/>
      <c r="B2914" s="308"/>
      <c r="C2914" s="317"/>
      <c r="D2914" s="319"/>
      <c r="E2914" s="319"/>
      <c r="F2914" s="331"/>
      <c r="G2914" s="307" t="s">
        <v>172</v>
      </c>
      <c r="H2914" s="87" t="s">
        <v>171</v>
      </c>
      <c r="I2914" s="223">
        <v>2241647</v>
      </c>
      <c r="J2914" s="223">
        <f>I2914/D2905+0.01</f>
        <v>192.29</v>
      </c>
      <c r="K2914" s="223">
        <f>2241647/D2905+0.01</f>
        <v>192.29</v>
      </c>
    </row>
    <row r="2915" spans="1:11" ht="15.75" customHeight="1" x14ac:dyDescent="0.25">
      <c r="A2915" s="309"/>
      <c r="B2915" s="309"/>
      <c r="C2915" s="316"/>
      <c r="D2915" s="329"/>
      <c r="E2915" s="329"/>
      <c r="F2915" s="332"/>
      <c r="G2915" s="309"/>
      <c r="H2915" s="87" t="s">
        <v>69</v>
      </c>
      <c r="I2915" s="223">
        <v>47971</v>
      </c>
      <c r="J2915" s="223">
        <f>I2915/D2905</f>
        <v>4.1100000000000003</v>
      </c>
      <c r="K2915" s="223">
        <f>47971/D2905</f>
        <v>4.1100000000000003</v>
      </c>
    </row>
    <row r="2916" spans="1:11" ht="15.75" customHeight="1" x14ac:dyDescent="0.25">
      <c r="A2916" s="310">
        <f>A2905+1</f>
        <v>48</v>
      </c>
      <c r="B2916" s="310">
        <v>3317</v>
      </c>
      <c r="C2916" s="311" t="s">
        <v>745</v>
      </c>
      <c r="D2916" s="312">
        <v>3508.25</v>
      </c>
      <c r="E2916" s="312" t="s">
        <v>64</v>
      </c>
      <c r="F2916" s="313">
        <v>5</v>
      </c>
      <c r="G2916" s="310" t="s">
        <v>65</v>
      </c>
      <c r="H2916" s="87" t="s">
        <v>66</v>
      </c>
      <c r="I2916" s="223">
        <f>I2917+I2918</f>
        <v>13152429.25</v>
      </c>
      <c r="J2916" s="223">
        <f>J2917+J2918</f>
        <v>3749</v>
      </c>
      <c r="K2916" s="223">
        <f>K2917+K2918</f>
        <v>3749</v>
      </c>
    </row>
    <row r="2917" spans="1:11" ht="31.5" customHeight="1" x14ac:dyDescent="0.25">
      <c r="A2917" s="310">
        <v>77</v>
      </c>
      <c r="B2917" s="310"/>
      <c r="C2917" s="311"/>
      <c r="D2917" s="310"/>
      <c r="E2917" s="312"/>
      <c r="F2917" s="313"/>
      <c r="G2917" s="310"/>
      <c r="H2917" s="87" t="s">
        <v>76</v>
      </c>
      <c r="I2917" s="223">
        <f>D2916*K2917</f>
        <v>12875277.5</v>
      </c>
      <c r="J2917" s="223">
        <f>I2917/D2916</f>
        <v>3670</v>
      </c>
      <c r="K2917" s="223">
        <v>3670</v>
      </c>
    </row>
    <row r="2918" spans="1:11" ht="15.75" customHeight="1" x14ac:dyDescent="0.25">
      <c r="A2918" s="310"/>
      <c r="B2918" s="310"/>
      <c r="C2918" s="311"/>
      <c r="D2918" s="310"/>
      <c r="E2918" s="312"/>
      <c r="F2918" s="313"/>
      <c r="G2918" s="310"/>
      <c r="H2918" s="87" t="s">
        <v>69</v>
      </c>
      <c r="I2918" s="223">
        <f>D2916*K2918</f>
        <v>277151.75</v>
      </c>
      <c r="J2918" s="223">
        <f>I2918/D2916</f>
        <v>79</v>
      </c>
      <c r="K2918" s="223">
        <v>79</v>
      </c>
    </row>
    <row r="2919" spans="1:11" ht="15.75" customHeight="1" x14ac:dyDescent="0.25">
      <c r="A2919" s="310">
        <f>A2916+1</f>
        <v>49</v>
      </c>
      <c r="B2919" s="310">
        <v>3184</v>
      </c>
      <c r="C2919" s="311" t="s">
        <v>746</v>
      </c>
      <c r="D2919" s="312">
        <v>2888.5</v>
      </c>
      <c r="E2919" s="312" t="s">
        <v>64</v>
      </c>
      <c r="F2919" s="313">
        <v>5</v>
      </c>
      <c r="G2919" s="310" t="s">
        <v>65</v>
      </c>
      <c r="H2919" s="87" t="s">
        <v>66</v>
      </c>
      <c r="I2919" s="223">
        <f>I2920+I2921</f>
        <v>10828986.5</v>
      </c>
      <c r="J2919" s="223">
        <f>J2920+J2921</f>
        <v>3749</v>
      </c>
      <c r="K2919" s="223">
        <f>K2920+K2921</f>
        <v>3749</v>
      </c>
    </row>
    <row r="2920" spans="1:11" ht="31.5" customHeight="1" x14ac:dyDescent="0.25">
      <c r="A2920" s="310">
        <v>77</v>
      </c>
      <c r="B2920" s="310"/>
      <c r="C2920" s="311"/>
      <c r="D2920" s="310"/>
      <c r="E2920" s="312"/>
      <c r="F2920" s="313"/>
      <c r="G2920" s="310"/>
      <c r="H2920" s="87" t="s">
        <v>76</v>
      </c>
      <c r="I2920" s="223">
        <f>D2919*K2920</f>
        <v>10600795</v>
      </c>
      <c r="J2920" s="223">
        <f>I2920/D2919</f>
        <v>3670</v>
      </c>
      <c r="K2920" s="223">
        <v>3670</v>
      </c>
    </row>
    <row r="2921" spans="1:11" ht="15.75" customHeight="1" x14ac:dyDescent="0.25">
      <c r="A2921" s="310"/>
      <c r="B2921" s="310"/>
      <c r="C2921" s="311"/>
      <c r="D2921" s="310"/>
      <c r="E2921" s="312"/>
      <c r="F2921" s="313"/>
      <c r="G2921" s="310"/>
      <c r="H2921" s="87" t="s">
        <v>69</v>
      </c>
      <c r="I2921" s="223">
        <f>D2919*K2921</f>
        <v>228191.5</v>
      </c>
      <c r="J2921" s="223">
        <f>I2921/D2919</f>
        <v>79</v>
      </c>
      <c r="K2921" s="223">
        <v>79</v>
      </c>
    </row>
    <row r="2922" spans="1:11" x14ac:dyDescent="0.25">
      <c r="A2922" s="310">
        <f>A2919+1</f>
        <v>50</v>
      </c>
      <c r="B2922" s="310">
        <v>3141</v>
      </c>
      <c r="C2922" s="333" t="s">
        <v>212</v>
      </c>
      <c r="D2922" s="312">
        <v>8978.6</v>
      </c>
      <c r="E2922" s="312" t="s">
        <v>64</v>
      </c>
      <c r="F2922" s="313">
        <v>10</v>
      </c>
      <c r="G2922" s="310" t="s">
        <v>65</v>
      </c>
      <c r="H2922" s="87" t="s">
        <v>66</v>
      </c>
      <c r="I2922" s="223">
        <f>I2923+I2924</f>
        <v>16871690.530000001</v>
      </c>
      <c r="J2922" s="223">
        <f>J2923+J2924</f>
        <v>1879.1</v>
      </c>
      <c r="K2922" s="223">
        <f>K2923+K2924</f>
        <v>2492</v>
      </c>
    </row>
    <row r="2923" spans="1:11" x14ac:dyDescent="0.25">
      <c r="A2923" s="310">
        <v>77</v>
      </c>
      <c r="B2923" s="310"/>
      <c r="C2923" s="333"/>
      <c r="D2923" s="310"/>
      <c r="E2923" s="312"/>
      <c r="F2923" s="313"/>
      <c r="G2923" s="310"/>
      <c r="H2923" s="87" t="s">
        <v>67</v>
      </c>
      <c r="I2923" s="223">
        <f>(13134610.04+360652.24)*1.02*1.2</f>
        <v>16518201.029999999</v>
      </c>
      <c r="J2923" s="223">
        <f>I2923/D2922</f>
        <v>1839.73</v>
      </c>
      <c r="K2923" s="223">
        <v>2440</v>
      </c>
    </row>
    <row r="2924" spans="1:11" x14ac:dyDescent="0.25">
      <c r="A2924" s="310"/>
      <c r="B2924" s="310"/>
      <c r="C2924" s="333"/>
      <c r="D2924" s="310"/>
      <c r="E2924" s="312"/>
      <c r="F2924" s="313"/>
      <c r="G2924" s="310"/>
      <c r="H2924" s="87" t="s">
        <v>69</v>
      </c>
      <c r="I2924" s="223">
        <f>I2923*0.0214</f>
        <v>353489.5</v>
      </c>
      <c r="J2924" s="223">
        <f>I2924/D2922</f>
        <v>39.369999999999997</v>
      </c>
      <c r="K2924" s="223">
        <v>52</v>
      </c>
    </row>
    <row r="2925" spans="1:11" ht="15.75" customHeight="1" x14ac:dyDescent="0.25">
      <c r="A2925" s="307">
        <f>A2922+1</f>
        <v>51</v>
      </c>
      <c r="B2925" s="307">
        <v>4375</v>
      </c>
      <c r="C2925" s="315" t="s">
        <v>639</v>
      </c>
      <c r="D2925" s="318">
        <v>11594.1</v>
      </c>
      <c r="E2925" s="307" t="s">
        <v>64</v>
      </c>
      <c r="F2925" s="307">
        <v>10</v>
      </c>
      <c r="G2925" s="145"/>
      <c r="H2925" s="87" t="s">
        <v>66</v>
      </c>
      <c r="I2925" s="223">
        <f>I2926+I2927+I2928+I2929+I2930+I2931</f>
        <v>6868854</v>
      </c>
      <c r="J2925" s="223">
        <f>J2926+J2927+J2928+J2929+J2930+J2931</f>
        <v>592.44000000000005</v>
      </c>
      <c r="K2925" s="223">
        <f>K2926+K2927+K2928+K2929+K2930+K2931</f>
        <v>592.44000000000005</v>
      </c>
    </row>
    <row r="2926" spans="1:11" ht="15.75" customHeight="1" x14ac:dyDescent="0.25">
      <c r="A2926" s="308"/>
      <c r="B2926" s="308"/>
      <c r="C2926" s="317"/>
      <c r="D2926" s="319"/>
      <c r="E2926" s="308"/>
      <c r="F2926" s="308"/>
      <c r="G2926" s="308" t="s">
        <v>174</v>
      </c>
      <c r="H2926" s="87" t="s">
        <v>171</v>
      </c>
      <c r="I2926" s="223">
        <v>2241647</v>
      </c>
      <c r="J2926" s="223">
        <f>I2926/D2925</f>
        <v>193.34</v>
      </c>
      <c r="K2926" s="223">
        <f>2241647/D2925</f>
        <v>193.34</v>
      </c>
    </row>
    <row r="2927" spans="1:11" ht="15.75" customHeight="1" x14ac:dyDescent="0.25">
      <c r="A2927" s="308"/>
      <c r="B2927" s="308"/>
      <c r="C2927" s="317"/>
      <c r="D2927" s="319"/>
      <c r="E2927" s="308"/>
      <c r="F2927" s="308"/>
      <c r="G2927" s="309"/>
      <c r="H2927" s="87" t="s">
        <v>69</v>
      </c>
      <c r="I2927" s="223">
        <v>47971</v>
      </c>
      <c r="J2927" s="223">
        <f>I2927/D2925</f>
        <v>4.1399999999999997</v>
      </c>
      <c r="K2927" s="223">
        <f>47971/D2925</f>
        <v>4.1399999999999997</v>
      </c>
    </row>
    <row r="2928" spans="1:11" ht="15.75" customHeight="1" x14ac:dyDescent="0.25">
      <c r="A2928" s="308"/>
      <c r="B2928" s="308"/>
      <c r="C2928" s="317"/>
      <c r="D2928" s="319"/>
      <c r="E2928" s="308"/>
      <c r="F2928" s="308"/>
      <c r="G2928" s="308" t="s">
        <v>175</v>
      </c>
      <c r="H2928" s="87" t="s">
        <v>171</v>
      </c>
      <c r="I2928" s="223">
        <v>2241647</v>
      </c>
      <c r="J2928" s="223">
        <f>I2928/D2925</f>
        <v>193.34</v>
      </c>
      <c r="K2928" s="223">
        <f>2241647/D2925</f>
        <v>193.34</v>
      </c>
    </row>
    <row r="2929" spans="1:11" ht="15.75" customHeight="1" x14ac:dyDescent="0.25">
      <c r="A2929" s="308"/>
      <c r="B2929" s="308"/>
      <c r="C2929" s="317"/>
      <c r="D2929" s="319"/>
      <c r="E2929" s="308"/>
      <c r="F2929" s="308"/>
      <c r="G2929" s="309"/>
      <c r="H2929" s="87" t="s">
        <v>69</v>
      </c>
      <c r="I2929" s="223">
        <v>47971</v>
      </c>
      <c r="J2929" s="223">
        <f>I2929/D2925</f>
        <v>4.1399999999999997</v>
      </c>
      <c r="K2929" s="223">
        <f>47971/D2925</f>
        <v>4.1399999999999997</v>
      </c>
    </row>
    <row r="2930" spans="1:11" ht="15.75" customHeight="1" x14ac:dyDescent="0.25">
      <c r="A2930" s="308"/>
      <c r="B2930" s="308"/>
      <c r="C2930" s="317"/>
      <c r="D2930" s="319"/>
      <c r="E2930" s="308"/>
      <c r="F2930" s="308"/>
      <c r="G2930" s="308" t="s">
        <v>172</v>
      </c>
      <c r="H2930" s="87" t="s">
        <v>171</v>
      </c>
      <c r="I2930" s="223">
        <v>2241647</v>
      </c>
      <c r="J2930" s="223">
        <f>I2930/D2925</f>
        <v>193.34</v>
      </c>
      <c r="K2930" s="223">
        <f>2241647/D2925</f>
        <v>193.34</v>
      </c>
    </row>
    <row r="2931" spans="1:11" ht="15.75" customHeight="1" x14ac:dyDescent="0.25">
      <c r="A2931" s="308"/>
      <c r="B2931" s="308"/>
      <c r="C2931" s="317"/>
      <c r="D2931" s="319"/>
      <c r="E2931" s="308"/>
      <c r="F2931" s="308"/>
      <c r="G2931" s="309"/>
      <c r="H2931" s="87" t="s">
        <v>69</v>
      </c>
      <c r="I2931" s="223">
        <v>47971</v>
      </c>
      <c r="J2931" s="223">
        <f>I2931/D2925</f>
        <v>4.1399999999999997</v>
      </c>
      <c r="K2931" s="223">
        <f>47971/D2925</f>
        <v>4.1399999999999997</v>
      </c>
    </row>
    <row r="2932" spans="1:11" ht="15.75" customHeight="1" x14ac:dyDescent="0.25">
      <c r="A2932" s="307">
        <f>A2925+1</f>
        <v>52</v>
      </c>
      <c r="B2932" s="307">
        <v>4376</v>
      </c>
      <c r="C2932" s="315" t="s">
        <v>640</v>
      </c>
      <c r="D2932" s="318">
        <v>3878.2</v>
      </c>
      <c r="E2932" s="307" t="s">
        <v>64</v>
      </c>
      <c r="F2932" s="307">
        <v>9</v>
      </c>
      <c r="G2932" s="145"/>
      <c r="H2932" s="87" t="s">
        <v>66</v>
      </c>
      <c r="I2932" s="223">
        <f>I2933+I2934+I2935+I2936</f>
        <v>4579236</v>
      </c>
      <c r="J2932" s="223">
        <f>J2933+J2934+J2935+J2936</f>
        <v>1180.76</v>
      </c>
      <c r="K2932" s="223">
        <f>K2933+K2934+K2935+K2936</f>
        <v>1180.76</v>
      </c>
    </row>
    <row r="2933" spans="1:11" ht="15.75" customHeight="1" x14ac:dyDescent="0.25">
      <c r="A2933" s="308"/>
      <c r="B2933" s="308"/>
      <c r="C2933" s="317"/>
      <c r="D2933" s="319"/>
      <c r="E2933" s="308"/>
      <c r="F2933" s="308"/>
      <c r="G2933" s="308" t="s">
        <v>170</v>
      </c>
      <c r="H2933" s="87" t="s">
        <v>171</v>
      </c>
      <c r="I2933" s="223">
        <v>2241647</v>
      </c>
      <c r="J2933" s="223">
        <f>I2933/D2932</f>
        <v>578.01</v>
      </c>
      <c r="K2933" s="223">
        <f>2241647/D2932</f>
        <v>578.01</v>
      </c>
    </row>
    <row r="2934" spans="1:11" ht="15.75" customHeight="1" x14ac:dyDescent="0.25">
      <c r="A2934" s="308"/>
      <c r="B2934" s="308"/>
      <c r="C2934" s="317"/>
      <c r="D2934" s="319"/>
      <c r="E2934" s="308"/>
      <c r="F2934" s="308"/>
      <c r="G2934" s="309"/>
      <c r="H2934" s="87" t="s">
        <v>69</v>
      </c>
      <c r="I2934" s="223">
        <v>47971</v>
      </c>
      <c r="J2934" s="223">
        <f>I2934/D2932</f>
        <v>12.37</v>
      </c>
      <c r="K2934" s="223">
        <f>47971/D2932</f>
        <v>12.37</v>
      </c>
    </row>
    <row r="2935" spans="1:11" ht="15.75" customHeight="1" x14ac:dyDescent="0.25">
      <c r="A2935" s="308"/>
      <c r="B2935" s="308"/>
      <c r="C2935" s="317"/>
      <c r="D2935" s="319"/>
      <c r="E2935" s="308"/>
      <c r="F2935" s="308"/>
      <c r="G2935" s="308" t="s">
        <v>173</v>
      </c>
      <c r="H2935" s="87" t="s">
        <v>171</v>
      </c>
      <c r="I2935" s="223">
        <v>2241647</v>
      </c>
      <c r="J2935" s="223">
        <f>I2935/D2932</f>
        <v>578.01</v>
      </c>
      <c r="K2935" s="223">
        <f>2241647/D2932</f>
        <v>578.01</v>
      </c>
    </row>
    <row r="2936" spans="1:11" ht="15.75" customHeight="1" x14ac:dyDescent="0.25">
      <c r="A2936" s="308"/>
      <c r="B2936" s="308"/>
      <c r="C2936" s="317"/>
      <c r="D2936" s="319"/>
      <c r="E2936" s="308"/>
      <c r="F2936" s="308"/>
      <c r="G2936" s="309"/>
      <c r="H2936" s="87" t="s">
        <v>69</v>
      </c>
      <c r="I2936" s="223">
        <v>47971</v>
      </c>
      <c r="J2936" s="223">
        <f>I2936/D2932</f>
        <v>12.37</v>
      </c>
      <c r="K2936" s="223">
        <f>47971/D2932</f>
        <v>12.37</v>
      </c>
    </row>
    <row r="2937" spans="1:11" x14ac:dyDescent="0.25">
      <c r="A2937" s="310">
        <f>A2932+1</f>
        <v>53</v>
      </c>
      <c r="B2937" s="310">
        <v>3383</v>
      </c>
      <c r="C2937" s="333" t="s">
        <v>213</v>
      </c>
      <c r="D2937" s="312">
        <v>5360.9</v>
      </c>
      <c r="E2937" s="312" t="s">
        <v>68</v>
      </c>
      <c r="F2937" s="313">
        <v>6</v>
      </c>
      <c r="G2937" s="310" t="s">
        <v>65</v>
      </c>
      <c r="H2937" s="87" t="s">
        <v>66</v>
      </c>
      <c r="I2937" s="223">
        <f>I2938+I2939</f>
        <v>20789570.199999999</v>
      </c>
      <c r="J2937" s="223">
        <f>J2938+J2939</f>
        <v>3878</v>
      </c>
      <c r="K2937" s="223">
        <f>K2938+K2939</f>
        <v>3878</v>
      </c>
    </row>
    <row r="2938" spans="1:11" x14ac:dyDescent="0.25">
      <c r="A2938" s="310">
        <v>77</v>
      </c>
      <c r="B2938" s="310"/>
      <c r="C2938" s="333"/>
      <c r="D2938" s="310"/>
      <c r="E2938" s="312"/>
      <c r="F2938" s="313"/>
      <c r="G2938" s="310"/>
      <c r="H2938" s="87" t="s">
        <v>67</v>
      </c>
      <c r="I2938" s="223">
        <f>D2937*K2938</f>
        <v>20355337.300000001</v>
      </c>
      <c r="J2938" s="223">
        <f>I2938/D2937</f>
        <v>3797</v>
      </c>
      <c r="K2938" s="223">
        <v>3797</v>
      </c>
    </row>
    <row r="2939" spans="1:11" x14ac:dyDescent="0.25">
      <c r="A2939" s="310"/>
      <c r="B2939" s="310"/>
      <c r="C2939" s="333"/>
      <c r="D2939" s="310"/>
      <c r="E2939" s="312"/>
      <c r="F2939" s="313"/>
      <c r="G2939" s="310"/>
      <c r="H2939" s="87" t="s">
        <v>69</v>
      </c>
      <c r="I2939" s="223">
        <f>D2937*K2939</f>
        <v>434232.9</v>
      </c>
      <c r="J2939" s="223">
        <f>I2939/D2937</f>
        <v>81</v>
      </c>
      <c r="K2939" s="223">
        <v>81</v>
      </c>
    </row>
    <row r="2940" spans="1:11" x14ac:dyDescent="0.25">
      <c r="A2940" s="307">
        <f>A2937+1</f>
        <v>54</v>
      </c>
      <c r="B2940" s="307">
        <v>3388</v>
      </c>
      <c r="C2940" s="315" t="s">
        <v>214</v>
      </c>
      <c r="D2940" s="318">
        <v>4243</v>
      </c>
      <c r="E2940" s="318" t="s">
        <v>68</v>
      </c>
      <c r="F2940" s="330">
        <v>7</v>
      </c>
      <c r="G2940" s="121"/>
      <c r="H2940" s="87" t="s">
        <v>66</v>
      </c>
      <c r="I2940" s="223">
        <f>I2941+I2942+I2943+I2944+I2945+I2946</f>
        <v>29494751.989999998</v>
      </c>
      <c r="J2940" s="223">
        <f>J2941+J2942+J2943+J2944+J2945+J2946</f>
        <v>6951.39</v>
      </c>
      <c r="K2940" s="223">
        <f>K2941+K2942+K2943+K2944+K2945+K2946</f>
        <v>10123</v>
      </c>
    </row>
    <row r="2941" spans="1:11" x14ac:dyDescent="0.25">
      <c r="A2941" s="308"/>
      <c r="B2941" s="308"/>
      <c r="C2941" s="317"/>
      <c r="D2941" s="308"/>
      <c r="E2941" s="319"/>
      <c r="F2941" s="331"/>
      <c r="G2941" s="307" t="s">
        <v>65</v>
      </c>
      <c r="H2941" s="87" t="s">
        <v>67</v>
      </c>
      <c r="I2941" s="223">
        <f>D2940*K2941</f>
        <v>10352920</v>
      </c>
      <c r="J2941" s="223">
        <f>I2941/D2940</f>
        <v>2440</v>
      </c>
      <c r="K2941" s="223">
        <v>2440</v>
      </c>
    </row>
    <row r="2942" spans="1:11" x14ac:dyDescent="0.25">
      <c r="A2942" s="308"/>
      <c r="B2942" s="308"/>
      <c r="C2942" s="317"/>
      <c r="D2942" s="308"/>
      <c r="E2942" s="319"/>
      <c r="F2942" s="331"/>
      <c r="G2942" s="309"/>
      <c r="H2942" s="87" t="s">
        <v>69</v>
      </c>
      <c r="I2942" s="223">
        <f>D2940*K2942</f>
        <v>220636</v>
      </c>
      <c r="J2942" s="223">
        <f>I2942/D2940</f>
        <v>52</v>
      </c>
      <c r="K2942" s="223">
        <v>52</v>
      </c>
    </row>
    <row r="2943" spans="1:11" x14ac:dyDescent="0.25">
      <c r="A2943" s="308"/>
      <c r="B2943" s="308"/>
      <c r="C2943" s="317"/>
      <c r="D2943" s="308"/>
      <c r="E2943" s="319"/>
      <c r="F2943" s="331"/>
      <c r="G2943" s="307" t="s">
        <v>75</v>
      </c>
      <c r="H2943" s="87" t="s">
        <v>67</v>
      </c>
      <c r="I2943" s="223">
        <f>(3158583+15435.73)*1.02*1.2</f>
        <v>3884998.93</v>
      </c>
      <c r="J2943" s="223">
        <f>I2943/D2940</f>
        <v>915.63</v>
      </c>
      <c r="K2943" s="223">
        <v>1733</v>
      </c>
    </row>
    <row r="2944" spans="1:11" x14ac:dyDescent="0.25">
      <c r="A2944" s="308"/>
      <c r="B2944" s="308"/>
      <c r="C2944" s="317"/>
      <c r="D2944" s="308"/>
      <c r="E2944" s="319"/>
      <c r="F2944" s="331"/>
      <c r="G2944" s="308"/>
      <c r="H2944" s="87" t="s">
        <v>69</v>
      </c>
      <c r="I2944" s="223">
        <f>I2943*0.0214</f>
        <v>83138.98</v>
      </c>
      <c r="J2944" s="223">
        <f>I2944/D2940</f>
        <v>19.59</v>
      </c>
      <c r="K2944" s="223">
        <v>37</v>
      </c>
    </row>
    <row r="2945" spans="1:11" x14ac:dyDescent="0.25">
      <c r="A2945" s="308"/>
      <c r="B2945" s="308"/>
      <c r="C2945" s="317"/>
      <c r="D2945" s="308"/>
      <c r="E2945" s="319"/>
      <c r="F2945" s="331"/>
      <c r="G2945" s="308"/>
      <c r="H2945" s="87" t="s">
        <v>179</v>
      </c>
      <c r="I2945" s="223">
        <f>(11960594)*1.02*1.2</f>
        <v>14639767.060000001</v>
      </c>
      <c r="J2945" s="223">
        <f>I2945/D2940</f>
        <v>3450.33</v>
      </c>
      <c r="K2945" s="223">
        <v>5738</v>
      </c>
    </row>
    <row r="2946" spans="1:11" x14ac:dyDescent="0.25">
      <c r="A2946" s="309"/>
      <c r="B2946" s="309"/>
      <c r="C2946" s="316"/>
      <c r="D2946" s="309"/>
      <c r="E2946" s="329"/>
      <c r="F2946" s="332"/>
      <c r="G2946" s="309"/>
      <c r="H2946" s="87" t="s">
        <v>69</v>
      </c>
      <c r="I2946" s="223">
        <f>I2945*0.0214</f>
        <v>313291.02</v>
      </c>
      <c r="J2946" s="223">
        <f>I2946/D2940</f>
        <v>73.84</v>
      </c>
      <c r="K2946" s="223">
        <v>123</v>
      </c>
    </row>
    <row r="2947" spans="1:11" ht="15.75" customHeight="1" x14ac:dyDescent="0.25">
      <c r="A2947" s="310">
        <f>A2940+1</f>
        <v>55</v>
      </c>
      <c r="B2947" s="310">
        <v>3406</v>
      </c>
      <c r="C2947" s="333" t="s">
        <v>528</v>
      </c>
      <c r="D2947" s="312">
        <v>1229.96</v>
      </c>
      <c r="E2947" s="312" t="s">
        <v>73</v>
      </c>
      <c r="F2947" s="313">
        <v>3</v>
      </c>
      <c r="G2947" s="310" t="s">
        <v>74</v>
      </c>
      <c r="H2947" s="87" t="s">
        <v>66</v>
      </c>
      <c r="I2947" s="223">
        <f>I2948+I2949</f>
        <v>445245.52</v>
      </c>
      <c r="J2947" s="223">
        <f>J2948+J2949</f>
        <v>362</v>
      </c>
      <c r="K2947" s="223">
        <f>K2948+K2949</f>
        <v>362</v>
      </c>
    </row>
    <row r="2948" spans="1:11" ht="15.75" customHeight="1" x14ac:dyDescent="0.25">
      <c r="A2948" s="310"/>
      <c r="B2948" s="310"/>
      <c r="C2948" s="333"/>
      <c r="D2948" s="312"/>
      <c r="E2948" s="312"/>
      <c r="F2948" s="313"/>
      <c r="G2948" s="310"/>
      <c r="H2948" s="87" t="s">
        <v>67</v>
      </c>
      <c r="I2948" s="223">
        <f>K2948*D2947</f>
        <v>435405.84</v>
      </c>
      <c r="J2948" s="223">
        <f>I2948/D2947</f>
        <v>354</v>
      </c>
      <c r="K2948" s="223">
        <v>354</v>
      </c>
    </row>
    <row r="2949" spans="1:11" ht="15.75" customHeight="1" x14ac:dyDescent="0.25">
      <c r="A2949" s="310"/>
      <c r="B2949" s="310"/>
      <c r="C2949" s="333"/>
      <c r="D2949" s="312"/>
      <c r="E2949" s="312"/>
      <c r="F2949" s="313"/>
      <c r="G2949" s="310"/>
      <c r="H2949" s="87" t="s">
        <v>69</v>
      </c>
      <c r="I2949" s="223">
        <f>D2947*K2949</f>
        <v>9839.68</v>
      </c>
      <c r="J2949" s="223">
        <f>I2949/D2947</f>
        <v>8</v>
      </c>
      <c r="K2949" s="223">
        <v>8</v>
      </c>
    </row>
    <row r="2950" spans="1:11" ht="15.75" customHeight="1" x14ac:dyDescent="0.25">
      <c r="A2950" s="310">
        <f>A2947+1</f>
        <v>56</v>
      </c>
      <c r="B2950" s="310">
        <v>3407</v>
      </c>
      <c r="C2950" s="333" t="s">
        <v>641</v>
      </c>
      <c r="D2950" s="312">
        <v>2004.12</v>
      </c>
      <c r="E2950" s="312" t="s">
        <v>73</v>
      </c>
      <c r="F2950" s="313">
        <v>3</v>
      </c>
      <c r="G2950" s="310" t="s">
        <v>74</v>
      </c>
      <c r="H2950" s="87" t="s">
        <v>66</v>
      </c>
      <c r="I2950" s="223">
        <f>I2951+I2952</f>
        <v>725491.44</v>
      </c>
      <c r="J2950" s="223">
        <f>J2951+J2952</f>
        <v>362</v>
      </c>
      <c r="K2950" s="223">
        <f>K2951+K2952</f>
        <v>362</v>
      </c>
    </row>
    <row r="2951" spans="1:11" ht="15.75" customHeight="1" x14ac:dyDescent="0.25">
      <c r="A2951" s="310"/>
      <c r="B2951" s="310"/>
      <c r="C2951" s="333"/>
      <c r="D2951" s="312"/>
      <c r="E2951" s="312"/>
      <c r="F2951" s="313"/>
      <c r="G2951" s="310"/>
      <c r="H2951" s="87" t="s">
        <v>67</v>
      </c>
      <c r="I2951" s="223">
        <f>K2951*D2950</f>
        <v>709458.48</v>
      </c>
      <c r="J2951" s="223">
        <f>I2951/D2950</f>
        <v>354</v>
      </c>
      <c r="K2951" s="223">
        <v>354</v>
      </c>
    </row>
    <row r="2952" spans="1:11" ht="15.75" customHeight="1" x14ac:dyDescent="0.25">
      <c r="A2952" s="310"/>
      <c r="B2952" s="310"/>
      <c r="C2952" s="333"/>
      <c r="D2952" s="312"/>
      <c r="E2952" s="312"/>
      <c r="F2952" s="313"/>
      <c r="G2952" s="310"/>
      <c r="H2952" s="87" t="s">
        <v>69</v>
      </c>
      <c r="I2952" s="223">
        <f>D2950*K2952</f>
        <v>16032.96</v>
      </c>
      <c r="J2952" s="223">
        <f>I2952/D2950</f>
        <v>8</v>
      </c>
      <c r="K2952" s="223">
        <v>8</v>
      </c>
    </row>
    <row r="2953" spans="1:11" ht="15.75" customHeight="1" x14ac:dyDescent="0.25">
      <c r="A2953" s="310">
        <f>A2950+1</f>
        <v>57</v>
      </c>
      <c r="B2953" s="310">
        <v>3408</v>
      </c>
      <c r="C2953" s="333" t="s">
        <v>642</v>
      </c>
      <c r="D2953" s="312">
        <v>3143.51</v>
      </c>
      <c r="E2953" s="312" t="s">
        <v>68</v>
      </c>
      <c r="F2953" s="313">
        <v>5</v>
      </c>
      <c r="G2953" s="310" t="s">
        <v>74</v>
      </c>
      <c r="H2953" s="87" t="s">
        <v>66</v>
      </c>
      <c r="I2953" s="223">
        <f>I2954+I2955</f>
        <v>1279408.57</v>
      </c>
      <c r="J2953" s="223">
        <f>J2954+J2955</f>
        <v>407</v>
      </c>
      <c r="K2953" s="223">
        <f>K2954+K2955</f>
        <v>407</v>
      </c>
    </row>
    <row r="2954" spans="1:11" ht="15.75" customHeight="1" x14ac:dyDescent="0.25">
      <c r="A2954" s="310"/>
      <c r="B2954" s="310"/>
      <c r="C2954" s="333"/>
      <c r="D2954" s="312"/>
      <c r="E2954" s="312"/>
      <c r="F2954" s="313"/>
      <c r="G2954" s="310"/>
      <c r="H2954" s="87" t="s">
        <v>67</v>
      </c>
      <c r="I2954" s="223">
        <f>K2954*D2953</f>
        <v>1251116.98</v>
      </c>
      <c r="J2954" s="223">
        <f>I2954/D2953</f>
        <v>398</v>
      </c>
      <c r="K2954" s="223">
        <v>398</v>
      </c>
    </row>
    <row r="2955" spans="1:11" ht="15.75" customHeight="1" x14ac:dyDescent="0.25">
      <c r="A2955" s="310"/>
      <c r="B2955" s="310"/>
      <c r="C2955" s="333"/>
      <c r="D2955" s="312"/>
      <c r="E2955" s="312"/>
      <c r="F2955" s="313"/>
      <c r="G2955" s="310"/>
      <c r="H2955" s="87" t="s">
        <v>69</v>
      </c>
      <c r="I2955" s="223">
        <f>D2953*K2955</f>
        <v>28291.59</v>
      </c>
      <c r="J2955" s="223">
        <f>I2955/D2953</f>
        <v>9</v>
      </c>
      <c r="K2955" s="223">
        <v>9</v>
      </c>
    </row>
    <row r="2956" spans="1:11" ht="15.75" customHeight="1" x14ac:dyDescent="0.25">
      <c r="A2956" s="310">
        <f>A2953+1</f>
        <v>58</v>
      </c>
      <c r="B2956" s="310">
        <v>3410</v>
      </c>
      <c r="C2956" s="333" t="s">
        <v>643</v>
      </c>
      <c r="D2956" s="312">
        <v>3172.61</v>
      </c>
      <c r="E2956" s="312" t="s">
        <v>68</v>
      </c>
      <c r="F2956" s="313">
        <v>5</v>
      </c>
      <c r="G2956" s="310" t="s">
        <v>74</v>
      </c>
      <c r="H2956" s="87" t="s">
        <v>66</v>
      </c>
      <c r="I2956" s="223">
        <f>I2957+I2958</f>
        <v>1291252.27</v>
      </c>
      <c r="J2956" s="223">
        <f>J2957+J2958</f>
        <v>407</v>
      </c>
      <c r="K2956" s="223">
        <f>K2957+K2958</f>
        <v>407</v>
      </c>
    </row>
    <row r="2957" spans="1:11" ht="15.75" customHeight="1" x14ac:dyDescent="0.25">
      <c r="A2957" s="310"/>
      <c r="B2957" s="310"/>
      <c r="C2957" s="333"/>
      <c r="D2957" s="312"/>
      <c r="E2957" s="312"/>
      <c r="F2957" s="313"/>
      <c r="G2957" s="310"/>
      <c r="H2957" s="87" t="s">
        <v>67</v>
      </c>
      <c r="I2957" s="223">
        <f>K2957*D2956</f>
        <v>1262698.78</v>
      </c>
      <c r="J2957" s="223">
        <f>I2957/D2956</f>
        <v>398</v>
      </c>
      <c r="K2957" s="223">
        <v>398</v>
      </c>
    </row>
    <row r="2958" spans="1:11" ht="15.75" customHeight="1" x14ac:dyDescent="0.25">
      <c r="A2958" s="310"/>
      <c r="B2958" s="310"/>
      <c r="C2958" s="333"/>
      <c r="D2958" s="312"/>
      <c r="E2958" s="312"/>
      <c r="F2958" s="313"/>
      <c r="G2958" s="310"/>
      <c r="H2958" s="87" t="s">
        <v>69</v>
      </c>
      <c r="I2958" s="223">
        <f>D2956*K2958</f>
        <v>28553.49</v>
      </c>
      <c r="J2958" s="223">
        <f>I2958/D2956</f>
        <v>9</v>
      </c>
      <c r="K2958" s="223">
        <v>9</v>
      </c>
    </row>
    <row r="2959" spans="1:11" ht="15.75" customHeight="1" x14ac:dyDescent="0.25">
      <c r="A2959" s="310">
        <f>A2956+1</f>
        <v>59</v>
      </c>
      <c r="B2959" s="310">
        <v>3413</v>
      </c>
      <c r="C2959" s="333" t="s">
        <v>644</v>
      </c>
      <c r="D2959" s="312">
        <v>1249.18</v>
      </c>
      <c r="E2959" s="312" t="s">
        <v>68</v>
      </c>
      <c r="F2959" s="313">
        <v>3</v>
      </c>
      <c r="G2959" s="310" t="s">
        <v>74</v>
      </c>
      <c r="H2959" s="87" t="s">
        <v>66</v>
      </c>
      <c r="I2959" s="223">
        <f>I2960+I2961</f>
        <v>452203.16</v>
      </c>
      <c r="J2959" s="223">
        <f>J2960+J2961</f>
        <v>362</v>
      </c>
      <c r="K2959" s="223">
        <f>K2960+K2961</f>
        <v>362</v>
      </c>
    </row>
    <row r="2960" spans="1:11" ht="15.75" customHeight="1" x14ac:dyDescent="0.25">
      <c r="A2960" s="310"/>
      <c r="B2960" s="310"/>
      <c r="C2960" s="333"/>
      <c r="D2960" s="312"/>
      <c r="E2960" s="312"/>
      <c r="F2960" s="313"/>
      <c r="G2960" s="310"/>
      <c r="H2960" s="87" t="s">
        <v>67</v>
      </c>
      <c r="I2960" s="223">
        <f>K2960*D2959</f>
        <v>442209.72</v>
      </c>
      <c r="J2960" s="223">
        <f>I2960/D2959</f>
        <v>354</v>
      </c>
      <c r="K2960" s="223">
        <v>354</v>
      </c>
    </row>
    <row r="2961" spans="1:11" ht="15.75" customHeight="1" x14ac:dyDescent="0.25">
      <c r="A2961" s="310"/>
      <c r="B2961" s="310"/>
      <c r="C2961" s="333"/>
      <c r="D2961" s="312"/>
      <c r="E2961" s="312"/>
      <c r="F2961" s="313"/>
      <c r="G2961" s="310"/>
      <c r="H2961" s="87" t="s">
        <v>69</v>
      </c>
      <c r="I2961" s="223">
        <f>D2959*K2961</f>
        <v>9993.44</v>
      </c>
      <c r="J2961" s="223">
        <f>I2961/D2959</f>
        <v>8</v>
      </c>
      <c r="K2961" s="223">
        <v>8</v>
      </c>
    </row>
    <row r="2962" spans="1:11" ht="15.75" customHeight="1" x14ac:dyDescent="0.25">
      <c r="A2962" s="310">
        <f>A2959+1</f>
        <v>60</v>
      </c>
      <c r="B2962" s="310">
        <v>4365</v>
      </c>
      <c r="C2962" s="333" t="s">
        <v>645</v>
      </c>
      <c r="D2962" s="312">
        <v>1319.4</v>
      </c>
      <c r="E2962" s="312" t="s">
        <v>68</v>
      </c>
      <c r="F2962" s="313">
        <v>3</v>
      </c>
      <c r="G2962" s="310" t="s">
        <v>74</v>
      </c>
      <c r="H2962" s="87" t="s">
        <v>66</v>
      </c>
      <c r="I2962" s="223">
        <f>I2963+I2964</f>
        <v>477622.8</v>
      </c>
      <c r="J2962" s="223">
        <f>J2963+J2964</f>
        <v>362</v>
      </c>
      <c r="K2962" s="223">
        <f>K2963+K2964</f>
        <v>362</v>
      </c>
    </row>
    <row r="2963" spans="1:11" ht="15.75" customHeight="1" x14ac:dyDescent="0.25">
      <c r="A2963" s="310"/>
      <c r="B2963" s="310"/>
      <c r="C2963" s="333"/>
      <c r="D2963" s="312"/>
      <c r="E2963" s="312"/>
      <c r="F2963" s="313"/>
      <c r="G2963" s="310"/>
      <c r="H2963" s="87" t="s">
        <v>67</v>
      </c>
      <c r="I2963" s="223">
        <f>K2963*D2962</f>
        <v>467067.6</v>
      </c>
      <c r="J2963" s="223">
        <f>I2963/D2962</f>
        <v>354</v>
      </c>
      <c r="K2963" s="223">
        <v>354</v>
      </c>
    </row>
    <row r="2964" spans="1:11" ht="15.75" customHeight="1" x14ac:dyDescent="0.25">
      <c r="A2964" s="310"/>
      <c r="B2964" s="310"/>
      <c r="C2964" s="333"/>
      <c r="D2964" s="312"/>
      <c r="E2964" s="312"/>
      <c r="F2964" s="313"/>
      <c r="G2964" s="310"/>
      <c r="H2964" s="87" t="s">
        <v>69</v>
      </c>
      <c r="I2964" s="223">
        <f>D2962*K2964</f>
        <v>10555.2</v>
      </c>
      <c r="J2964" s="223">
        <f>I2964/D2962</f>
        <v>8</v>
      </c>
      <c r="K2964" s="223">
        <v>8</v>
      </c>
    </row>
    <row r="2965" spans="1:11" ht="15.75" customHeight="1" x14ac:dyDescent="0.25">
      <c r="A2965" s="310">
        <f>A2962+1</f>
        <v>61</v>
      </c>
      <c r="B2965" s="310">
        <v>3414</v>
      </c>
      <c r="C2965" s="333" t="s">
        <v>646</v>
      </c>
      <c r="D2965" s="312">
        <v>905.11</v>
      </c>
      <c r="E2965" s="312" t="s">
        <v>68</v>
      </c>
      <c r="F2965" s="313">
        <v>3</v>
      </c>
      <c r="G2965" s="310" t="s">
        <v>74</v>
      </c>
      <c r="H2965" s="87" t="s">
        <v>66</v>
      </c>
      <c r="I2965" s="223">
        <f>I2966+I2967</f>
        <v>327649.82</v>
      </c>
      <c r="J2965" s="223">
        <f>J2966+J2967</f>
        <v>362</v>
      </c>
      <c r="K2965" s="223">
        <f>K2966+K2967</f>
        <v>362</v>
      </c>
    </row>
    <row r="2966" spans="1:11" ht="15.75" customHeight="1" x14ac:dyDescent="0.25">
      <c r="A2966" s="310"/>
      <c r="B2966" s="310"/>
      <c r="C2966" s="333"/>
      <c r="D2966" s="312"/>
      <c r="E2966" s="312"/>
      <c r="F2966" s="313"/>
      <c r="G2966" s="310"/>
      <c r="H2966" s="87" t="s">
        <v>67</v>
      </c>
      <c r="I2966" s="223">
        <f>K2966*D2965</f>
        <v>320408.94</v>
      </c>
      <c r="J2966" s="223">
        <f>I2966/D2965</f>
        <v>354</v>
      </c>
      <c r="K2966" s="223">
        <v>354</v>
      </c>
    </row>
    <row r="2967" spans="1:11" ht="15.75" customHeight="1" x14ac:dyDescent="0.25">
      <c r="A2967" s="310"/>
      <c r="B2967" s="310"/>
      <c r="C2967" s="333"/>
      <c r="D2967" s="312"/>
      <c r="E2967" s="312"/>
      <c r="F2967" s="313"/>
      <c r="G2967" s="310"/>
      <c r="H2967" s="87" t="s">
        <v>69</v>
      </c>
      <c r="I2967" s="223">
        <f>D2965*K2967</f>
        <v>7240.88</v>
      </c>
      <c r="J2967" s="223">
        <f>I2967/D2965</f>
        <v>8</v>
      </c>
      <c r="K2967" s="223">
        <v>8</v>
      </c>
    </row>
    <row r="2968" spans="1:11" ht="15.75" customHeight="1" x14ac:dyDescent="0.25">
      <c r="A2968" s="310">
        <f>A2965+1</f>
        <v>62</v>
      </c>
      <c r="B2968" s="310">
        <v>3415</v>
      </c>
      <c r="C2968" s="333" t="s">
        <v>647</v>
      </c>
      <c r="D2968" s="312">
        <v>667.9</v>
      </c>
      <c r="E2968" s="312" t="s">
        <v>68</v>
      </c>
      <c r="F2968" s="313">
        <v>3</v>
      </c>
      <c r="G2968" s="310" t="s">
        <v>74</v>
      </c>
      <c r="H2968" s="87" t="s">
        <v>66</v>
      </c>
      <c r="I2968" s="223">
        <f>I2969+I2970</f>
        <v>241779.8</v>
      </c>
      <c r="J2968" s="223">
        <f>J2969+J2970</f>
        <v>362</v>
      </c>
      <c r="K2968" s="223">
        <f>K2969+K2970</f>
        <v>362</v>
      </c>
    </row>
    <row r="2969" spans="1:11" ht="15.75" customHeight="1" x14ac:dyDescent="0.25">
      <c r="A2969" s="310"/>
      <c r="B2969" s="310"/>
      <c r="C2969" s="333"/>
      <c r="D2969" s="312"/>
      <c r="E2969" s="312"/>
      <c r="F2969" s="313"/>
      <c r="G2969" s="310"/>
      <c r="H2969" s="87" t="s">
        <v>67</v>
      </c>
      <c r="I2969" s="223">
        <f>K2969*D2968</f>
        <v>236436.6</v>
      </c>
      <c r="J2969" s="223">
        <f>I2969/D2968</f>
        <v>354</v>
      </c>
      <c r="K2969" s="223">
        <v>354</v>
      </c>
    </row>
    <row r="2970" spans="1:11" ht="15.75" customHeight="1" x14ac:dyDescent="0.25">
      <c r="A2970" s="310"/>
      <c r="B2970" s="310"/>
      <c r="C2970" s="333"/>
      <c r="D2970" s="312"/>
      <c r="E2970" s="312"/>
      <c r="F2970" s="313"/>
      <c r="G2970" s="310"/>
      <c r="H2970" s="87" t="s">
        <v>69</v>
      </c>
      <c r="I2970" s="223">
        <f>D2968*K2970</f>
        <v>5343.2</v>
      </c>
      <c r="J2970" s="223">
        <f>I2970/D2968</f>
        <v>8</v>
      </c>
      <c r="K2970" s="223">
        <v>8</v>
      </c>
    </row>
    <row r="2971" spans="1:11" ht="15.75" customHeight="1" x14ac:dyDescent="0.25">
      <c r="A2971" s="310">
        <f>A2968+1</f>
        <v>63</v>
      </c>
      <c r="B2971" s="310">
        <v>3416</v>
      </c>
      <c r="C2971" s="333" t="s">
        <v>484</v>
      </c>
      <c r="D2971" s="312">
        <v>887</v>
      </c>
      <c r="E2971" s="312" t="s">
        <v>68</v>
      </c>
      <c r="F2971" s="313">
        <v>3</v>
      </c>
      <c r="G2971" s="310" t="s">
        <v>74</v>
      </c>
      <c r="H2971" s="87" t="s">
        <v>66</v>
      </c>
      <c r="I2971" s="223">
        <f>I2972+I2973</f>
        <v>321094</v>
      </c>
      <c r="J2971" s="223">
        <f>J2972+J2973</f>
        <v>362</v>
      </c>
      <c r="K2971" s="223">
        <f>K2972+K2973</f>
        <v>362</v>
      </c>
    </row>
    <row r="2972" spans="1:11" ht="15.75" customHeight="1" x14ac:dyDescent="0.25">
      <c r="A2972" s="310"/>
      <c r="B2972" s="310"/>
      <c r="C2972" s="333"/>
      <c r="D2972" s="312"/>
      <c r="E2972" s="312"/>
      <c r="F2972" s="313"/>
      <c r="G2972" s="310"/>
      <c r="H2972" s="87" t="s">
        <v>67</v>
      </c>
      <c r="I2972" s="223">
        <f>K2972*D2971</f>
        <v>313998</v>
      </c>
      <c r="J2972" s="223">
        <f>I2972/D2971</f>
        <v>354</v>
      </c>
      <c r="K2972" s="223">
        <v>354</v>
      </c>
    </row>
    <row r="2973" spans="1:11" ht="15.75" customHeight="1" x14ac:dyDescent="0.25">
      <c r="A2973" s="310"/>
      <c r="B2973" s="310"/>
      <c r="C2973" s="333"/>
      <c r="D2973" s="312"/>
      <c r="E2973" s="312"/>
      <c r="F2973" s="313"/>
      <c r="G2973" s="310"/>
      <c r="H2973" s="87" t="s">
        <v>69</v>
      </c>
      <c r="I2973" s="223">
        <f>D2971*K2973</f>
        <v>7096</v>
      </c>
      <c r="J2973" s="223">
        <f>I2973/D2971</f>
        <v>8</v>
      </c>
      <c r="K2973" s="223">
        <v>8</v>
      </c>
    </row>
    <row r="2974" spans="1:11" ht="15.75" customHeight="1" x14ac:dyDescent="0.25">
      <c r="A2974" s="310">
        <f>A2971+1</f>
        <v>64</v>
      </c>
      <c r="B2974" s="310">
        <v>3417</v>
      </c>
      <c r="C2974" s="333" t="s">
        <v>485</v>
      </c>
      <c r="D2974" s="312">
        <v>921.5</v>
      </c>
      <c r="E2974" s="312" t="s">
        <v>68</v>
      </c>
      <c r="F2974" s="313">
        <v>3</v>
      </c>
      <c r="G2974" s="310" t="s">
        <v>74</v>
      </c>
      <c r="H2974" s="87" t="s">
        <v>66</v>
      </c>
      <c r="I2974" s="223">
        <f>I2975+I2976</f>
        <v>333583</v>
      </c>
      <c r="J2974" s="223">
        <f>J2975+J2976</f>
        <v>362</v>
      </c>
      <c r="K2974" s="223">
        <f>K2975+K2976</f>
        <v>362</v>
      </c>
    </row>
    <row r="2975" spans="1:11" ht="15.75" customHeight="1" x14ac:dyDescent="0.25">
      <c r="A2975" s="310"/>
      <c r="B2975" s="310"/>
      <c r="C2975" s="333"/>
      <c r="D2975" s="312"/>
      <c r="E2975" s="312"/>
      <c r="F2975" s="313"/>
      <c r="G2975" s="310"/>
      <c r="H2975" s="87" t="s">
        <v>67</v>
      </c>
      <c r="I2975" s="223">
        <f>K2975*D2974</f>
        <v>326211</v>
      </c>
      <c r="J2975" s="223">
        <f>I2975/D2974</f>
        <v>354</v>
      </c>
      <c r="K2975" s="223">
        <v>354</v>
      </c>
    </row>
    <row r="2976" spans="1:11" ht="15.75" customHeight="1" x14ac:dyDescent="0.25">
      <c r="A2976" s="310"/>
      <c r="B2976" s="310"/>
      <c r="C2976" s="333"/>
      <c r="D2976" s="312"/>
      <c r="E2976" s="312"/>
      <c r="F2976" s="313"/>
      <c r="G2976" s="310"/>
      <c r="H2976" s="87" t="s">
        <v>69</v>
      </c>
      <c r="I2976" s="223">
        <f>D2974*K2976</f>
        <v>7372</v>
      </c>
      <c r="J2976" s="223">
        <f>I2976/D2974</f>
        <v>8</v>
      </c>
      <c r="K2976" s="223">
        <v>8</v>
      </c>
    </row>
    <row r="2977" spans="1:11" x14ac:dyDescent="0.25">
      <c r="A2977" s="310">
        <f>A2974+1</f>
        <v>65</v>
      </c>
      <c r="B2977" s="310">
        <v>3147</v>
      </c>
      <c r="C2977" s="333" t="s">
        <v>110</v>
      </c>
      <c r="D2977" s="312">
        <v>8711.5</v>
      </c>
      <c r="E2977" s="312" t="s">
        <v>64</v>
      </c>
      <c r="F2977" s="313">
        <v>9</v>
      </c>
      <c r="G2977" s="310" t="s">
        <v>65</v>
      </c>
      <c r="H2977" s="87" t="s">
        <v>66</v>
      </c>
      <c r="I2977" s="223">
        <f>I2978+I2979</f>
        <v>15005531.01</v>
      </c>
      <c r="J2977" s="223">
        <f>J2978+J2979</f>
        <v>1722.5</v>
      </c>
      <c r="K2977" s="223">
        <f>K2978+K2979</f>
        <v>2492</v>
      </c>
    </row>
    <row r="2978" spans="1:11" x14ac:dyDescent="0.25">
      <c r="A2978" s="310">
        <v>77</v>
      </c>
      <c r="B2978" s="310"/>
      <c r="C2978" s="333"/>
      <c r="D2978" s="310"/>
      <c r="E2978" s="312"/>
      <c r="F2978" s="313"/>
      <c r="G2978" s="310"/>
      <c r="H2978" s="87" t="s">
        <v>67</v>
      </c>
      <c r="I2978" s="223">
        <f>(11855267+147298.85)*1.02*1.2</f>
        <v>14691140.6</v>
      </c>
      <c r="J2978" s="223">
        <f>I2978/D2977</f>
        <v>1686.41</v>
      </c>
      <c r="K2978" s="223">
        <v>2440</v>
      </c>
    </row>
    <row r="2979" spans="1:11" x14ac:dyDescent="0.25">
      <c r="A2979" s="310"/>
      <c r="B2979" s="310"/>
      <c r="C2979" s="333"/>
      <c r="D2979" s="310"/>
      <c r="E2979" s="312"/>
      <c r="F2979" s="313"/>
      <c r="G2979" s="310"/>
      <c r="H2979" s="87" t="s">
        <v>69</v>
      </c>
      <c r="I2979" s="223">
        <f>I2978*0.0214</f>
        <v>314390.40999999997</v>
      </c>
      <c r="J2979" s="223">
        <f>I2979/D2977</f>
        <v>36.090000000000003</v>
      </c>
      <c r="K2979" s="223">
        <v>52</v>
      </c>
    </row>
    <row r="2980" spans="1:11" ht="15.75" customHeight="1" x14ac:dyDescent="0.25">
      <c r="A2980" s="307">
        <f>A2977+1</f>
        <v>66</v>
      </c>
      <c r="B2980" s="307">
        <v>4256</v>
      </c>
      <c r="C2980" s="315" t="s">
        <v>648</v>
      </c>
      <c r="D2980" s="318">
        <v>5120</v>
      </c>
      <c r="E2980" s="307" t="s">
        <v>68</v>
      </c>
      <c r="F2980" s="307">
        <v>9</v>
      </c>
      <c r="G2980" s="145"/>
      <c r="H2980" s="87" t="s">
        <v>66</v>
      </c>
      <c r="I2980" s="223">
        <f>I2981+I2982</f>
        <v>2289618</v>
      </c>
      <c r="J2980" s="223">
        <f>J2981+J2982</f>
        <v>447.19</v>
      </c>
      <c r="K2980" s="223">
        <f>K2981+K2982</f>
        <v>447.19</v>
      </c>
    </row>
    <row r="2981" spans="1:11" ht="15.75" customHeight="1" x14ac:dyDescent="0.25">
      <c r="A2981" s="308"/>
      <c r="B2981" s="308"/>
      <c r="C2981" s="317"/>
      <c r="D2981" s="319"/>
      <c r="E2981" s="308"/>
      <c r="F2981" s="308"/>
      <c r="G2981" s="308" t="s">
        <v>170</v>
      </c>
      <c r="H2981" s="87" t="s">
        <v>171</v>
      </c>
      <c r="I2981" s="223">
        <v>2241647</v>
      </c>
      <c r="J2981" s="223">
        <f>I2981/D2980</f>
        <v>437.82</v>
      </c>
      <c r="K2981" s="223">
        <f>2241647/D2980</f>
        <v>437.82</v>
      </c>
    </row>
    <row r="2982" spans="1:11" ht="15.75" customHeight="1" x14ac:dyDescent="0.25">
      <c r="A2982" s="308"/>
      <c r="B2982" s="308"/>
      <c r="C2982" s="317"/>
      <c r="D2982" s="319"/>
      <c r="E2982" s="308"/>
      <c r="F2982" s="308"/>
      <c r="G2982" s="309"/>
      <c r="H2982" s="87" t="s">
        <v>69</v>
      </c>
      <c r="I2982" s="223">
        <v>47971</v>
      </c>
      <c r="J2982" s="223">
        <f>I2982/D2980</f>
        <v>9.3699999999999992</v>
      </c>
      <c r="K2982" s="223">
        <f>47971/D2980</f>
        <v>9.3699999999999992</v>
      </c>
    </row>
    <row r="2983" spans="1:11" x14ac:dyDescent="0.25">
      <c r="A2983" s="310">
        <f>A2980+1</f>
        <v>67</v>
      </c>
      <c r="B2983" s="310">
        <v>3423</v>
      </c>
      <c r="C2983" s="333" t="s">
        <v>374</v>
      </c>
      <c r="D2983" s="312">
        <v>3421.41</v>
      </c>
      <c r="E2983" s="312" t="s">
        <v>68</v>
      </c>
      <c r="F2983" s="313">
        <v>7</v>
      </c>
      <c r="G2983" s="310" t="s">
        <v>65</v>
      </c>
      <c r="H2983" s="87" t="s">
        <v>66</v>
      </c>
      <c r="I2983" s="223">
        <f>I2984+I2985</f>
        <v>8526153.7200000007</v>
      </c>
      <c r="J2983" s="223">
        <f>J2984+J2985</f>
        <v>2492</v>
      </c>
      <c r="K2983" s="223">
        <f>K2984+K2985</f>
        <v>2492</v>
      </c>
    </row>
    <row r="2984" spans="1:11" x14ac:dyDescent="0.25">
      <c r="A2984" s="310">
        <v>77</v>
      </c>
      <c r="B2984" s="310"/>
      <c r="C2984" s="333"/>
      <c r="D2984" s="310"/>
      <c r="E2984" s="312"/>
      <c r="F2984" s="313"/>
      <c r="G2984" s="310"/>
      <c r="H2984" s="87" t="s">
        <v>67</v>
      </c>
      <c r="I2984" s="223">
        <f>D2983*K2984</f>
        <v>8348240.4000000004</v>
      </c>
      <c r="J2984" s="223">
        <f>I2984/D2983</f>
        <v>2440</v>
      </c>
      <c r="K2984" s="223">
        <v>2440</v>
      </c>
    </row>
    <row r="2985" spans="1:11" x14ac:dyDescent="0.25">
      <c r="A2985" s="310"/>
      <c r="B2985" s="310"/>
      <c r="C2985" s="333"/>
      <c r="D2985" s="310"/>
      <c r="E2985" s="312"/>
      <c r="F2985" s="313"/>
      <c r="G2985" s="310"/>
      <c r="H2985" s="87" t="s">
        <v>69</v>
      </c>
      <c r="I2985" s="223">
        <f>D2983*K2985</f>
        <v>177913.32</v>
      </c>
      <c r="J2985" s="223">
        <f>I2985/D2983</f>
        <v>52</v>
      </c>
      <c r="K2985" s="223">
        <v>52</v>
      </c>
    </row>
    <row r="2986" spans="1:11" ht="15.75" customHeight="1" x14ac:dyDescent="0.25">
      <c r="A2986" s="310">
        <f>A2983+1</f>
        <v>68</v>
      </c>
      <c r="B2986" s="310">
        <v>2292</v>
      </c>
      <c r="C2986" s="333" t="s">
        <v>649</v>
      </c>
      <c r="D2986" s="312">
        <v>2567.1999999999998</v>
      </c>
      <c r="E2986" s="312" t="s">
        <v>68</v>
      </c>
      <c r="F2986" s="313">
        <v>6</v>
      </c>
      <c r="G2986" s="310" t="s">
        <v>65</v>
      </c>
      <c r="H2986" s="87" t="s">
        <v>66</v>
      </c>
      <c r="I2986" s="223">
        <f>I2987+I2988</f>
        <v>9955601.5999999996</v>
      </c>
      <c r="J2986" s="223">
        <f>J2987+J2988</f>
        <v>3878</v>
      </c>
      <c r="K2986" s="223">
        <f>K2987+K2988</f>
        <v>3878</v>
      </c>
    </row>
    <row r="2987" spans="1:11" ht="15.75" customHeight="1" x14ac:dyDescent="0.25">
      <c r="A2987" s="310">
        <v>77</v>
      </c>
      <c r="B2987" s="310"/>
      <c r="C2987" s="333"/>
      <c r="D2987" s="310"/>
      <c r="E2987" s="312"/>
      <c r="F2987" s="313"/>
      <c r="G2987" s="310"/>
      <c r="H2987" s="87" t="s">
        <v>67</v>
      </c>
      <c r="I2987" s="223">
        <f>D2986*K2987</f>
        <v>9747658.4000000004</v>
      </c>
      <c r="J2987" s="223">
        <f>I2987/D2986</f>
        <v>3797</v>
      </c>
      <c r="K2987" s="223">
        <v>3797</v>
      </c>
    </row>
    <row r="2988" spans="1:11" ht="15.75" customHeight="1" x14ac:dyDescent="0.25">
      <c r="A2988" s="310"/>
      <c r="B2988" s="310"/>
      <c r="C2988" s="333"/>
      <c r="D2988" s="310"/>
      <c r="E2988" s="312"/>
      <c r="F2988" s="313"/>
      <c r="G2988" s="310"/>
      <c r="H2988" s="87" t="s">
        <v>69</v>
      </c>
      <c r="I2988" s="223">
        <f>K2988*D2986</f>
        <v>207943.2</v>
      </c>
      <c r="J2988" s="223">
        <f>I2988/D2986</f>
        <v>81</v>
      </c>
      <c r="K2988" s="223">
        <v>81</v>
      </c>
    </row>
    <row r="2989" spans="1:11" ht="15.75" customHeight="1" x14ac:dyDescent="0.25">
      <c r="A2989" s="307">
        <f>A2986+1</f>
        <v>69</v>
      </c>
      <c r="B2989" s="307">
        <v>2475</v>
      </c>
      <c r="C2989" s="315" t="s">
        <v>650</v>
      </c>
      <c r="D2989" s="318">
        <v>16514.59</v>
      </c>
      <c r="E2989" s="307" t="s">
        <v>64</v>
      </c>
      <c r="F2989" s="307">
        <v>10</v>
      </c>
      <c r="G2989" s="145"/>
      <c r="H2989" s="87" t="s">
        <v>66</v>
      </c>
      <c r="I2989" s="223">
        <f>I2990+I2991+I2992+I2993+I2994+I2995</f>
        <v>6868854</v>
      </c>
      <c r="J2989" s="223">
        <f>J2990+J2991+J2992+J2993+J2994+J2995</f>
        <v>415.93</v>
      </c>
      <c r="K2989" s="223">
        <f>K2990+K2991+K2992+K2993+K2994+K2995</f>
        <v>415.93</v>
      </c>
    </row>
    <row r="2990" spans="1:11" ht="15.75" customHeight="1" x14ac:dyDescent="0.25">
      <c r="A2990" s="308"/>
      <c r="B2990" s="308"/>
      <c r="C2990" s="317"/>
      <c r="D2990" s="319"/>
      <c r="E2990" s="308"/>
      <c r="F2990" s="308"/>
      <c r="G2990" s="307" t="s">
        <v>174</v>
      </c>
      <c r="H2990" s="87" t="s">
        <v>171</v>
      </c>
      <c r="I2990" s="223">
        <v>2241647</v>
      </c>
      <c r="J2990" s="223">
        <f>I2990/D2989</f>
        <v>135.74</v>
      </c>
      <c r="K2990" s="223">
        <f>2241647/D2989</f>
        <v>135.74</v>
      </c>
    </row>
    <row r="2991" spans="1:11" ht="15.75" customHeight="1" x14ac:dyDescent="0.25">
      <c r="A2991" s="308"/>
      <c r="B2991" s="308"/>
      <c r="C2991" s="317"/>
      <c r="D2991" s="319"/>
      <c r="E2991" s="308"/>
      <c r="F2991" s="308"/>
      <c r="G2991" s="309"/>
      <c r="H2991" s="87" t="s">
        <v>69</v>
      </c>
      <c r="I2991" s="223">
        <v>47971</v>
      </c>
      <c r="J2991" s="223">
        <f>I2991/D2989</f>
        <v>2.9</v>
      </c>
      <c r="K2991" s="223">
        <f>47971/D2989</f>
        <v>2.9</v>
      </c>
    </row>
    <row r="2992" spans="1:11" ht="15.75" customHeight="1" x14ac:dyDescent="0.25">
      <c r="A2992" s="308"/>
      <c r="B2992" s="308"/>
      <c r="C2992" s="317"/>
      <c r="D2992" s="319"/>
      <c r="E2992" s="308"/>
      <c r="F2992" s="308"/>
      <c r="G2992" s="307" t="s">
        <v>175</v>
      </c>
      <c r="H2992" s="87" t="s">
        <v>171</v>
      </c>
      <c r="I2992" s="223">
        <v>2241647</v>
      </c>
      <c r="J2992" s="223">
        <f>I2992/D2989</f>
        <v>135.74</v>
      </c>
      <c r="K2992" s="223">
        <f>2241647/D2989</f>
        <v>135.74</v>
      </c>
    </row>
    <row r="2993" spans="1:11" ht="15.75" customHeight="1" x14ac:dyDescent="0.25">
      <c r="A2993" s="308"/>
      <c r="B2993" s="308"/>
      <c r="C2993" s="317"/>
      <c r="D2993" s="319"/>
      <c r="E2993" s="308"/>
      <c r="F2993" s="308"/>
      <c r="G2993" s="309"/>
      <c r="H2993" s="87" t="s">
        <v>69</v>
      </c>
      <c r="I2993" s="223">
        <v>47971</v>
      </c>
      <c r="J2993" s="223">
        <f>I2993/D2989</f>
        <v>2.9</v>
      </c>
      <c r="K2993" s="223">
        <f>47971/D2989</f>
        <v>2.9</v>
      </c>
    </row>
    <row r="2994" spans="1:11" ht="15.75" customHeight="1" x14ac:dyDescent="0.25">
      <c r="A2994" s="308"/>
      <c r="B2994" s="308"/>
      <c r="C2994" s="317"/>
      <c r="D2994" s="319"/>
      <c r="E2994" s="308"/>
      <c r="F2994" s="308"/>
      <c r="G2994" s="307" t="s">
        <v>172</v>
      </c>
      <c r="H2994" s="87" t="s">
        <v>171</v>
      </c>
      <c r="I2994" s="223">
        <v>2241647</v>
      </c>
      <c r="J2994" s="223">
        <f>I2994/D2989+0.01</f>
        <v>135.75</v>
      </c>
      <c r="K2994" s="223">
        <f>2241647/D2989+0.01</f>
        <v>135.75</v>
      </c>
    </row>
    <row r="2995" spans="1:11" ht="15.75" customHeight="1" x14ac:dyDescent="0.25">
      <c r="A2995" s="308"/>
      <c r="B2995" s="308"/>
      <c r="C2995" s="317"/>
      <c r="D2995" s="319"/>
      <c r="E2995" s="308"/>
      <c r="F2995" s="308"/>
      <c r="G2995" s="309"/>
      <c r="H2995" s="87" t="s">
        <v>69</v>
      </c>
      <c r="I2995" s="223">
        <v>47971</v>
      </c>
      <c r="J2995" s="223">
        <f>I2995/D2989</f>
        <v>2.9</v>
      </c>
      <c r="K2995" s="223">
        <f>47971/D2989</f>
        <v>2.9</v>
      </c>
    </row>
    <row r="2996" spans="1:11" ht="15.75" customHeight="1" x14ac:dyDescent="0.25">
      <c r="A2996" s="310">
        <f>A2989+1</f>
        <v>70</v>
      </c>
      <c r="B2996" s="310">
        <v>2405</v>
      </c>
      <c r="C2996" s="311" t="s">
        <v>747</v>
      </c>
      <c r="D2996" s="312">
        <v>3319.7</v>
      </c>
      <c r="E2996" s="312" t="s">
        <v>68</v>
      </c>
      <c r="F2996" s="313">
        <v>5</v>
      </c>
      <c r="G2996" s="310" t="s">
        <v>65</v>
      </c>
      <c r="H2996" s="87" t="s">
        <v>66</v>
      </c>
      <c r="I2996" s="223">
        <f>I2997+I2998</f>
        <v>12445555.300000001</v>
      </c>
      <c r="J2996" s="223">
        <f>J2997+J2998</f>
        <v>3749</v>
      </c>
      <c r="K2996" s="223">
        <f>K2997+K2998</f>
        <v>3749</v>
      </c>
    </row>
    <row r="2997" spans="1:11" ht="31.5" customHeight="1" x14ac:dyDescent="0.25">
      <c r="A2997" s="310">
        <v>77</v>
      </c>
      <c r="B2997" s="310"/>
      <c r="C2997" s="311"/>
      <c r="D2997" s="310"/>
      <c r="E2997" s="312"/>
      <c r="F2997" s="313"/>
      <c r="G2997" s="310"/>
      <c r="H2997" s="87" t="s">
        <v>76</v>
      </c>
      <c r="I2997" s="223">
        <f>D2996*K2997</f>
        <v>12183299</v>
      </c>
      <c r="J2997" s="223">
        <f>I2997/D2996</f>
        <v>3670</v>
      </c>
      <c r="K2997" s="223">
        <v>3670</v>
      </c>
    </row>
    <row r="2998" spans="1:11" ht="15.75" customHeight="1" x14ac:dyDescent="0.25">
      <c r="A2998" s="310"/>
      <c r="B2998" s="310"/>
      <c r="C2998" s="311"/>
      <c r="D2998" s="310"/>
      <c r="E2998" s="312"/>
      <c r="F2998" s="313"/>
      <c r="G2998" s="310"/>
      <c r="H2998" s="87" t="s">
        <v>69</v>
      </c>
      <c r="I2998" s="223">
        <f>D2996*K2998</f>
        <v>262256.3</v>
      </c>
      <c r="J2998" s="223">
        <f>I2998/D2996</f>
        <v>79</v>
      </c>
      <c r="K2998" s="223">
        <v>79</v>
      </c>
    </row>
    <row r="2999" spans="1:11" ht="15.75" customHeight="1" x14ac:dyDescent="0.25">
      <c r="A2999" s="307">
        <f>A2996+1</f>
        <v>71</v>
      </c>
      <c r="B2999" s="307">
        <v>2243</v>
      </c>
      <c r="C2999" s="315" t="s">
        <v>651</v>
      </c>
      <c r="D2999" s="318">
        <v>13145.2</v>
      </c>
      <c r="E2999" s="307" t="s">
        <v>64</v>
      </c>
      <c r="F2999" s="307">
        <v>10</v>
      </c>
      <c r="G2999" s="145"/>
      <c r="H2999" s="87" t="s">
        <v>66</v>
      </c>
      <c r="I2999" s="223">
        <f>I3000+I3001+I3002+I3003+I3004+I3005+I3006+I3007+I3008+I3009+I3010+I3011</f>
        <v>13737708</v>
      </c>
      <c r="J2999" s="223">
        <f>J3000+J3001+J3002+J3003+J3004+J3005+J3006+J3007+J3008+J3009+J3010+J3011</f>
        <v>1045.07</v>
      </c>
      <c r="K2999" s="223">
        <f>K3000+K3001+K3002+K3003+K3004+K3005+K3006+K3007+K3008+K3009+K3010+K3011</f>
        <v>1045.07</v>
      </c>
    </row>
    <row r="3000" spans="1:11" ht="15.75" customHeight="1" x14ac:dyDescent="0.25">
      <c r="A3000" s="308"/>
      <c r="B3000" s="308"/>
      <c r="C3000" s="317"/>
      <c r="D3000" s="319"/>
      <c r="E3000" s="308"/>
      <c r="F3000" s="308"/>
      <c r="G3000" s="307" t="s">
        <v>170</v>
      </c>
      <c r="H3000" s="87" t="s">
        <v>171</v>
      </c>
      <c r="I3000" s="223">
        <v>2241647</v>
      </c>
      <c r="J3000" s="223">
        <f>I3000/D2999</f>
        <v>170.53</v>
      </c>
      <c r="K3000" s="223">
        <f>2241647/D2999</f>
        <v>170.53</v>
      </c>
    </row>
    <row r="3001" spans="1:11" ht="15.75" customHeight="1" x14ac:dyDescent="0.25">
      <c r="A3001" s="308"/>
      <c r="B3001" s="308"/>
      <c r="C3001" s="317"/>
      <c r="D3001" s="319"/>
      <c r="E3001" s="308"/>
      <c r="F3001" s="308"/>
      <c r="G3001" s="309"/>
      <c r="H3001" s="87" t="s">
        <v>69</v>
      </c>
      <c r="I3001" s="223">
        <v>47971</v>
      </c>
      <c r="J3001" s="223">
        <f>I3001/D2999</f>
        <v>3.65</v>
      </c>
      <c r="K3001" s="223">
        <f>47971/D2999</f>
        <v>3.65</v>
      </c>
    </row>
    <row r="3002" spans="1:11" ht="15.75" customHeight="1" x14ac:dyDescent="0.25">
      <c r="A3002" s="308"/>
      <c r="B3002" s="308"/>
      <c r="C3002" s="317"/>
      <c r="D3002" s="319"/>
      <c r="E3002" s="308"/>
      <c r="F3002" s="308"/>
      <c r="G3002" s="307" t="s">
        <v>173</v>
      </c>
      <c r="H3002" s="87" t="s">
        <v>171</v>
      </c>
      <c r="I3002" s="223">
        <v>2241647</v>
      </c>
      <c r="J3002" s="223">
        <f>I3002/D2999</f>
        <v>170.53</v>
      </c>
      <c r="K3002" s="223">
        <f>2241647/D2999</f>
        <v>170.53</v>
      </c>
    </row>
    <row r="3003" spans="1:11" ht="15.75" customHeight="1" x14ac:dyDescent="0.25">
      <c r="A3003" s="308"/>
      <c r="B3003" s="308"/>
      <c r="C3003" s="317"/>
      <c r="D3003" s="319"/>
      <c r="E3003" s="308"/>
      <c r="F3003" s="308"/>
      <c r="G3003" s="309"/>
      <c r="H3003" s="87" t="s">
        <v>69</v>
      </c>
      <c r="I3003" s="223">
        <v>47971</v>
      </c>
      <c r="J3003" s="223">
        <f>I3003/D2999</f>
        <v>3.65</v>
      </c>
      <c r="K3003" s="223">
        <f>47971/D2999</f>
        <v>3.65</v>
      </c>
    </row>
    <row r="3004" spans="1:11" ht="15.75" customHeight="1" x14ac:dyDescent="0.25">
      <c r="A3004" s="308"/>
      <c r="B3004" s="308"/>
      <c r="C3004" s="317"/>
      <c r="D3004" s="319"/>
      <c r="E3004" s="308"/>
      <c r="F3004" s="308"/>
      <c r="G3004" s="307" t="s">
        <v>174</v>
      </c>
      <c r="H3004" s="87" t="s">
        <v>171</v>
      </c>
      <c r="I3004" s="223">
        <v>2241647</v>
      </c>
      <c r="J3004" s="223">
        <f>I3004/D2999-0.01</f>
        <v>170.52</v>
      </c>
      <c r="K3004" s="223">
        <f>2241647/D2999-0.01</f>
        <v>170.52</v>
      </c>
    </row>
    <row r="3005" spans="1:11" ht="15.75" customHeight="1" x14ac:dyDescent="0.25">
      <c r="A3005" s="308"/>
      <c r="B3005" s="308"/>
      <c r="C3005" s="317"/>
      <c r="D3005" s="319"/>
      <c r="E3005" s="308"/>
      <c r="F3005" s="308"/>
      <c r="G3005" s="309"/>
      <c r="H3005" s="87" t="s">
        <v>69</v>
      </c>
      <c r="I3005" s="223">
        <v>47971</v>
      </c>
      <c r="J3005" s="223">
        <f>I3005/D2999</f>
        <v>3.65</v>
      </c>
      <c r="K3005" s="223">
        <f>47971/D2999</f>
        <v>3.65</v>
      </c>
    </row>
    <row r="3006" spans="1:11" ht="15.75" customHeight="1" x14ac:dyDescent="0.25">
      <c r="A3006" s="308"/>
      <c r="B3006" s="308"/>
      <c r="C3006" s="317"/>
      <c r="D3006" s="319"/>
      <c r="E3006" s="308"/>
      <c r="F3006" s="308"/>
      <c r="G3006" s="307" t="s">
        <v>175</v>
      </c>
      <c r="H3006" s="87" t="s">
        <v>171</v>
      </c>
      <c r="I3006" s="223">
        <v>2241647</v>
      </c>
      <c r="J3006" s="223">
        <f>I3006/D2999</f>
        <v>170.53</v>
      </c>
      <c r="K3006" s="223">
        <f>2241647/D2999</f>
        <v>170.53</v>
      </c>
    </row>
    <row r="3007" spans="1:11" ht="15.75" customHeight="1" x14ac:dyDescent="0.25">
      <c r="A3007" s="308"/>
      <c r="B3007" s="308"/>
      <c r="C3007" s="317"/>
      <c r="D3007" s="319"/>
      <c r="E3007" s="308"/>
      <c r="F3007" s="308"/>
      <c r="G3007" s="309"/>
      <c r="H3007" s="87" t="s">
        <v>69</v>
      </c>
      <c r="I3007" s="223">
        <v>47971</v>
      </c>
      <c r="J3007" s="223">
        <f>I3007/D2999</f>
        <v>3.65</v>
      </c>
      <c r="K3007" s="223">
        <f>47971/D2999</f>
        <v>3.65</v>
      </c>
    </row>
    <row r="3008" spans="1:11" ht="15.75" customHeight="1" x14ac:dyDescent="0.25">
      <c r="A3008" s="308"/>
      <c r="B3008" s="308"/>
      <c r="C3008" s="317"/>
      <c r="D3008" s="319"/>
      <c r="E3008" s="308"/>
      <c r="F3008" s="308"/>
      <c r="G3008" s="307" t="s">
        <v>172</v>
      </c>
      <c r="H3008" s="87" t="s">
        <v>171</v>
      </c>
      <c r="I3008" s="223">
        <v>2241647</v>
      </c>
      <c r="J3008" s="223">
        <f>I3008/D2999</f>
        <v>170.53</v>
      </c>
      <c r="K3008" s="223">
        <f>2241647/D2999</f>
        <v>170.53</v>
      </c>
    </row>
    <row r="3009" spans="1:11" ht="15.75" customHeight="1" x14ac:dyDescent="0.25">
      <c r="A3009" s="308"/>
      <c r="B3009" s="308"/>
      <c r="C3009" s="317"/>
      <c r="D3009" s="319"/>
      <c r="E3009" s="308"/>
      <c r="F3009" s="308"/>
      <c r="G3009" s="309"/>
      <c r="H3009" s="87" t="s">
        <v>69</v>
      </c>
      <c r="I3009" s="223">
        <v>47971</v>
      </c>
      <c r="J3009" s="223">
        <f>I3009/D2999</f>
        <v>3.65</v>
      </c>
      <c r="K3009" s="223">
        <f>47971/D2999</f>
        <v>3.65</v>
      </c>
    </row>
    <row r="3010" spans="1:11" ht="15.75" customHeight="1" x14ac:dyDescent="0.25">
      <c r="A3010" s="308"/>
      <c r="B3010" s="308"/>
      <c r="C3010" s="317"/>
      <c r="D3010" s="319"/>
      <c r="E3010" s="308"/>
      <c r="F3010" s="308"/>
      <c r="G3010" s="307" t="s">
        <v>440</v>
      </c>
      <c r="H3010" s="87" t="s">
        <v>171</v>
      </c>
      <c r="I3010" s="223">
        <v>2241647</v>
      </c>
      <c r="J3010" s="223">
        <f>I3010/D2999</f>
        <v>170.53</v>
      </c>
      <c r="K3010" s="223">
        <f>2241647/D2999</f>
        <v>170.53</v>
      </c>
    </row>
    <row r="3011" spans="1:11" ht="15.75" customHeight="1" x14ac:dyDescent="0.25">
      <c r="A3011" s="308"/>
      <c r="B3011" s="308"/>
      <c r="C3011" s="317"/>
      <c r="D3011" s="319"/>
      <c r="E3011" s="308"/>
      <c r="F3011" s="308"/>
      <c r="G3011" s="309"/>
      <c r="H3011" s="87" t="s">
        <v>69</v>
      </c>
      <c r="I3011" s="223">
        <v>47971</v>
      </c>
      <c r="J3011" s="223">
        <f>I3011/D2999</f>
        <v>3.65</v>
      </c>
      <c r="K3011" s="223">
        <f>47971/D2999</f>
        <v>3.65</v>
      </c>
    </row>
    <row r="3012" spans="1:11" ht="15.75" customHeight="1" x14ac:dyDescent="0.25">
      <c r="A3012" s="310">
        <f>A2999+1</f>
        <v>72</v>
      </c>
      <c r="B3012" s="310">
        <v>2276</v>
      </c>
      <c r="C3012" s="311" t="s">
        <v>547</v>
      </c>
      <c r="D3012" s="312">
        <v>3594.95</v>
      </c>
      <c r="E3012" s="312" t="s">
        <v>64</v>
      </c>
      <c r="F3012" s="313">
        <v>5</v>
      </c>
      <c r="G3012" s="310" t="s">
        <v>65</v>
      </c>
      <c r="H3012" s="87" t="s">
        <v>66</v>
      </c>
      <c r="I3012" s="223">
        <f>I3013+I3014</f>
        <v>13477467.550000001</v>
      </c>
      <c r="J3012" s="223">
        <f>J3013+J3014</f>
        <v>3749</v>
      </c>
      <c r="K3012" s="223">
        <f>K3013+K3014</f>
        <v>3749</v>
      </c>
    </row>
    <row r="3013" spans="1:11" ht="31.5" customHeight="1" x14ac:dyDescent="0.25">
      <c r="A3013" s="310">
        <v>77</v>
      </c>
      <c r="B3013" s="310"/>
      <c r="C3013" s="311"/>
      <c r="D3013" s="310"/>
      <c r="E3013" s="312"/>
      <c r="F3013" s="313"/>
      <c r="G3013" s="310"/>
      <c r="H3013" s="87" t="s">
        <v>76</v>
      </c>
      <c r="I3013" s="223">
        <f>D3012*K3013</f>
        <v>13193466.5</v>
      </c>
      <c r="J3013" s="223">
        <f>I3013/D3012</f>
        <v>3670</v>
      </c>
      <c r="K3013" s="223">
        <v>3670</v>
      </c>
    </row>
    <row r="3014" spans="1:11" ht="15.75" customHeight="1" x14ac:dyDescent="0.25">
      <c r="A3014" s="310"/>
      <c r="B3014" s="310"/>
      <c r="C3014" s="311"/>
      <c r="D3014" s="310"/>
      <c r="E3014" s="312"/>
      <c r="F3014" s="313"/>
      <c r="G3014" s="310"/>
      <c r="H3014" s="87" t="s">
        <v>69</v>
      </c>
      <c r="I3014" s="223">
        <f>D3012*K3014</f>
        <v>284001.05</v>
      </c>
      <c r="J3014" s="223">
        <f>I3014/D3012</f>
        <v>79</v>
      </c>
      <c r="K3014" s="223">
        <v>79</v>
      </c>
    </row>
    <row r="3015" spans="1:11" x14ac:dyDescent="0.25">
      <c r="A3015" s="310">
        <f>A3012+1</f>
        <v>73</v>
      </c>
      <c r="B3015" s="310">
        <v>2286</v>
      </c>
      <c r="C3015" s="333" t="s">
        <v>220</v>
      </c>
      <c r="D3015" s="312">
        <v>18477.8</v>
      </c>
      <c r="E3015" s="312" t="s">
        <v>64</v>
      </c>
      <c r="F3015" s="313">
        <v>9</v>
      </c>
      <c r="G3015" s="310" t="s">
        <v>65</v>
      </c>
      <c r="H3015" s="87" t="s">
        <v>66</v>
      </c>
      <c r="I3015" s="223">
        <f>I3016+I3017</f>
        <v>41258864.920000002</v>
      </c>
      <c r="J3015" s="223">
        <f>J3016+J3017</f>
        <v>2232.89</v>
      </c>
      <c r="K3015" s="223">
        <f>K3016+K3017</f>
        <v>2492</v>
      </c>
    </row>
    <row r="3016" spans="1:11" x14ac:dyDescent="0.25">
      <c r="A3016" s="310">
        <v>77</v>
      </c>
      <c r="B3016" s="310"/>
      <c r="C3016" s="333"/>
      <c r="D3016" s="310"/>
      <c r="E3016" s="312"/>
      <c r="F3016" s="313"/>
      <c r="G3016" s="310"/>
      <c r="H3016" s="87" t="s">
        <v>67</v>
      </c>
      <c r="I3016" s="223">
        <f>(32275830+726150.59)*1.02*1.2</f>
        <v>40394424.240000002</v>
      </c>
      <c r="J3016" s="223">
        <f>I3016/D3015</f>
        <v>2186.11</v>
      </c>
      <c r="K3016" s="223">
        <v>2440</v>
      </c>
    </row>
    <row r="3017" spans="1:11" x14ac:dyDescent="0.25">
      <c r="A3017" s="310"/>
      <c r="B3017" s="310"/>
      <c r="C3017" s="333"/>
      <c r="D3017" s="310"/>
      <c r="E3017" s="312"/>
      <c r="F3017" s="313"/>
      <c r="G3017" s="310"/>
      <c r="H3017" s="87" t="s">
        <v>69</v>
      </c>
      <c r="I3017" s="223">
        <f>I3016*0.0214</f>
        <v>864440.68</v>
      </c>
      <c r="J3017" s="223">
        <f>I3017/D3015</f>
        <v>46.78</v>
      </c>
      <c r="K3017" s="223">
        <v>52</v>
      </c>
    </row>
    <row r="3018" spans="1:11" ht="15.75" customHeight="1" x14ac:dyDescent="0.25">
      <c r="A3018" s="310">
        <f>A3015+1</f>
        <v>74</v>
      </c>
      <c r="B3018" s="310">
        <v>2772</v>
      </c>
      <c r="C3018" s="311" t="s">
        <v>748</v>
      </c>
      <c r="D3018" s="312">
        <v>986.6</v>
      </c>
      <c r="E3018" s="312" t="s">
        <v>167</v>
      </c>
      <c r="F3018" s="313">
        <v>3</v>
      </c>
      <c r="G3018" s="310" t="s">
        <v>70</v>
      </c>
      <c r="H3018" s="87" t="s">
        <v>66</v>
      </c>
      <c r="I3018" s="223">
        <f>I3019+I3020</f>
        <v>2933161.8</v>
      </c>
      <c r="J3018" s="223">
        <f>J3019+J3020</f>
        <v>2973</v>
      </c>
      <c r="K3018" s="223">
        <f>K3019+K3020</f>
        <v>2973</v>
      </c>
    </row>
    <row r="3019" spans="1:11" ht="15.75" customHeight="1" x14ac:dyDescent="0.25">
      <c r="A3019" s="310"/>
      <c r="B3019" s="310"/>
      <c r="C3019" s="311"/>
      <c r="D3019" s="312"/>
      <c r="E3019" s="312"/>
      <c r="F3019" s="313"/>
      <c r="G3019" s="310"/>
      <c r="H3019" s="87" t="s">
        <v>67</v>
      </c>
      <c r="I3019" s="223">
        <f>K3019*D3018</f>
        <v>2871992.6</v>
      </c>
      <c r="J3019" s="223">
        <f>I3019/D3018</f>
        <v>2911</v>
      </c>
      <c r="K3019" s="223">
        <v>2911</v>
      </c>
    </row>
    <row r="3020" spans="1:11" ht="15.75" customHeight="1" x14ac:dyDescent="0.25">
      <c r="A3020" s="310"/>
      <c r="B3020" s="310"/>
      <c r="C3020" s="311"/>
      <c r="D3020" s="312"/>
      <c r="E3020" s="312"/>
      <c r="F3020" s="313"/>
      <c r="G3020" s="310"/>
      <c r="H3020" s="87" t="s">
        <v>69</v>
      </c>
      <c r="I3020" s="223">
        <f>D3018*K3020</f>
        <v>61169.2</v>
      </c>
      <c r="J3020" s="223">
        <f>I3020/D3018</f>
        <v>62</v>
      </c>
      <c r="K3020" s="223">
        <v>62</v>
      </c>
    </row>
    <row r="3021" spans="1:11" ht="15.75" customHeight="1" x14ac:dyDescent="0.25">
      <c r="A3021" s="310">
        <f>A3018+1</f>
        <v>75</v>
      </c>
      <c r="B3021" s="310">
        <v>2450</v>
      </c>
      <c r="C3021" s="311" t="s">
        <v>749</v>
      </c>
      <c r="D3021" s="312">
        <v>3907</v>
      </c>
      <c r="E3021" s="312" t="s">
        <v>68</v>
      </c>
      <c r="F3021" s="313">
        <v>5</v>
      </c>
      <c r="G3021" s="310" t="s">
        <v>74</v>
      </c>
      <c r="H3021" s="87" t="s">
        <v>66</v>
      </c>
      <c r="I3021" s="223">
        <f>I3022+I3023</f>
        <v>1590149</v>
      </c>
      <c r="J3021" s="223">
        <f>J3022+J3023</f>
        <v>407</v>
      </c>
      <c r="K3021" s="223">
        <f>K3022+K3023</f>
        <v>407</v>
      </c>
    </row>
    <row r="3022" spans="1:11" ht="15.75" customHeight="1" x14ac:dyDescent="0.25">
      <c r="A3022" s="310"/>
      <c r="B3022" s="310"/>
      <c r="C3022" s="311"/>
      <c r="D3022" s="312"/>
      <c r="E3022" s="312"/>
      <c r="F3022" s="313"/>
      <c r="G3022" s="310"/>
      <c r="H3022" s="87" t="s">
        <v>67</v>
      </c>
      <c r="I3022" s="223">
        <f>K3022*D3021</f>
        <v>1554986</v>
      </c>
      <c r="J3022" s="223">
        <f>I3022/D3021</f>
        <v>398</v>
      </c>
      <c r="K3022" s="223">
        <v>398</v>
      </c>
    </row>
    <row r="3023" spans="1:11" ht="15.75" customHeight="1" x14ac:dyDescent="0.25">
      <c r="A3023" s="310"/>
      <c r="B3023" s="310"/>
      <c r="C3023" s="311"/>
      <c r="D3023" s="312"/>
      <c r="E3023" s="312"/>
      <c r="F3023" s="313"/>
      <c r="G3023" s="310"/>
      <c r="H3023" s="87" t="s">
        <v>69</v>
      </c>
      <c r="I3023" s="223">
        <f>D3021*K3023</f>
        <v>35163</v>
      </c>
      <c r="J3023" s="223">
        <f>I3023/D3021</f>
        <v>9</v>
      </c>
      <c r="K3023" s="223">
        <v>9</v>
      </c>
    </row>
    <row r="3024" spans="1:11" ht="15.75" customHeight="1" x14ac:dyDescent="0.25">
      <c r="A3024" s="310">
        <f>A3021+1</f>
        <v>76</v>
      </c>
      <c r="B3024" s="310">
        <v>2375</v>
      </c>
      <c r="C3024" s="311" t="s">
        <v>750</v>
      </c>
      <c r="D3024" s="312">
        <v>3026.3</v>
      </c>
      <c r="E3024" s="312" t="s">
        <v>73</v>
      </c>
      <c r="F3024" s="313">
        <v>6</v>
      </c>
      <c r="G3024" s="310" t="s">
        <v>65</v>
      </c>
      <c r="H3024" s="87" t="s">
        <v>66</v>
      </c>
      <c r="I3024" s="223">
        <f>I3025+I3026</f>
        <v>11735991.4</v>
      </c>
      <c r="J3024" s="223">
        <f>J3025+J3026</f>
        <v>3878</v>
      </c>
      <c r="K3024" s="223">
        <f>K3025+K3026</f>
        <v>3878</v>
      </c>
    </row>
    <row r="3025" spans="1:11" x14ac:dyDescent="0.25">
      <c r="A3025" s="310">
        <v>77</v>
      </c>
      <c r="B3025" s="310"/>
      <c r="C3025" s="311"/>
      <c r="D3025" s="310"/>
      <c r="E3025" s="312"/>
      <c r="F3025" s="313"/>
      <c r="G3025" s="310"/>
      <c r="H3025" s="87" t="s">
        <v>67</v>
      </c>
      <c r="I3025" s="223">
        <f>D3024*K3025</f>
        <v>11490861.1</v>
      </c>
      <c r="J3025" s="223">
        <f>I3025/D3024</f>
        <v>3797</v>
      </c>
      <c r="K3025" s="223">
        <v>3797</v>
      </c>
    </row>
    <row r="3026" spans="1:11" ht="15.75" customHeight="1" x14ac:dyDescent="0.25">
      <c r="A3026" s="310"/>
      <c r="B3026" s="310"/>
      <c r="C3026" s="311"/>
      <c r="D3026" s="310"/>
      <c r="E3026" s="312"/>
      <c r="F3026" s="313"/>
      <c r="G3026" s="310"/>
      <c r="H3026" s="87" t="s">
        <v>69</v>
      </c>
      <c r="I3026" s="223">
        <f>D3024*K3026</f>
        <v>245130.3</v>
      </c>
      <c r="J3026" s="223">
        <f>I3026/D3024</f>
        <v>81</v>
      </c>
      <c r="K3026" s="223">
        <v>81</v>
      </c>
    </row>
    <row r="3027" spans="1:11" ht="15.75" customHeight="1" x14ac:dyDescent="0.25">
      <c r="A3027" s="307">
        <f>A3024+1</f>
        <v>77</v>
      </c>
      <c r="B3027" s="307">
        <v>2397</v>
      </c>
      <c r="C3027" s="315" t="s">
        <v>652</v>
      </c>
      <c r="D3027" s="318">
        <v>4512.3999999999996</v>
      </c>
      <c r="E3027" s="307" t="s">
        <v>64</v>
      </c>
      <c r="F3027" s="307">
        <v>10</v>
      </c>
      <c r="G3027" s="145"/>
      <c r="H3027" s="87" t="s">
        <v>66</v>
      </c>
      <c r="I3027" s="223">
        <f>I3028+I3029+I3030+I3031</f>
        <v>4579236</v>
      </c>
      <c r="J3027" s="223">
        <f>J3028+J3029+J3030+J3031</f>
        <v>1014.81</v>
      </c>
      <c r="K3027" s="223">
        <f>K3028+K3029+K3030+K3031</f>
        <v>1014.81</v>
      </c>
    </row>
    <row r="3028" spans="1:11" ht="15.75" customHeight="1" x14ac:dyDescent="0.25">
      <c r="A3028" s="308"/>
      <c r="B3028" s="308"/>
      <c r="C3028" s="317"/>
      <c r="D3028" s="319"/>
      <c r="E3028" s="308"/>
      <c r="F3028" s="308"/>
      <c r="G3028" s="307" t="s">
        <v>170</v>
      </c>
      <c r="H3028" s="87" t="s">
        <v>171</v>
      </c>
      <c r="I3028" s="223">
        <v>2241647</v>
      </c>
      <c r="J3028" s="223">
        <f>I3028/D3027+0.01</f>
        <v>496.78</v>
      </c>
      <c r="K3028" s="223">
        <f>2241647/D3027+0.01</f>
        <v>496.78</v>
      </c>
    </row>
    <row r="3029" spans="1:11" ht="15.75" customHeight="1" x14ac:dyDescent="0.25">
      <c r="A3029" s="308"/>
      <c r="B3029" s="308"/>
      <c r="C3029" s="317"/>
      <c r="D3029" s="319"/>
      <c r="E3029" s="308"/>
      <c r="F3029" s="308"/>
      <c r="G3029" s="309"/>
      <c r="H3029" s="87" t="s">
        <v>69</v>
      </c>
      <c r="I3029" s="223">
        <v>47971</v>
      </c>
      <c r="J3029" s="223">
        <f>I3029/D3027</f>
        <v>10.63</v>
      </c>
      <c r="K3029" s="223">
        <f>47971/D3027</f>
        <v>10.63</v>
      </c>
    </row>
    <row r="3030" spans="1:11" ht="15.75" customHeight="1" x14ac:dyDescent="0.25">
      <c r="A3030" s="308"/>
      <c r="B3030" s="308"/>
      <c r="C3030" s="317"/>
      <c r="D3030" s="319"/>
      <c r="E3030" s="308"/>
      <c r="F3030" s="308"/>
      <c r="G3030" s="307" t="s">
        <v>173</v>
      </c>
      <c r="H3030" s="87" t="s">
        <v>171</v>
      </c>
      <c r="I3030" s="223">
        <v>2241647</v>
      </c>
      <c r="J3030" s="223">
        <f>I3030/D3027</f>
        <v>496.77</v>
      </c>
      <c r="K3030" s="223">
        <f>2241647/D3027</f>
        <v>496.77</v>
      </c>
    </row>
    <row r="3031" spans="1:11" ht="15.75" customHeight="1" x14ac:dyDescent="0.25">
      <c r="A3031" s="308"/>
      <c r="B3031" s="308"/>
      <c r="C3031" s="317"/>
      <c r="D3031" s="319"/>
      <c r="E3031" s="308"/>
      <c r="F3031" s="308"/>
      <c r="G3031" s="309"/>
      <c r="H3031" s="87" t="s">
        <v>69</v>
      </c>
      <c r="I3031" s="223">
        <v>47971</v>
      </c>
      <c r="J3031" s="223">
        <f>I3031/D3027</f>
        <v>10.63</v>
      </c>
      <c r="K3031" s="223">
        <f>47971/D3027</f>
        <v>10.63</v>
      </c>
    </row>
    <row r="3032" spans="1:11" ht="15.75" customHeight="1" x14ac:dyDescent="0.25">
      <c r="A3032" s="307">
        <f>A3027+1</f>
        <v>78</v>
      </c>
      <c r="B3032" s="307">
        <v>2379</v>
      </c>
      <c r="C3032" s="315" t="s">
        <v>653</v>
      </c>
      <c r="D3032" s="318">
        <v>7274</v>
      </c>
      <c r="E3032" s="307" t="s">
        <v>64</v>
      </c>
      <c r="F3032" s="307">
        <v>10</v>
      </c>
      <c r="G3032" s="145"/>
      <c r="H3032" s="87" t="s">
        <v>66</v>
      </c>
      <c r="I3032" s="223">
        <f>I3033+I3034+I3035+I3036+I3037+I3038</f>
        <v>6868854</v>
      </c>
      <c r="J3032" s="223">
        <f>J3033+J3034+J3035+J3036+J3037+J3038</f>
        <v>944.3</v>
      </c>
      <c r="K3032" s="223">
        <f>K3033+K3034+K3035+K3036+K3037+K3038</f>
        <v>944.3</v>
      </c>
    </row>
    <row r="3033" spans="1:11" ht="15.75" customHeight="1" x14ac:dyDescent="0.25">
      <c r="A3033" s="308"/>
      <c r="B3033" s="308"/>
      <c r="C3033" s="317"/>
      <c r="D3033" s="319"/>
      <c r="E3033" s="308"/>
      <c r="F3033" s="308"/>
      <c r="G3033" s="307" t="s">
        <v>170</v>
      </c>
      <c r="H3033" s="87" t="s">
        <v>171</v>
      </c>
      <c r="I3033" s="223">
        <v>2241647</v>
      </c>
      <c r="J3033" s="223">
        <f>I3033/D3032+0.01</f>
        <v>308.18</v>
      </c>
      <c r="K3033" s="223">
        <f>2241647/D3032+0.01</f>
        <v>308.18</v>
      </c>
    </row>
    <row r="3034" spans="1:11" ht="15.75" customHeight="1" x14ac:dyDescent="0.25">
      <c r="A3034" s="308"/>
      <c r="B3034" s="308"/>
      <c r="C3034" s="317"/>
      <c r="D3034" s="319"/>
      <c r="E3034" s="308"/>
      <c r="F3034" s="308"/>
      <c r="G3034" s="309"/>
      <c r="H3034" s="87" t="s">
        <v>69</v>
      </c>
      <c r="I3034" s="223">
        <v>47971</v>
      </c>
      <c r="J3034" s="223">
        <f>I3034/D3032</f>
        <v>6.59</v>
      </c>
      <c r="K3034" s="223">
        <f>47971/D3032</f>
        <v>6.59</v>
      </c>
    </row>
    <row r="3035" spans="1:11" ht="15.75" customHeight="1" x14ac:dyDescent="0.25">
      <c r="A3035" s="308"/>
      <c r="B3035" s="308"/>
      <c r="C3035" s="317"/>
      <c r="D3035" s="319"/>
      <c r="E3035" s="308"/>
      <c r="F3035" s="308"/>
      <c r="G3035" s="307" t="s">
        <v>173</v>
      </c>
      <c r="H3035" s="87" t="s">
        <v>171</v>
      </c>
      <c r="I3035" s="223">
        <v>2241647</v>
      </c>
      <c r="J3035" s="223">
        <f>I3035/D3032</f>
        <v>308.17</v>
      </c>
      <c r="K3035" s="223">
        <f>2241647/D3032</f>
        <v>308.17</v>
      </c>
    </row>
    <row r="3036" spans="1:11" ht="15.75" customHeight="1" x14ac:dyDescent="0.25">
      <c r="A3036" s="308"/>
      <c r="B3036" s="308"/>
      <c r="C3036" s="317"/>
      <c r="D3036" s="319"/>
      <c r="E3036" s="308"/>
      <c r="F3036" s="308"/>
      <c r="G3036" s="309"/>
      <c r="H3036" s="87" t="s">
        <v>69</v>
      </c>
      <c r="I3036" s="223">
        <v>47971</v>
      </c>
      <c r="J3036" s="223">
        <f>I3036/D3032</f>
        <v>6.59</v>
      </c>
      <c r="K3036" s="223">
        <f>47971/D3032</f>
        <v>6.59</v>
      </c>
    </row>
    <row r="3037" spans="1:11" ht="15.75" customHeight="1" x14ac:dyDescent="0.25">
      <c r="A3037" s="308"/>
      <c r="B3037" s="308"/>
      <c r="C3037" s="317"/>
      <c r="D3037" s="319"/>
      <c r="E3037" s="308"/>
      <c r="F3037" s="308"/>
      <c r="G3037" s="307" t="s">
        <v>174</v>
      </c>
      <c r="H3037" s="87" t="s">
        <v>171</v>
      </c>
      <c r="I3037" s="223">
        <v>2241647</v>
      </c>
      <c r="J3037" s="223">
        <f>I3037/D3032+0.01</f>
        <v>308.18</v>
      </c>
      <c r="K3037" s="223">
        <f>2241647/D3032+0.01</f>
        <v>308.18</v>
      </c>
    </row>
    <row r="3038" spans="1:11" ht="15.75" customHeight="1" x14ac:dyDescent="0.25">
      <c r="A3038" s="308"/>
      <c r="B3038" s="308"/>
      <c r="C3038" s="317"/>
      <c r="D3038" s="319"/>
      <c r="E3038" s="308"/>
      <c r="F3038" s="308"/>
      <c r="G3038" s="309"/>
      <c r="H3038" s="87" t="s">
        <v>69</v>
      </c>
      <c r="I3038" s="223">
        <v>47971</v>
      </c>
      <c r="J3038" s="223">
        <f>I3038/D3032</f>
        <v>6.59</v>
      </c>
      <c r="K3038" s="223">
        <f>47971/D3032</f>
        <v>6.59</v>
      </c>
    </row>
    <row r="3039" spans="1:11" ht="15.75" customHeight="1" x14ac:dyDescent="0.25">
      <c r="A3039" s="310">
        <f>A3032+1</f>
        <v>79</v>
      </c>
      <c r="B3039" s="310">
        <v>2954</v>
      </c>
      <c r="C3039" s="333" t="s">
        <v>654</v>
      </c>
      <c r="D3039" s="312">
        <v>1238.2</v>
      </c>
      <c r="E3039" s="312" t="s">
        <v>68</v>
      </c>
      <c r="F3039" s="313">
        <v>4</v>
      </c>
      <c r="G3039" s="310" t="s">
        <v>74</v>
      </c>
      <c r="H3039" s="87" t="s">
        <v>66</v>
      </c>
      <c r="I3039" s="223">
        <f>I3040+I3041</f>
        <v>448228.4</v>
      </c>
      <c r="J3039" s="223">
        <f>J3040+J3041</f>
        <v>362</v>
      </c>
      <c r="K3039" s="223">
        <f>K3040+K3041</f>
        <v>362</v>
      </c>
    </row>
    <row r="3040" spans="1:11" ht="15.75" customHeight="1" x14ac:dyDescent="0.25">
      <c r="A3040" s="310"/>
      <c r="B3040" s="310"/>
      <c r="C3040" s="333"/>
      <c r="D3040" s="312"/>
      <c r="E3040" s="312"/>
      <c r="F3040" s="313"/>
      <c r="G3040" s="310"/>
      <c r="H3040" s="87" t="s">
        <v>67</v>
      </c>
      <c r="I3040" s="223">
        <f>K3040*D3039</f>
        <v>438322.8</v>
      </c>
      <c r="J3040" s="223">
        <f>I3040/D3039</f>
        <v>354</v>
      </c>
      <c r="K3040" s="223">
        <v>354</v>
      </c>
    </row>
    <row r="3041" spans="1:11" ht="15.75" customHeight="1" x14ac:dyDescent="0.25">
      <c r="A3041" s="310"/>
      <c r="B3041" s="310"/>
      <c r="C3041" s="333"/>
      <c r="D3041" s="312"/>
      <c r="E3041" s="312"/>
      <c r="F3041" s="313"/>
      <c r="G3041" s="310"/>
      <c r="H3041" s="87" t="s">
        <v>69</v>
      </c>
      <c r="I3041" s="223">
        <f>D3039*K3041</f>
        <v>9905.6</v>
      </c>
      <c r="J3041" s="223">
        <f>I3041/D3039</f>
        <v>8</v>
      </c>
      <c r="K3041" s="223">
        <v>8</v>
      </c>
    </row>
    <row r="3042" spans="1:11" ht="15.75" customHeight="1" x14ac:dyDescent="0.25">
      <c r="A3042" s="310">
        <f>A3039+1</f>
        <v>80</v>
      </c>
      <c r="B3042" s="310">
        <v>2955</v>
      </c>
      <c r="C3042" s="333" t="s">
        <v>655</v>
      </c>
      <c r="D3042" s="312">
        <v>1089.3</v>
      </c>
      <c r="E3042" s="312" t="s">
        <v>68</v>
      </c>
      <c r="F3042" s="313">
        <v>4</v>
      </c>
      <c r="G3042" s="310" t="s">
        <v>74</v>
      </c>
      <c r="H3042" s="87" t="s">
        <v>66</v>
      </c>
      <c r="I3042" s="223">
        <f>I3043+I3044</f>
        <v>394326.6</v>
      </c>
      <c r="J3042" s="223">
        <f>J3043+J3044</f>
        <v>362</v>
      </c>
      <c r="K3042" s="223">
        <f>K3043+K3044</f>
        <v>362</v>
      </c>
    </row>
    <row r="3043" spans="1:11" ht="15.75" customHeight="1" x14ac:dyDescent="0.25">
      <c r="A3043" s="310"/>
      <c r="B3043" s="310"/>
      <c r="C3043" s="333"/>
      <c r="D3043" s="312"/>
      <c r="E3043" s="312"/>
      <c r="F3043" s="313"/>
      <c r="G3043" s="310"/>
      <c r="H3043" s="87" t="s">
        <v>67</v>
      </c>
      <c r="I3043" s="223">
        <f>K3043*D3042</f>
        <v>385612.2</v>
      </c>
      <c r="J3043" s="223">
        <f>I3043/D3042</f>
        <v>354</v>
      </c>
      <c r="K3043" s="223">
        <v>354</v>
      </c>
    </row>
    <row r="3044" spans="1:11" ht="15.75" customHeight="1" x14ac:dyDescent="0.25">
      <c r="A3044" s="310"/>
      <c r="B3044" s="310"/>
      <c r="C3044" s="333"/>
      <c r="D3044" s="312"/>
      <c r="E3044" s="312"/>
      <c r="F3044" s="313"/>
      <c r="G3044" s="310"/>
      <c r="H3044" s="87" t="s">
        <v>69</v>
      </c>
      <c r="I3044" s="223">
        <f>D3042*K3044</f>
        <v>8714.4</v>
      </c>
      <c r="J3044" s="223">
        <f>I3044/D3042</f>
        <v>8</v>
      </c>
      <c r="K3044" s="223">
        <v>8</v>
      </c>
    </row>
    <row r="3045" spans="1:11" x14ac:dyDescent="0.25">
      <c r="A3045" s="81" t="s">
        <v>31</v>
      </c>
      <c r="B3045" s="81"/>
      <c r="C3045" s="124"/>
      <c r="D3045" s="151">
        <f>D3046+D3049</f>
        <v>1102.8</v>
      </c>
      <c r="E3045" s="80"/>
      <c r="F3045" s="80"/>
      <c r="G3045" s="151"/>
      <c r="H3045" s="85"/>
      <c r="I3045" s="223">
        <f>I3046+I3049</f>
        <v>3216795.3</v>
      </c>
      <c r="J3045" s="223"/>
      <c r="K3045" s="223"/>
    </row>
    <row r="3046" spans="1:11" x14ac:dyDescent="0.25">
      <c r="A3046" s="307">
        <v>1</v>
      </c>
      <c r="B3046" s="307">
        <v>8047</v>
      </c>
      <c r="C3046" s="315" t="s">
        <v>436</v>
      </c>
      <c r="D3046" s="318">
        <v>395.7</v>
      </c>
      <c r="E3046" s="318" t="s">
        <v>167</v>
      </c>
      <c r="F3046" s="330">
        <v>2</v>
      </c>
      <c r="G3046" s="161"/>
      <c r="H3046" s="87" t="s">
        <v>66</v>
      </c>
      <c r="I3046" s="223">
        <f>I3047+I3048</f>
        <v>3042141.6</v>
      </c>
      <c r="J3046" s="223">
        <f>J3047+J3048</f>
        <v>7688</v>
      </c>
      <c r="K3046" s="223">
        <f>K3047+K3048</f>
        <v>7688</v>
      </c>
    </row>
    <row r="3047" spans="1:11" x14ac:dyDescent="0.25">
      <c r="A3047" s="308"/>
      <c r="B3047" s="308"/>
      <c r="C3047" s="317"/>
      <c r="D3047" s="319"/>
      <c r="E3047" s="319"/>
      <c r="F3047" s="331"/>
      <c r="G3047" s="307" t="s">
        <v>65</v>
      </c>
      <c r="H3047" s="87" t="s">
        <v>67</v>
      </c>
      <c r="I3047" s="223">
        <f>D3046*K3047</f>
        <v>2978433.9</v>
      </c>
      <c r="J3047" s="223">
        <f>I3047/D3046</f>
        <v>7527</v>
      </c>
      <c r="K3047" s="223">
        <v>7527</v>
      </c>
    </row>
    <row r="3048" spans="1:11" x14ac:dyDescent="0.25">
      <c r="A3048" s="309"/>
      <c r="B3048" s="309"/>
      <c r="C3048" s="316"/>
      <c r="D3048" s="329"/>
      <c r="E3048" s="329"/>
      <c r="F3048" s="332"/>
      <c r="G3048" s="309"/>
      <c r="H3048" s="87" t="s">
        <v>69</v>
      </c>
      <c r="I3048" s="223">
        <f>D3046*K3048</f>
        <v>63707.7</v>
      </c>
      <c r="J3048" s="223">
        <f>I3048/D3046</f>
        <v>161</v>
      </c>
      <c r="K3048" s="223">
        <v>161</v>
      </c>
    </row>
    <row r="3049" spans="1:11" x14ac:dyDescent="0.25">
      <c r="A3049" s="310">
        <f>A3046+1</f>
        <v>2</v>
      </c>
      <c r="B3049" s="310">
        <v>4847</v>
      </c>
      <c r="C3049" s="333" t="s">
        <v>549</v>
      </c>
      <c r="D3049" s="312">
        <v>707.1</v>
      </c>
      <c r="E3049" s="313" t="s">
        <v>68</v>
      </c>
      <c r="F3049" s="313">
        <v>2</v>
      </c>
      <c r="G3049" s="121"/>
      <c r="H3049" s="87" t="s">
        <v>66</v>
      </c>
      <c r="I3049" s="223">
        <f>I3050</f>
        <v>174653.7</v>
      </c>
      <c r="J3049" s="223">
        <f>J3050</f>
        <v>247</v>
      </c>
      <c r="K3049" s="223">
        <f>K3050</f>
        <v>247</v>
      </c>
    </row>
    <row r="3050" spans="1:11" ht="63" x14ac:dyDescent="0.25">
      <c r="A3050" s="310">
        <v>15</v>
      </c>
      <c r="B3050" s="310"/>
      <c r="C3050" s="333"/>
      <c r="D3050" s="312"/>
      <c r="E3050" s="313"/>
      <c r="F3050" s="313"/>
      <c r="G3050" s="145" t="s">
        <v>65</v>
      </c>
      <c r="H3050" s="87" t="s">
        <v>168</v>
      </c>
      <c r="I3050" s="223">
        <f>D3049*K3050</f>
        <v>174653.7</v>
      </c>
      <c r="J3050" s="223">
        <f>I3050/D3049</f>
        <v>247</v>
      </c>
      <c r="K3050" s="223">
        <f>151+96</f>
        <v>247</v>
      </c>
    </row>
    <row r="3051" spans="1:11" x14ac:dyDescent="0.25">
      <c r="A3051" s="271" t="s">
        <v>32</v>
      </c>
      <c r="B3051" s="272"/>
      <c r="C3051" s="273"/>
      <c r="D3051" s="80">
        <f>D3052</f>
        <v>520.9</v>
      </c>
      <c r="E3051" s="80"/>
      <c r="F3051" s="95"/>
      <c r="G3051" s="145"/>
      <c r="H3051" s="87"/>
      <c r="I3051" s="223">
        <f>I3052</f>
        <v>2689632.61</v>
      </c>
      <c r="J3051" s="223"/>
      <c r="K3051" s="223"/>
    </row>
    <row r="3052" spans="1:11" x14ac:dyDescent="0.25">
      <c r="A3052" s="307">
        <v>1</v>
      </c>
      <c r="B3052" s="307">
        <v>7317</v>
      </c>
      <c r="C3052" s="315" t="s">
        <v>489</v>
      </c>
      <c r="D3052" s="318">
        <v>520.9</v>
      </c>
      <c r="E3052" s="318" t="s">
        <v>167</v>
      </c>
      <c r="F3052" s="330">
        <v>2</v>
      </c>
      <c r="G3052" s="310" t="s">
        <v>65</v>
      </c>
      <c r="H3052" s="87" t="s">
        <v>66</v>
      </c>
      <c r="I3052" s="223">
        <f>I3053+I3054</f>
        <v>2689632.61</v>
      </c>
      <c r="J3052" s="223">
        <f>J3053+J3054</f>
        <v>5163.43</v>
      </c>
      <c r="K3052" s="223">
        <f>K3053+K3054</f>
        <v>8203</v>
      </c>
    </row>
    <row r="3053" spans="1:11" x14ac:dyDescent="0.25">
      <c r="A3053" s="308"/>
      <c r="B3053" s="308"/>
      <c r="C3053" s="317"/>
      <c r="D3053" s="319"/>
      <c r="E3053" s="319"/>
      <c r="F3053" s="331"/>
      <c r="G3053" s="310"/>
      <c r="H3053" s="87" t="s">
        <v>67</v>
      </c>
      <c r="I3053" s="223">
        <f>3728351.27*0.7</f>
        <v>2609845.89</v>
      </c>
      <c r="J3053" s="223">
        <f>I3053/D3052</f>
        <v>5010.26</v>
      </c>
      <c r="K3053" s="223">
        <v>8031</v>
      </c>
    </row>
    <row r="3054" spans="1:11" x14ac:dyDescent="0.25">
      <c r="A3054" s="309"/>
      <c r="B3054" s="309"/>
      <c r="C3054" s="316"/>
      <c r="D3054" s="329"/>
      <c r="E3054" s="329"/>
      <c r="F3054" s="332"/>
      <c r="G3054" s="310"/>
      <c r="H3054" s="87" t="s">
        <v>69</v>
      </c>
      <c r="I3054" s="223">
        <f>3728351.27*0.0214</f>
        <v>79786.720000000001</v>
      </c>
      <c r="J3054" s="223">
        <f>I3054/D3052</f>
        <v>153.16999999999999</v>
      </c>
      <c r="K3054" s="223">
        <v>172</v>
      </c>
    </row>
    <row r="3055" spans="1:11" x14ac:dyDescent="0.25">
      <c r="A3055" s="81" t="s">
        <v>34</v>
      </c>
      <c r="B3055" s="156"/>
      <c r="C3055" s="157"/>
      <c r="D3055" s="151">
        <f>D3056+D3061</f>
        <v>1191.7</v>
      </c>
      <c r="E3055" s="151"/>
      <c r="F3055" s="151"/>
      <c r="G3055" s="151"/>
      <c r="H3055" s="92"/>
      <c r="I3055" s="223">
        <f>I3056+I3061</f>
        <v>4256640.5</v>
      </c>
      <c r="J3055" s="223"/>
      <c r="K3055" s="223"/>
    </row>
    <row r="3056" spans="1:11" x14ac:dyDescent="0.25">
      <c r="A3056" s="310">
        <v>1</v>
      </c>
      <c r="B3056" s="310">
        <v>6732</v>
      </c>
      <c r="C3056" s="333" t="s">
        <v>293</v>
      </c>
      <c r="D3056" s="318">
        <v>291.3</v>
      </c>
      <c r="E3056" s="318" t="s">
        <v>68</v>
      </c>
      <c r="F3056" s="330">
        <v>2</v>
      </c>
      <c r="G3056" s="161"/>
      <c r="H3056" s="87" t="s">
        <v>66</v>
      </c>
      <c r="I3056" s="223">
        <f>I3058+I3057+I3059+I3060</f>
        <v>1018676.1</v>
      </c>
      <c r="J3056" s="223">
        <f>J3058+J3057+J3059+J3060</f>
        <v>3497</v>
      </c>
      <c r="K3056" s="223">
        <f>K3058+K3057+K3059+K3060</f>
        <v>3497</v>
      </c>
    </row>
    <row r="3057" spans="1:11" x14ac:dyDescent="0.25">
      <c r="A3057" s="310"/>
      <c r="B3057" s="310"/>
      <c r="C3057" s="333"/>
      <c r="D3057" s="319"/>
      <c r="E3057" s="319"/>
      <c r="F3057" s="331"/>
      <c r="G3057" s="310" t="s">
        <v>70</v>
      </c>
      <c r="H3057" s="87" t="s">
        <v>67</v>
      </c>
      <c r="I3057" s="223">
        <f>D3056*K3057</f>
        <v>847974.3</v>
      </c>
      <c r="J3057" s="223">
        <f>I3057/D3056</f>
        <v>2911</v>
      </c>
      <c r="K3057" s="223">
        <v>2911</v>
      </c>
    </row>
    <row r="3058" spans="1:11" x14ac:dyDescent="0.25">
      <c r="A3058" s="310"/>
      <c r="B3058" s="310"/>
      <c r="C3058" s="333"/>
      <c r="D3058" s="319"/>
      <c r="E3058" s="319"/>
      <c r="F3058" s="331"/>
      <c r="G3058" s="310"/>
      <c r="H3058" s="87" t="s">
        <v>69</v>
      </c>
      <c r="I3058" s="223">
        <f>D3056*K3058</f>
        <v>18060.599999999999</v>
      </c>
      <c r="J3058" s="223">
        <f>I3058/D3056</f>
        <v>62</v>
      </c>
      <c r="K3058" s="223">
        <v>62</v>
      </c>
    </row>
    <row r="3059" spans="1:11" x14ac:dyDescent="0.25">
      <c r="A3059" s="310"/>
      <c r="B3059" s="310"/>
      <c r="C3059" s="333"/>
      <c r="D3059" s="319"/>
      <c r="E3059" s="319"/>
      <c r="F3059" s="331"/>
      <c r="G3059" s="310" t="s">
        <v>71</v>
      </c>
      <c r="H3059" s="87" t="s">
        <v>67</v>
      </c>
      <c r="I3059" s="223">
        <f>D3056*K3059</f>
        <v>149436.9</v>
      </c>
      <c r="J3059" s="223">
        <f>I3059/D3056</f>
        <v>513</v>
      </c>
      <c r="K3059" s="223">
        <v>513</v>
      </c>
    </row>
    <row r="3060" spans="1:11" x14ac:dyDescent="0.25">
      <c r="A3060" s="310"/>
      <c r="B3060" s="310"/>
      <c r="C3060" s="333"/>
      <c r="D3060" s="329"/>
      <c r="E3060" s="329"/>
      <c r="F3060" s="332"/>
      <c r="G3060" s="310"/>
      <c r="H3060" s="87" t="s">
        <v>69</v>
      </c>
      <c r="I3060" s="223">
        <f>D3056*K3060</f>
        <v>3204.3</v>
      </c>
      <c r="J3060" s="223">
        <f>I3060/D3056</f>
        <v>11</v>
      </c>
      <c r="K3060" s="223">
        <v>11</v>
      </c>
    </row>
    <row r="3061" spans="1:11" s="118" customFormat="1" ht="15.75" customHeight="1" x14ac:dyDescent="0.25">
      <c r="A3061" s="320">
        <f>A3056+1</f>
        <v>2</v>
      </c>
      <c r="B3061" s="320">
        <v>6723</v>
      </c>
      <c r="C3061" s="321" t="s">
        <v>693</v>
      </c>
      <c r="D3061" s="327">
        <v>900.4</v>
      </c>
      <c r="E3061" s="327" t="s">
        <v>68</v>
      </c>
      <c r="F3061" s="328">
        <v>2</v>
      </c>
      <c r="G3061" s="125"/>
      <c r="H3061" s="117" t="s">
        <v>66</v>
      </c>
      <c r="I3061" s="226">
        <f>I3063+I3062</f>
        <v>3237964.4</v>
      </c>
      <c r="J3061" s="226">
        <f>J3063+J3062</f>
        <v>3596.14</v>
      </c>
      <c r="K3061" s="226">
        <f>K3063+K3062</f>
        <v>7688</v>
      </c>
    </row>
    <row r="3062" spans="1:11" s="118" customFormat="1" ht="15.75" customHeight="1" x14ac:dyDescent="0.25">
      <c r="A3062" s="320"/>
      <c r="B3062" s="320"/>
      <c r="C3062" s="321"/>
      <c r="D3062" s="327"/>
      <c r="E3062" s="327"/>
      <c r="F3062" s="328"/>
      <c r="G3062" s="320" t="s">
        <v>65</v>
      </c>
      <c r="H3062" s="117" t="s">
        <v>67</v>
      </c>
      <c r="I3062" s="226">
        <v>3093000</v>
      </c>
      <c r="J3062" s="226">
        <f>I3062/D3061</f>
        <v>3435.14</v>
      </c>
      <c r="K3062" s="226">
        <v>7527</v>
      </c>
    </row>
    <row r="3063" spans="1:11" s="118" customFormat="1" x14ac:dyDescent="0.25">
      <c r="A3063" s="320"/>
      <c r="B3063" s="320"/>
      <c r="C3063" s="321"/>
      <c r="D3063" s="327"/>
      <c r="E3063" s="327"/>
      <c r="F3063" s="328"/>
      <c r="G3063" s="320"/>
      <c r="H3063" s="117" t="s">
        <v>69</v>
      </c>
      <c r="I3063" s="226">
        <f>D3061*K3063</f>
        <v>144964.4</v>
      </c>
      <c r="J3063" s="226">
        <f>I3063/D3061</f>
        <v>161</v>
      </c>
      <c r="K3063" s="226">
        <v>161</v>
      </c>
    </row>
    <row r="3064" spans="1:11" x14ac:dyDescent="0.25">
      <c r="A3064" s="218" t="s">
        <v>35</v>
      </c>
      <c r="B3064" s="219"/>
      <c r="C3064" s="220"/>
      <c r="D3064" s="80">
        <f>D3065+D3070+D3073+D3078+D3081+D3086+D3089+D3092+D3095+D3098+D3101+D3106+D3109+D3112+D3117+D3120</f>
        <v>8219.5</v>
      </c>
      <c r="E3064" s="80"/>
      <c r="F3064" s="80"/>
      <c r="G3064" s="145"/>
      <c r="H3064" s="87"/>
      <c r="I3064" s="223">
        <f>I3065+I3070+I3073+I3078+I3081+I3086+I3089+I3092+I3095+I3098+I3101+I3106+I3109+I3112+I3117+I3120</f>
        <v>61058340.899999999</v>
      </c>
      <c r="J3064" s="223"/>
      <c r="K3064" s="223"/>
    </row>
    <row r="3065" spans="1:11" x14ac:dyDescent="0.25">
      <c r="A3065" s="307">
        <v>1</v>
      </c>
      <c r="B3065" s="310">
        <v>5379</v>
      </c>
      <c r="C3065" s="333" t="s">
        <v>517</v>
      </c>
      <c r="D3065" s="312">
        <v>327.39999999999998</v>
      </c>
      <c r="E3065" s="312" t="s">
        <v>68</v>
      </c>
      <c r="F3065" s="313">
        <v>2</v>
      </c>
      <c r="G3065" s="121"/>
      <c r="H3065" s="87" t="s">
        <v>66</v>
      </c>
      <c r="I3065" s="223">
        <f>SUM(I3066:I3069)</f>
        <v>1198611.3999999999</v>
      </c>
      <c r="J3065" s="223">
        <f t="shared" ref="J3065:K3065" si="97">SUM(J3066:J3069)</f>
        <v>3661</v>
      </c>
      <c r="K3065" s="223">
        <f t="shared" si="97"/>
        <v>3661</v>
      </c>
    </row>
    <row r="3066" spans="1:11" x14ac:dyDescent="0.25">
      <c r="A3066" s="308"/>
      <c r="B3066" s="310"/>
      <c r="C3066" s="333"/>
      <c r="D3066" s="312"/>
      <c r="E3066" s="312"/>
      <c r="F3066" s="313"/>
      <c r="G3066" s="310" t="s">
        <v>70</v>
      </c>
      <c r="H3066" s="87" t="s">
        <v>67</v>
      </c>
      <c r="I3066" s="223">
        <f>D3065*K3066</f>
        <v>971395.8</v>
      </c>
      <c r="J3066" s="223">
        <f>I3066/D3065</f>
        <v>2967</v>
      </c>
      <c r="K3066" s="223">
        <v>2967</v>
      </c>
    </row>
    <row r="3067" spans="1:11" x14ac:dyDescent="0.25">
      <c r="A3067" s="308"/>
      <c r="B3067" s="310"/>
      <c r="C3067" s="333"/>
      <c r="D3067" s="312"/>
      <c r="E3067" s="312"/>
      <c r="F3067" s="313"/>
      <c r="G3067" s="310"/>
      <c r="H3067" s="87" t="s">
        <v>69</v>
      </c>
      <c r="I3067" s="223">
        <f>D3065*K3067</f>
        <v>20626.2</v>
      </c>
      <c r="J3067" s="223">
        <f>I3067/D3065</f>
        <v>63</v>
      </c>
      <c r="K3067" s="223">
        <v>63</v>
      </c>
    </row>
    <row r="3068" spans="1:11" x14ac:dyDescent="0.25">
      <c r="A3068" s="308"/>
      <c r="B3068" s="310"/>
      <c r="C3068" s="333"/>
      <c r="D3068" s="312"/>
      <c r="E3068" s="312"/>
      <c r="F3068" s="313"/>
      <c r="G3068" s="310" t="s">
        <v>71</v>
      </c>
      <c r="H3068" s="87" t="s">
        <v>67</v>
      </c>
      <c r="I3068" s="223">
        <f>D3065*K3068</f>
        <v>202333.2</v>
      </c>
      <c r="J3068" s="223">
        <f>I3068/D3065</f>
        <v>618</v>
      </c>
      <c r="K3068" s="223">
        <v>618</v>
      </c>
    </row>
    <row r="3069" spans="1:11" x14ac:dyDescent="0.25">
      <c r="A3069" s="309"/>
      <c r="B3069" s="310"/>
      <c r="C3069" s="333"/>
      <c r="D3069" s="312"/>
      <c r="E3069" s="312"/>
      <c r="F3069" s="313"/>
      <c r="G3069" s="310"/>
      <c r="H3069" s="87" t="s">
        <v>69</v>
      </c>
      <c r="I3069" s="223">
        <f>D3065*K3069</f>
        <v>4256.2</v>
      </c>
      <c r="J3069" s="223">
        <f>I3069/D3065</f>
        <v>13</v>
      </c>
      <c r="K3069" s="223">
        <v>13</v>
      </c>
    </row>
    <row r="3070" spans="1:11" x14ac:dyDescent="0.25">
      <c r="A3070" s="307">
        <f>A3065+1</f>
        <v>2</v>
      </c>
      <c r="B3070" s="307">
        <v>5584</v>
      </c>
      <c r="C3070" s="315" t="s">
        <v>518</v>
      </c>
      <c r="D3070" s="318">
        <v>293.39999999999998</v>
      </c>
      <c r="E3070" s="318" t="s">
        <v>167</v>
      </c>
      <c r="F3070" s="330">
        <v>2</v>
      </c>
      <c r="G3070" s="404" t="s">
        <v>65</v>
      </c>
      <c r="H3070" s="87" t="s">
        <v>66</v>
      </c>
      <c r="I3070" s="223">
        <f>SUM(I3071:I3072)</f>
        <v>2406760.2000000002</v>
      </c>
      <c r="J3070" s="223">
        <f>SUM(J3071:J3072)</f>
        <v>8203</v>
      </c>
      <c r="K3070" s="223">
        <f>SUM(K3071:K3072)</f>
        <v>8203</v>
      </c>
    </row>
    <row r="3071" spans="1:11" x14ac:dyDescent="0.25">
      <c r="A3071" s="308"/>
      <c r="B3071" s="308"/>
      <c r="C3071" s="317"/>
      <c r="D3071" s="319"/>
      <c r="E3071" s="319"/>
      <c r="F3071" s="331"/>
      <c r="G3071" s="405"/>
      <c r="H3071" s="87" t="s">
        <v>67</v>
      </c>
      <c r="I3071" s="223">
        <f>D3070*K3071</f>
        <v>2356295.4</v>
      </c>
      <c r="J3071" s="223">
        <f>I3071/D3070</f>
        <v>8031</v>
      </c>
      <c r="K3071" s="223">
        <v>8031</v>
      </c>
    </row>
    <row r="3072" spans="1:11" x14ac:dyDescent="0.25">
      <c r="A3072" s="309"/>
      <c r="B3072" s="309"/>
      <c r="C3072" s="316"/>
      <c r="D3072" s="329"/>
      <c r="E3072" s="329"/>
      <c r="F3072" s="332"/>
      <c r="G3072" s="406"/>
      <c r="H3072" s="87" t="s">
        <v>69</v>
      </c>
      <c r="I3072" s="223">
        <f>D3070*K3072</f>
        <v>50464.800000000003</v>
      </c>
      <c r="J3072" s="223">
        <f>I3072/D3070</f>
        <v>172</v>
      </c>
      <c r="K3072" s="223">
        <v>172</v>
      </c>
    </row>
    <row r="3073" spans="1:11" ht="15.75" customHeight="1" x14ac:dyDescent="0.25">
      <c r="A3073" s="307">
        <f>A3070+1</f>
        <v>3</v>
      </c>
      <c r="B3073" s="307">
        <v>5406</v>
      </c>
      <c r="C3073" s="315" t="s">
        <v>494</v>
      </c>
      <c r="D3073" s="318">
        <v>380.2</v>
      </c>
      <c r="E3073" s="318" t="s">
        <v>167</v>
      </c>
      <c r="F3073" s="330">
        <v>2</v>
      </c>
      <c r="G3073" s="121"/>
      <c r="H3073" s="87" t="s">
        <v>66</v>
      </c>
      <c r="I3073" s="223">
        <f>SUM(I3074:I3077)</f>
        <v>3971949.4</v>
      </c>
      <c r="J3073" s="223">
        <f t="shared" ref="J3073:K3073" si="98">SUM(J3074:J3077)</f>
        <v>10447</v>
      </c>
      <c r="K3073" s="223">
        <f t="shared" si="98"/>
        <v>10447</v>
      </c>
    </row>
    <row r="3074" spans="1:11" ht="15.75" customHeight="1" x14ac:dyDescent="0.25">
      <c r="A3074" s="308"/>
      <c r="B3074" s="308"/>
      <c r="C3074" s="317"/>
      <c r="D3074" s="319"/>
      <c r="E3074" s="319"/>
      <c r="F3074" s="331"/>
      <c r="G3074" s="307" t="s">
        <v>75</v>
      </c>
      <c r="H3074" s="93" t="s">
        <v>67</v>
      </c>
      <c r="I3074" s="223">
        <f>D3073*K3074</f>
        <v>2207821.4</v>
      </c>
      <c r="J3074" s="223">
        <f>I3074/D3073</f>
        <v>5807</v>
      </c>
      <c r="K3074" s="223">
        <v>5807</v>
      </c>
    </row>
    <row r="3075" spans="1:11" ht="15.75" customHeight="1" x14ac:dyDescent="0.25">
      <c r="A3075" s="308"/>
      <c r="B3075" s="308"/>
      <c r="C3075" s="317"/>
      <c r="D3075" s="319"/>
      <c r="E3075" s="319"/>
      <c r="F3075" s="331"/>
      <c r="G3075" s="308"/>
      <c r="H3075" s="93" t="s">
        <v>69</v>
      </c>
      <c r="I3075" s="223">
        <f>D3073*K3075</f>
        <v>47144.800000000003</v>
      </c>
      <c r="J3075" s="223">
        <f>I3075/D3073</f>
        <v>124</v>
      </c>
      <c r="K3075" s="223">
        <v>124</v>
      </c>
    </row>
    <row r="3076" spans="1:11" ht="15.75" customHeight="1" x14ac:dyDescent="0.25">
      <c r="A3076" s="308"/>
      <c r="B3076" s="308"/>
      <c r="C3076" s="317"/>
      <c r="D3076" s="319"/>
      <c r="E3076" s="319"/>
      <c r="F3076" s="331"/>
      <c r="G3076" s="308"/>
      <c r="H3076" s="93" t="s">
        <v>179</v>
      </c>
      <c r="I3076" s="223">
        <f>D3073*K3076</f>
        <v>1680864.2</v>
      </c>
      <c r="J3076" s="223">
        <f>I3076/D3073</f>
        <v>4421</v>
      </c>
      <c r="K3076" s="223">
        <v>4421</v>
      </c>
    </row>
    <row r="3077" spans="1:11" ht="15.75" customHeight="1" x14ac:dyDescent="0.25">
      <c r="A3077" s="309"/>
      <c r="B3077" s="309"/>
      <c r="C3077" s="316"/>
      <c r="D3077" s="329"/>
      <c r="E3077" s="329"/>
      <c r="F3077" s="332"/>
      <c r="G3077" s="309"/>
      <c r="H3077" s="93" t="s">
        <v>69</v>
      </c>
      <c r="I3077" s="223">
        <f>D3073*K3077</f>
        <v>36119</v>
      </c>
      <c r="J3077" s="223">
        <f>I3077/D3073</f>
        <v>95</v>
      </c>
      <c r="K3077" s="223">
        <v>95</v>
      </c>
    </row>
    <row r="3078" spans="1:11" ht="15.75" customHeight="1" x14ac:dyDescent="0.25">
      <c r="A3078" s="307">
        <f>A3073+1</f>
        <v>4</v>
      </c>
      <c r="B3078" s="307">
        <v>5590</v>
      </c>
      <c r="C3078" s="315" t="s">
        <v>495</v>
      </c>
      <c r="D3078" s="318">
        <v>542.9</v>
      </c>
      <c r="E3078" s="318" t="s">
        <v>167</v>
      </c>
      <c r="F3078" s="330">
        <v>2</v>
      </c>
      <c r="G3078" s="121"/>
      <c r="H3078" s="87" t="s">
        <v>66</v>
      </c>
      <c r="I3078" s="223">
        <f>SUM(I3079:I3080)</f>
        <v>4453408.7</v>
      </c>
      <c r="J3078" s="223">
        <f>SUM(J3079:J3080)</f>
        <v>8203</v>
      </c>
      <c r="K3078" s="223">
        <f>SUM(K3079:K3080)</f>
        <v>8203</v>
      </c>
    </row>
    <row r="3079" spans="1:11" ht="15.75" customHeight="1" x14ac:dyDescent="0.25">
      <c r="A3079" s="308"/>
      <c r="B3079" s="308"/>
      <c r="C3079" s="317"/>
      <c r="D3079" s="319"/>
      <c r="E3079" s="319"/>
      <c r="F3079" s="331"/>
      <c r="G3079" s="307" t="s">
        <v>65</v>
      </c>
      <c r="H3079" s="93" t="s">
        <v>67</v>
      </c>
      <c r="I3079" s="223">
        <f>D3078*K3079</f>
        <v>4360029.9000000004</v>
      </c>
      <c r="J3079" s="223">
        <f>I3079/D3078</f>
        <v>8031</v>
      </c>
      <c r="K3079" s="223">
        <v>8031</v>
      </c>
    </row>
    <row r="3080" spans="1:11" ht="15.75" customHeight="1" x14ac:dyDescent="0.25">
      <c r="A3080" s="309"/>
      <c r="B3080" s="309"/>
      <c r="C3080" s="316"/>
      <c r="D3080" s="329"/>
      <c r="E3080" s="329"/>
      <c r="F3080" s="332"/>
      <c r="G3080" s="309"/>
      <c r="H3080" s="93" t="s">
        <v>69</v>
      </c>
      <c r="I3080" s="223">
        <f>D3078*K3080</f>
        <v>93378.8</v>
      </c>
      <c r="J3080" s="223">
        <f>I3080/D3078</f>
        <v>172</v>
      </c>
      <c r="K3080" s="223">
        <v>172</v>
      </c>
    </row>
    <row r="3081" spans="1:11" s="143" customFormat="1" ht="15.75" customHeight="1" x14ac:dyDescent="0.25">
      <c r="A3081" s="307">
        <f>A3078+1</f>
        <v>5</v>
      </c>
      <c r="B3081" s="307">
        <v>5595</v>
      </c>
      <c r="C3081" s="315" t="s">
        <v>725</v>
      </c>
      <c r="D3081" s="318">
        <v>344</v>
      </c>
      <c r="E3081" s="318" t="s">
        <v>167</v>
      </c>
      <c r="F3081" s="330">
        <v>2</v>
      </c>
      <c r="G3081" s="121"/>
      <c r="H3081" s="87" t="s">
        <v>66</v>
      </c>
      <c r="I3081" s="223">
        <f>SUM(I3082:I3085)</f>
        <v>1259384</v>
      </c>
      <c r="J3081" s="223">
        <f t="shared" ref="J3081:K3081" si="99">SUM(J3082:J3085)</f>
        <v>3661</v>
      </c>
      <c r="K3081" s="223">
        <f t="shared" si="99"/>
        <v>3661</v>
      </c>
    </row>
    <row r="3082" spans="1:11" s="143" customFormat="1" x14ac:dyDescent="0.25">
      <c r="A3082" s="308"/>
      <c r="B3082" s="308"/>
      <c r="C3082" s="317"/>
      <c r="D3082" s="319"/>
      <c r="E3082" s="319"/>
      <c r="F3082" s="331"/>
      <c r="G3082" s="307" t="s">
        <v>70</v>
      </c>
      <c r="H3082" s="87" t="s">
        <v>67</v>
      </c>
      <c r="I3082" s="223">
        <f>D3081*K3082</f>
        <v>1020648</v>
      </c>
      <c r="J3082" s="223">
        <f>I3082/D3081</f>
        <v>2967</v>
      </c>
      <c r="K3082" s="223">
        <v>2967</v>
      </c>
    </row>
    <row r="3083" spans="1:11" s="143" customFormat="1" x14ac:dyDescent="0.25">
      <c r="A3083" s="308"/>
      <c r="B3083" s="308"/>
      <c r="C3083" s="317"/>
      <c r="D3083" s="319"/>
      <c r="E3083" s="319"/>
      <c r="F3083" s="331"/>
      <c r="G3083" s="309"/>
      <c r="H3083" s="87" t="s">
        <v>69</v>
      </c>
      <c r="I3083" s="223">
        <f>D3081*K3083</f>
        <v>21672</v>
      </c>
      <c r="J3083" s="223">
        <f>I3083/D3081</f>
        <v>63</v>
      </c>
      <c r="K3083" s="223">
        <v>63</v>
      </c>
    </row>
    <row r="3084" spans="1:11" s="143" customFormat="1" x14ac:dyDescent="0.25">
      <c r="A3084" s="308"/>
      <c r="B3084" s="308"/>
      <c r="C3084" s="317"/>
      <c r="D3084" s="319"/>
      <c r="E3084" s="319"/>
      <c r="F3084" s="331"/>
      <c r="G3084" s="307" t="s">
        <v>71</v>
      </c>
      <c r="H3084" s="87" t="s">
        <v>67</v>
      </c>
      <c r="I3084" s="223">
        <f>D3081*K3084</f>
        <v>212592</v>
      </c>
      <c r="J3084" s="223">
        <f>I3084/D3081</f>
        <v>618</v>
      </c>
      <c r="K3084" s="223">
        <v>618</v>
      </c>
    </row>
    <row r="3085" spans="1:11" s="143" customFormat="1" x14ac:dyDescent="0.25">
      <c r="A3085" s="309"/>
      <c r="B3085" s="309"/>
      <c r="C3085" s="316"/>
      <c r="D3085" s="329"/>
      <c r="E3085" s="329"/>
      <c r="F3085" s="332"/>
      <c r="G3085" s="309"/>
      <c r="H3085" s="87" t="s">
        <v>69</v>
      </c>
      <c r="I3085" s="223">
        <f>D3081*K3085</f>
        <v>4472</v>
      </c>
      <c r="J3085" s="223">
        <f>I3085/D3081</f>
        <v>13</v>
      </c>
      <c r="K3085" s="223">
        <v>13</v>
      </c>
    </row>
    <row r="3086" spans="1:11" ht="15.75" customHeight="1" x14ac:dyDescent="0.25">
      <c r="A3086" s="307">
        <f>A3081+1</f>
        <v>6</v>
      </c>
      <c r="B3086" s="307">
        <v>5608</v>
      </c>
      <c r="C3086" s="315" t="s">
        <v>523</v>
      </c>
      <c r="D3086" s="318">
        <v>689.9</v>
      </c>
      <c r="E3086" s="318" t="s">
        <v>68</v>
      </c>
      <c r="F3086" s="330">
        <v>2</v>
      </c>
      <c r="G3086" s="121"/>
      <c r="H3086" s="87" t="s">
        <v>66</v>
      </c>
      <c r="I3086" s="223">
        <f>SUM(I3087:I3088)</f>
        <v>5659249.7000000002</v>
      </c>
      <c r="J3086" s="223">
        <f>SUM(J3087:J3088)</f>
        <v>8203</v>
      </c>
      <c r="K3086" s="223">
        <f>SUM(K3087:K3088)</f>
        <v>8203</v>
      </c>
    </row>
    <row r="3087" spans="1:11" ht="15.75" customHeight="1" x14ac:dyDescent="0.25">
      <c r="A3087" s="308"/>
      <c r="B3087" s="308"/>
      <c r="C3087" s="317"/>
      <c r="D3087" s="319"/>
      <c r="E3087" s="319"/>
      <c r="F3087" s="331"/>
      <c r="G3087" s="308" t="s">
        <v>65</v>
      </c>
      <c r="H3087" s="93" t="s">
        <v>67</v>
      </c>
      <c r="I3087" s="223">
        <f>D3086*K3087</f>
        <v>5540586.9000000004</v>
      </c>
      <c r="J3087" s="223">
        <f>I3087/D3086</f>
        <v>8031</v>
      </c>
      <c r="K3087" s="223">
        <v>8031</v>
      </c>
    </row>
    <row r="3088" spans="1:11" ht="15.75" customHeight="1" x14ac:dyDescent="0.25">
      <c r="A3088" s="308"/>
      <c r="B3088" s="308"/>
      <c r="C3088" s="317"/>
      <c r="D3088" s="319"/>
      <c r="E3088" s="319"/>
      <c r="F3088" s="331"/>
      <c r="G3088" s="309"/>
      <c r="H3088" s="93" t="s">
        <v>69</v>
      </c>
      <c r="I3088" s="223">
        <f>D3086*K3088</f>
        <v>118662.8</v>
      </c>
      <c r="J3088" s="223">
        <f>I3088/D3086</f>
        <v>172</v>
      </c>
      <c r="K3088" s="223">
        <v>172</v>
      </c>
    </row>
    <row r="3089" spans="1:11" ht="15.75" customHeight="1" x14ac:dyDescent="0.25">
      <c r="A3089" s="307">
        <f>A3086+1</f>
        <v>7</v>
      </c>
      <c r="B3089" s="307">
        <v>5627</v>
      </c>
      <c r="C3089" s="315" t="s">
        <v>519</v>
      </c>
      <c r="D3089" s="318">
        <v>695.7</v>
      </c>
      <c r="E3089" s="318" t="s">
        <v>167</v>
      </c>
      <c r="F3089" s="330">
        <v>2</v>
      </c>
      <c r="G3089" s="121"/>
      <c r="H3089" s="87" t="s">
        <v>66</v>
      </c>
      <c r="I3089" s="223">
        <f>SUM(I3090:I3091)</f>
        <v>5706827.0999999996</v>
      </c>
      <c r="J3089" s="223">
        <f>SUM(J3090:J3091)</f>
        <v>8203</v>
      </c>
      <c r="K3089" s="223">
        <f>SUM(K3090:K3091)</f>
        <v>8203</v>
      </c>
    </row>
    <row r="3090" spans="1:11" ht="15.75" customHeight="1" x14ac:dyDescent="0.25">
      <c r="A3090" s="308"/>
      <c r="B3090" s="308"/>
      <c r="C3090" s="317"/>
      <c r="D3090" s="319"/>
      <c r="E3090" s="319"/>
      <c r="F3090" s="331"/>
      <c r="G3090" s="307" t="s">
        <v>65</v>
      </c>
      <c r="H3090" s="93" t="s">
        <v>67</v>
      </c>
      <c r="I3090" s="223">
        <f>D3089*K3090</f>
        <v>5587166.7000000002</v>
      </c>
      <c r="J3090" s="223">
        <f>I3090/D3089</f>
        <v>8031</v>
      </c>
      <c r="K3090" s="223">
        <v>8031</v>
      </c>
    </row>
    <row r="3091" spans="1:11" ht="15.75" customHeight="1" x14ac:dyDescent="0.25">
      <c r="A3091" s="309"/>
      <c r="B3091" s="309"/>
      <c r="C3091" s="316"/>
      <c r="D3091" s="329"/>
      <c r="E3091" s="329"/>
      <c r="F3091" s="332"/>
      <c r="G3091" s="309"/>
      <c r="H3091" s="93" t="s">
        <v>69</v>
      </c>
      <c r="I3091" s="223">
        <f>D3089*K3091</f>
        <v>119660.4</v>
      </c>
      <c r="J3091" s="223">
        <f>I3091/D3089</f>
        <v>172</v>
      </c>
      <c r="K3091" s="223">
        <v>172</v>
      </c>
    </row>
    <row r="3092" spans="1:11" x14ac:dyDescent="0.25">
      <c r="A3092" s="307">
        <f>A3089+1</f>
        <v>8</v>
      </c>
      <c r="B3092" s="307">
        <v>5495</v>
      </c>
      <c r="C3092" s="315" t="s">
        <v>524</v>
      </c>
      <c r="D3092" s="318">
        <v>1511.2</v>
      </c>
      <c r="E3092" s="318" t="s">
        <v>68</v>
      </c>
      <c r="F3092" s="330">
        <v>3</v>
      </c>
      <c r="G3092" s="307" t="s">
        <v>65</v>
      </c>
      <c r="H3092" s="87" t="s">
        <v>66</v>
      </c>
      <c r="I3092" s="223">
        <f>SUM(I3093:I3094)</f>
        <v>8804251.1999999993</v>
      </c>
      <c r="J3092" s="223">
        <f>SUM(J3093:J3094)</f>
        <v>5826</v>
      </c>
      <c r="K3092" s="223">
        <f>SUM(K3093:K3094)</f>
        <v>5826</v>
      </c>
    </row>
    <row r="3093" spans="1:11" x14ac:dyDescent="0.25">
      <c r="A3093" s="308"/>
      <c r="B3093" s="308"/>
      <c r="C3093" s="317"/>
      <c r="D3093" s="319"/>
      <c r="E3093" s="319"/>
      <c r="F3093" s="331"/>
      <c r="G3093" s="308"/>
      <c r="H3093" s="93" t="s">
        <v>67</v>
      </c>
      <c r="I3093" s="223">
        <f>D3092*K3093</f>
        <v>8619884.8000000007</v>
      </c>
      <c r="J3093" s="223">
        <f>I3093/D3092</f>
        <v>5704</v>
      </c>
      <c r="K3093" s="223">
        <v>5704</v>
      </c>
    </row>
    <row r="3094" spans="1:11" x14ac:dyDescent="0.25">
      <c r="A3094" s="309"/>
      <c r="B3094" s="309"/>
      <c r="C3094" s="316"/>
      <c r="D3094" s="329"/>
      <c r="E3094" s="329"/>
      <c r="F3094" s="332"/>
      <c r="G3094" s="309"/>
      <c r="H3094" s="93" t="s">
        <v>69</v>
      </c>
      <c r="I3094" s="223">
        <f>D3092*K3094</f>
        <v>184366.4</v>
      </c>
      <c r="J3094" s="223">
        <f>I3094/D3092</f>
        <v>122</v>
      </c>
      <c r="K3094" s="223">
        <v>122</v>
      </c>
    </row>
    <row r="3095" spans="1:11" ht="15.75" customHeight="1" x14ac:dyDescent="0.25">
      <c r="A3095" s="307">
        <f>A3092+1</f>
        <v>9</v>
      </c>
      <c r="B3095" s="307">
        <v>5474</v>
      </c>
      <c r="C3095" s="315" t="s">
        <v>501</v>
      </c>
      <c r="D3095" s="318">
        <v>751.5</v>
      </c>
      <c r="E3095" s="318" t="s">
        <v>68</v>
      </c>
      <c r="F3095" s="330">
        <v>2</v>
      </c>
      <c r="G3095" s="121"/>
      <c r="H3095" s="87" t="s">
        <v>66</v>
      </c>
      <c r="I3095" s="223">
        <f>SUM(I3096:I3097)</f>
        <v>6164554.5</v>
      </c>
      <c r="J3095" s="223">
        <f>SUM(J3096:J3097)</f>
        <v>8203</v>
      </c>
      <c r="K3095" s="223">
        <f>SUM(K3096:K3097)</f>
        <v>8203</v>
      </c>
    </row>
    <row r="3096" spans="1:11" ht="15.75" customHeight="1" x14ac:dyDescent="0.25">
      <c r="A3096" s="308"/>
      <c r="B3096" s="308"/>
      <c r="C3096" s="317"/>
      <c r="D3096" s="319"/>
      <c r="E3096" s="319"/>
      <c r="F3096" s="331"/>
      <c r="G3096" s="307" t="s">
        <v>65</v>
      </c>
      <c r="H3096" s="93" t="s">
        <v>67</v>
      </c>
      <c r="I3096" s="223">
        <f>D3095*K3096</f>
        <v>6035296.5</v>
      </c>
      <c r="J3096" s="223">
        <f>I3096/D3095</f>
        <v>8031</v>
      </c>
      <c r="K3096" s="223">
        <v>8031</v>
      </c>
    </row>
    <row r="3097" spans="1:11" ht="15.75" customHeight="1" x14ac:dyDescent="0.25">
      <c r="A3097" s="308"/>
      <c r="B3097" s="308"/>
      <c r="C3097" s="317"/>
      <c r="D3097" s="319"/>
      <c r="E3097" s="319"/>
      <c r="F3097" s="331"/>
      <c r="G3097" s="309"/>
      <c r="H3097" s="93" t="s">
        <v>69</v>
      </c>
      <c r="I3097" s="223">
        <f>D3095*K3097</f>
        <v>129258</v>
      </c>
      <c r="J3097" s="223">
        <f>I3097/D3095</f>
        <v>172</v>
      </c>
      <c r="K3097" s="223">
        <v>172</v>
      </c>
    </row>
    <row r="3098" spans="1:11" ht="15.75" customHeight="1" x14ac:dyDescent="0.25">
      <c r="A3098" s="307">
        <f>A3095+1</f>
        <v>10</v>
      </c>
      <c r="B3098" s="307">
        <v>5483</v>
      </c>
      <c r="C3098" s="315" t="s">
        <v>502</v>
      </c>
      <c r="D3098" s="318">
        <v>323</v>
      </c>
      <c r="E3098" s="318" t="s">
        <v>167</v>
      </c>
      <c r="F3098" s="330">
        <v>2</v>
      </c>
      <c r="G3098" s="121"/>
      <c r="H3098" s="87" t="s">
        <v>66</v>
      </c>
      <c r="I3098" s="223">
        <f>SUM(I3099:I3100)</f>
        <v>2649569</v>
      </c>
      <c r="J3098" s="223">
        <f>SUM(J3099:J3100)</f>
        <v>8203</v>
      </c>
      <c r="K3098" s="223">
        <f>SUM(K3099:K3100)</f>
        <v>8203</v>
      </c>
    </row>
    <row r="3099" spans="1:11" ht="15.75" customHeight="1" x14ac:dyDescent="0.25">
      <c r="A3099" s="308"/>
      <c r="B3099" s="308"/>
      <c r="C3099" s="317"/>
      <c r="D3099" s="319"/>
      <c r="E3099" s="319"/>
      <c r="F3099" s="331"/>
      <c r="G3099" s="307" t="s">
        <v>65</v>
      </c>
      <c r="H3099" s="93" t="s">
        <v>67</v>
      </c>
      <c r="I3099" s="223">
        <f>D3098*K3099</f>
        <v>2594013</v>
      </c>
      <c r="J3099" s="223">
        <f>I3099/D3098</f>
        <v>8031</v>
      </c>
      <c r="K3099" s="223">
        <v>8031</v>
      </c>
    </row>
    <row r="3100" spans="1:11" ht="15.75" customHeight="1" x14ac:dyDescent="0.25">
      <c r="A3100" s="309"/>
      <c r="B3100" s="309"/>
      <c r="C3100" s="316"/>
      <c r="D3100" s="329"/>
      <c r="E3100" s="329"/>
      <c r="F3100" s="332"/>
      <c r="G3100" s="309"/>
      <c r="H3100" s="93" t="s">
        <v>69</v>
      </c>
      <c r="I3100" s="223">
        <f>D3098*K3100</f>
        <v>55556</v>
      </c>
      <c r="J3100" s="223">
        <f>I3100/D3098</f>
        <v>172</v>
      </c>
      <c r="K3100" s="223">
        <v>172</v>
      </c>
    </row>
    <row r="3101" spans="1:11" s="143" customFormat="1" ht="15.75" customHeight="1" x14ac:dyDescent="0.25">
      <c r="A3101" s="307">
        <f>A3098+1</f>
        <v>11</v>
      </c>
      <c r="B3101" s="307">
        <v>8311</v>
      </c>
      <c r="C3101" s="315" t="s">
        <v>726</v>
      </c>
      <c r="D3101" s="318">
        <v>497.1</v>
      </c>
      <c r="E3101" s="318" t="s">
        <v>167</v>
      </c>
      <c r="F3101" s="330">
        <v>2</v>
      </c>
      <c r="G3101" s="121"/>
      <c r="H3101" s="87" t="s">
        <v>66</v>
      </c>
      <c r="I3101" s="223">
        <f>SUM(I3102:I3105)</f>
        <v>5193203.7</v>
      </c>
      <c r="J3101" s="223">
        <f t="shared" ref="J3101:K3101" si="100">SUM(J3102:J3105)</f>
        <v>10447</v>
      </c>
      <c r="K3101" s="223">
        <f t="shared" si="100"/>
        <v>10447</v>
      </c>
    </row>
    <row r="3102" spans="1:11" s="143" customFormat="1" x14ac:dyDescent="0.25">
      <c r="A3102" s="308"/>
      <c r="B3102" s="308"/>
      <c r="C3102" s="317"/>
      <c r="D3102" s="319"/>
      <c r="E3102" s="319"/>
      <c r="F3102" s="331"/>
      <c r="G3102" s="307" t="s">
        <v>75</v>
      </c>
      <c r="H3102" s="93" t="s">
        <v>67</v>
      </c>
      <c r="I3102" s="223">
        <f>D3101*K3102</f>
        <v>2886659.7</v>
      </c>
      <c r="J3102" s="223">
        <f>I3102/D3101</f>
        <v>5807</v>
      </c>
      <c r="K3102" s="223">
        <v>5807</v>
      </c>
    </row>
    <row r="3103" spans="1:11" s="143" customFormat="1" x14ac:dyDescent="0.25">
      <c r="A3103" s="308"/>
      <c r="B3103" s="308"/>
      <c r="C3103" s="317"/>
      <c r="D3103" s="319"/>
      <c r="E3103" s="319"/>
      <c r="F3103" s="331"/>
      <c r="G3103" s="308"/>
      <c r="H3103" s="93" t="s">
        <v>69</v>
      </c>
      <c r="I3103" s="223">
        <f>D3101*K3103</f>
        <v>61640.4</v>
      </c>
      <c r="J3103" s="223">
        <f>I3103/D3101</f>
        <v>124</v>
      </c>
      <c r="K3103" s="223">
        <v>124</v>
      </c>
    </row>
    <row r="3104" spans="1:11" s="143" customFormat="1" x14ac:dyDescent="0.25">
      <c r="A3104" s="308"/>
      <c r="B3104" s="308"/>
      <c r="C3104" s="317"/>
      <c r="D3104" s="319"/>
      <c r="E3104" s="319"/>
      <c r="F3104" s="331"/>
      <c r="G3104" s="308"/>
      <c r="H3104" s="87" t="s">
        <v>179</v>
      </c>
      <c r="I3104" s="223">
        <f>D3101*K3104</f>
        <v>2197679.1</v>
      </c>
      <c r="J3104" s="223">
        <f>I3104/D3101</f>
        <v>4421</v>
      </c>
      <c r="K3104" s="223">
        <v>4421</v>
      </c>
    </row>
    <row r="3105" spans="1:11" s="143" customFormat="1" x14ac:dyDescent="0.25">
      <c r="A3105" s="309"/>
      <c r="B3105" s="309"/>
      <c r="C3105" s="316"/>
      <c r="D3105" s="329"/>
      <c r="E3105" s="329"/>
      <c r="F3105" s="332"/>
      <c r="G3105" s="309"/>
      <c r="H3105" s="87" t="s">
        <v>69</v>
      </c>
      <c r="I3105" s="223">
        <f>D3101*K3105</f>
        <v>47224.5</v>
      </c>
      <c r="J3105" s="223">
        <f>I3105/D3101</f>
        <v>95</v>
      </c>
      <c r="K3105" s="223">
        <v>95</v>
      </c>
    </row>
    <row r="3106" spans="1:11" x14ac:dyDescent="0.25">
      <c r="A3106" s="307">
        <f>A3101+1</f>
        <v>12</v>
      </c>
      <c r="B3106" s="307">
        <v>5716</v>
      </c>
      <c r="C3106" s="315" t="s">
        <v>520</v>
      </c>
      <c r="D3106" s="318">
        <v>380.8</v>
      </c>
      <c r="E3106" s="318" t="s">
        <v>68</v>
      </c>
      <c r="F3106" s="330">
        <v>2</v>
      </c>
      <c r="G3106" s="307" t="s">
        <v>65</v>
      </c>
      <c r="H3106" s="87" t="s">
        <v>66</v>
      </c>
      <c r="I3106" s="223">
        <f>I3107+I3108</f>
        <v>3123702.4</v>
      </c>
      <c r="J3106" s="223">
        <f>J3107+J3108</f>
        <v>8203</v>
      </c>
      <c r="K3106" s="223">
        <f>K3107+K3108</f>
        <v>8203</v>
      </c>
    </row>
    <row r="3107" spans="1:11" x14ac:dyDescent="0.25">
      <c r="A3107" s="308"/>
      <c r="B3107" s="308"/>
      <c r="C3107" s="317"/>
      <c r="D3107" s="319"/>
      <c r="E3107" s="319"/>
      <c r="F3107" s="331"/>
      <c r="G3107" s="308"/>
      <c r="H3107" s="93" t="s">
        <v>67</v>
      </c>
      <c r="I3107" s="223">
        <f>D3106*K3107</f>
        <v>3058204.8</v>
      </c>
      <c r="J3107" s="223">
        <f>I3107/D3106</f>
        <v>8031</v>
      </c>
      <c r="K3107" s="223">
        <v>8031</v>
      </c>
    </row>
    <row r="3108" spans="1:11" x14ac:dyDescent="0.25">
      <c r="A3108" s="309"/>
      <c r="B3108" s="309"/>
      <c r="C3108" s="316"/>
      <c r="D3108" s="329"/>
      <c r="E3108" s="329"/>
      <c r="F3108" s="332"/>
      <c r="G3108" s="309"/>
      <c r="H3108" s="93" t="s">
        <v>69</v>
      </c>
      <c r="I3108" s="223">
        <f>D3106*K3108</f>
        <v>65497.599999999999</v>
      </c>
      <c r="J3108" s="223">
        <f>I3108/D3106</f>
        <v>172</v>
      </c>
      <c r="K3108" s="223">
        <v>172</v>
      </c>
    </row>
    <row r="3109" spans="1:11" x14ac:dyDescent="0.25">
      <c r="A3109" s="307">
        <f>A3106+1</f>
        <v>13</v>
      </c>
      <c r="B3109" s="307">
        <v>5718</v>
      </c>
      <c r="C3109" s="315" t="s">
        <v>521</v>
      </c>
      <c r="D3109" s="318">
        <v>376.5</v>
      </c>
      <c r="E3109" s="318" t="s">
        <v>68</v>
      </c>
      <c r="F3109" s="330">
        <v>2</v>
      </c>
      <c r="G3109" s="121"/>
      <c r="H3109" s="87" t="s">
        <v>66</v>
      </c>
      <c r="I3109" s="223">
        <f>SUM(I3110:I3111)</f>
        <v>3088429.5</v>
      </c>
      <c r="J3109" s="223">
        <f>SUM(J3110:J3111)</f>
        <v>8203</v>
      </c>
      <c r="K3109" s="223">
        <f>SUM(K3110:K3111)</f>
        <v>8203</v>
      </c>
    </row>
    <row r="3110" spans="1:11" ht="15.75" customHeight="1" x14ac:dyDescent="0.25">
      <c r="A3110" s="308"/>
      <c r="B3110" s="308"/>
      <c r="C3110" s="317"/>
      <c r="D3110" s="319"/>
      <c r="E3110" s="319"/>
      <c r="F3110" s="331"/>
      <c r="G3110" s="307" t="s">
        <v>65</v>
      </c>
      <c r="H3110" s="93" t="s">
        <v>67</v>
      </c>
      <c r="I3110" s="223">
        <f>D3109*K3110</f>
        <v>3023671.5</v>
      </c>
      <c r="J3110" s="223">
        <f>I3110/D3109</f>
        <v>8031</v>
      </c>
      <c r="K3110" s="223">
        <v>8031</v>
      </c>
    </row>
    <row r="3111" spans="1:11" x14ac:dyDescent="0.25">
      <c r="A3111" s="308"/>
      <c r="B3111" s="308"/>
      <c r="C3111" s="317"/>
      <c r="D3111" s="319"/>
      <c r="E3111" s="319"/>
      <c r="F3111" s="331"/>
      <c r="G3111" s="309"/>
      <c r="H3111" s="93" t="s">
        <v>69</v>
      </c>
      <c r="I3111" s="223">
        <f>D3109*K3111</f>
        <v>64758</v>
      </c>
      <c r="J3111" s="223">
        <f>I3111/D3109</f>
        <v>172</v>
      </c>
      <c r="K3111" s="223">
        <v>172</v>
      </c>
    </row>
    <row r="3112" spans="1:11" s="143" customFormat="1" ht="15.75" customHeight="1" x14ac:dyDescent="0.25">
      <c r="A3112" s="307">
        <f>A3109+1</f>
        <v>14</v>
      </c>
      <c r="B3112" s="307">
        <v>5719</v>
      </c>
      <c r="C3112" s="315" t="s">
        <v>727</v>
      </c>
      <c r="D3112" s="318">
        <v>372.8</v>
      </c>
      <c r="E3112" s="318" t="s">
        <v>167</v>
      </c>
      <c r="F3112" s="330">
        <v>2</v>
      </c>
      <c r="G3112" s="121"/>
      <c r="H3112" s="87" t="s">
        <v>66</v>
      </c>
      <c r="I3112" s="223">
        <f>SUM(I3113:I3116)</f>
        <v>1364820.8</v>
      </c>
      <c r="J3112" s="223">
        <f t="shared" ref="J3112:K3112" si="101">SUM(J3113:J3116)</f>
        <v>3661</v>
      </c>
      <c r="K3112" s="223">
        <f t="shared" si="101"/>
        <v>3661</v>
      </c>
    </row>
    <row r="3113" spans="1:11" s="143" customFormat="1" x14ac:dyDescent="0.25">
      <c r="A3113" s="308"/>
      <c r="B3113" s="308"/>
      <c r="C3113" s="317"/>
      <c r="D3113" s="319"/>
      <c r="E3113" s="319"/>
      <c r="F3113" s="331"/>
      <c r="G3113" s="307" t="s">
        <v>70</v>
      </c>
      <c r="H3113" s="93" t="s">
        <v>67</v>
      </c>
      <c r="I3113" s="223">
        <f>D3112*K3113</f>
        <v>1106097.6000000001</v>
      </c>
      <c r="J3113" s="223">
        <f>I3113/D3112</f>
        <v>2967</v>
      </c>
      <c r="K3113" s="223">
        <v>2967</v>
      </c>
    </row>
    <row r="3114" spans="1:11" s="143" customFormat="1" x14ac:dyDescent="0.25">
      <c r="A3114" s="308"/>
      <c r="B3114" s="308"/>
      <c r="C3114" s="317"/>
      <c r="D3114" s="319"/>
      <c r="E3114" s="319"/>
      <c r="F3114" s="331"/>
      <c r="G3114" s="309"/>
      <c r="H3114" s="93" t="s">
        <v>69</v>
      </c>
      <c r="I3114" s="223">
        <f>D3112*K3114</f>
        <v>23486.400000000001</v>
      </c>
      <c r="J3114" s="223">
        <f>I3114/D3112</f>
        <v>63</v>
      </c>
      <c r="K3114" s="223">
        <v>63</v>
      </c>
    </row>
    <row r="3115" spans="1:11" s="143" customFormat="1" x14ac:dyDescent="0.25">
      <c r="A3115" s="308"/>
      <c r="B3115" s="308"/>
      <c r="C3115" s="317"/>
      <c r="D3115" s="319"/>
      <c r="E3115" s="319"/>
      <c r="F3115" s="331"/>
      <c r="G3115" s="307" t="s">
        <v>71</v>
      </c>
      <c r="H3115" s="87" t="s">
        <v>179</v>
      </c>
      <c r="I3115" s="223">
        <f>D3112*K3115</f>
        <v>230390.39999999999</v>
      </c>
      <c r="J3115" s="223">
        <f>I3115/D3112</f>
        <v>618</v>
      </c>
      <c r="K3115" s="223">
        <v>618</v>
      </c>
    </row>
    <row r="3116" spans="1:11" s="143" customFormat="1" x14ac:dyDescent="0.25">
      <c r="A3116" s="309"/>
      <c r="B3116" s="309"/>
      <c r="C3116" s="316"/>
      <c r="D3116" s="329"/>
      <c r="E3116" s="329"/>
      <c r="F3116" s="332"/>
      <c r="G3116" s="309"/>
      <c r="H3116" s="87" t="s">
        <v>69</v>
      </c>
      <c r="I3116" s="223">
        <f>D3112*K3116</f>
        <v>4846.3999999999996</v>
      </c>
      <c r="J3116" s="223">
        <f>I3116/D3112</f>
        <v>13</v>
      </c>
      <c r="K3116" s="223">
        <v>13</v>
      </c>
    </row>
    <row r="3117" spans="1:11" x14ac:dyDescent="0.25">
      <c r="A3117" s="307">
        <f>A3112+1</f>
        <v>15</v>
      </c>
      <c r="B3117" s="307">
        <v>5795</v>
      </c>
      <c r="C3117" s="315" t="s">
        <v>522</v>
      </c>
      <c r="D3117" s="318">
        <v>379.2</v>
      </c>
      <c r="E3117" s="318" t="s">
        <v>68</v>
      </c>
      <c r="F3117" s="330">
        <v>2</v>
      </c>
      <c r="G3117" s="307" t="s">
        <v>65</v>
      </c>
      <c r="H3117" s="87" t="s">
        <v>66</v>
      </c>
      <c r="I3117" s="223">
        <f>I3118+I3119</f>
        <v>3110577.6</v>
      </c>
      <c r="J3117" s="223">
        <f>J3118+J3119</f>
        <v>8203</v>
      </c>
      <c r="K3117" s="223">
        <f>K3118+K3119</f>
        <v>8203</v>
      </c>
    </row>
    <row r="3118" spans="1:11" x14ac:dyDescent="0.25">
      <c r="A3118" s="308"/>
      <c r="B3118" s="308"/>
      <c r="C3118" s="317"/>
      <c r="D3118" s="319"/>
      <c r="E3118" s="319"/>
      <c r="F3118" s="331"/>
      <c r="G3118" s="308"/>
      <c r="H3118" s="93" t="s">
        <v>67</v>
      </c>
      <c r="I3118" s="223">
        <f>D3117*K3118</f>
        <v>3045355.2</v>
      </c>
      <c r="J3118" s="223">
        <f>I3118/D3117</f>
        <v>8031</v>
      </c>
      <c r="K3118" s="223">
        <v>8031</v>
      </c>
    </row>
    <row r="3119" spans="1:11" x14ac:dyDescent="0.25">
      <c r="A3119" s="309"/>
      <c r="B3119" s="309"/>
      <c r="C3119" s="316"/>
      <c r="D3119" s="329"/>
      <c r="E3119" s="329"/>
      <c r="F3119" s="332"/>
      <c r="G3119" s="309"/>
      <c r="H3119" s="93" t="s">
        <v>69</v>
      </c>
      <c r="I3119" s="223">
        <f>D3117*K3119</f>
        <v>65222.400000000001</v>
      </c>
      <c r="J3119" s="223">
        <f>I3119/D3117</f>
        <v>172</v>
      </c>
      <c r="K3119" s="223">
        <v>172</v>
      </c>
    </row>
    <row r="3120" spans="1:11" ht="15.75" customHeight="1" x14ac:dyDescent="0.25">
      <c r="A3120" s="307">
        <f>A3117+1</f>
        <v>16</v>
      </c>
      <c r="B3120" s="307">
        <v>5797</v>
      </c>
      <c r="C3120" s="315" t="s">
        <v>498</v>
      </c>
      <c r="D3120" s="318">
        <v>353.9</v>
      </c>
      <c r="E3120" s="318" t="s">
        <v>68</v>
      </c>
      <c r="F3120" s="330">
        <v>2</v>
      </c>
      <c r="G3120" s="121"/>
      <c r="H3120" s="87" t="s">
        <v>66</v>
      </c>
      <c r="I3120" s="223">
        <f>SUM(I3121:I3122)</f>
        <v>2903041.7</v>
      </c>
      <c r="J3120" s="223">
        <f>SUM(J3121:J3122)</f>
        <v>8203</v>
      </c>
      <c r="K3120" s="223">
        <f>SUM(K3121:K3122)</f>
        <v>8203</v>
      </c>
    </row>
    <row r="3121" spans="1:11" ht="15.75" customHeight="1" x14ac:dyDescent="0.25">
      <c r="A3121" s="308"/>
      <c r="B3121" s="308"/>
      <c r="C3121" s="317"/>
      <c r="D3121" s="319"/>
      <c r="E3121" s="319"/>
      <c r="F3121" s="331"/>
      <c r="G3121" s="307" t="s">
        <v>65</v>
      </c>
      <c r="H3121" s="93" t="s">
        <v>67</v>
      </c>
      <c r="I3121" s="223">
        <f>D3120*K3121</f>
        <v>2842170.9</v>
      </c>
      <c r="J3121" s="223">
        <f>I3121/D3120</f>
        <v>8031</v>
      </c>
      <c r="K3121" s="223">
        <v>8031</v>
      </c>
    </row>
    <row r="3122" spans="1:11" ht="15.75" customHeight="1" x14ac:dyDescent="0.25">
      <c r="A3122" s="308"/>
      <c r="B3122" s="308"/>
      <c r="C3122" s="317"/>
      <c r="D3122" s="319"/>
      <c r="E3122" s="319"/>
      <c r="F3122" s="331"/>
      <c r="G3122" s="309"/>
      <c r="H3122" s="93" t="s">
        <v>69</v>
      </c>
      <c r="I3122" s="223">
        <f>D3120*K3122</f>
        <v>60870.8</v>
      </c>
      <c r="J3122" s="223">
        <f>I3122/D3120</f>
        <v>172</v>
      </c>
      <c r="K3122" s="223">
        <v>172</v>
      </c>
    </row>
    <row r="3123" spans="1:11" x14ac:dyDescent="0.25">
      <c r="A3123" s="81" t="s">
        <v>36</v>
      </c>
      <c r="B3123" s="81"/>
      <c r="C3123" s="124"/>
      <c r="D3123" s="151">
        <f>D3124+D3126+D3128+D3131</f>
        <v>1350.3</v>
      </c>
      <c r="E3123" s="150"/>
      <c r="F3123" s="150"/>
      <c r="G3123" s="145"/>
      <c r="H3123" s="84"/>
      <c r="I3123" s="223">
        <f>I3124+I3126+I3128+I3131</f>
        <v>4916107.9000000004</v>
      </c>
      <c r="J3123" s="223"/>
      <c r="K3123" s="223"/>
    </row>
    <row r="3124" spans="1:11" s="118" customFormat="1" ht="15.75" customHeight="1" x14ac:dyDescent="0.25">
      <c r="A3124" s="320">
        <v>1</v>
      </c>
      <c r="B3124" s="320">
        <v>4893</v>
      </c>
      <c r="C3124" s="321" t="s">
        <v>697</v>
      </c>
      <c r="D3124" s="327">
        <v>303.3</v>
      </c>
      <c r="E3124" s="328" t="s">
        <v>68</v>
      </c>
      <c r="F3124" s="328">
        <v>2</v>
      </c>
      <c r="G3124" s="125"/>
      <c r="H3124" s="117" t="s">
        <v>66</v>
      </c>
      <c r="I3124" s="226">
        <f>I3125</f>
        <v>13951.8</v>
      </c>
      <c r="J3124" s="226">
        <f>J3125</f>
        <v>46</v>
      </c>
      <c r="K3124" s="226">
        <f>K3125</f>
        <v>46</v>
      </c>
    </row>
    <row r="3125" spans="1:11" s="120" customFormat="1" ht="63" x14ac:dyDescent="0.25">
      <c r="A3125" s="320"/>
      <c r="B3125" s="320"/>
      <c r="C3125" s="321"/>
      <c r="D3125" s="327"/>
      <c r="E3125" s="328"/>
      <c r="F3125" s="328"/>
      <c r="G3125" s="155" t="s">
        <v>71</v>
      </c>
      <c r="H3125" s="117" t="s">
        <v>231</v>
      </c>
      <c r="I3125" s="226">
        <f>D3124*K3125</f>
        <v>13951.8</v>
      </c>
      <c r="J3125" s="226">
        <f>I3125/D3124</f>
        <v>46</v>
      </c>
      <c r="K3125" s="226">
        <f>25+21</f>
        <v>46</v>
      </c>
    </row>
    <row r="3126" spans="1:11" s="118" customFormat="1" ht="15.75" customHeight="1" x14ac:dyDescent="0.25">
      <c r="A3126" s="320">
        <f>A3124+1</f>
        <v>2</v>
      </c>
      <c r="B3126" s="320">
        <v>4902</v>
      </c>
      <c r="C3126" s="321" t="s">
        <v>698</v>
      </c>
      <c r="D3126" s="327">
        <v>335.4</v>
      </c>
      <c r="E3126" s="328" t="s">
        <v>68</v>
      </c>
      <c r="F3126" s="328">
        <v>2</v>
      </c>
      <c r="G3126" s="125"/>
      <c r="H3126" s="117" t="s">
        <v>66</v>
      </c>
      <c r="I3126" s="226">
        <f>I3127</f>
        <v>15428.4</v>
      </c>
      <c r="J3126" s="226">
        <f>J3127</f>
        <v>46</v>
      </c>
      <c r="K3126" s="226">
        <f>K3127</f>
        <v>46</v>
      </c>
    </row>
    <row r="3127" spans="1:11" s="120" customFormat="1" ht="63" x14ac:dyDescent="0.25">
      <c r="A3127" s="320"/>
      <c r="B3127" s="320"/>
      <c r="C3127" s="321"/>
      <c r="D3127" s="327"/>
      <c r="E3127" s="328"/>
      <c r="F3127" s="328"/>
      <c r="G3127" s="155" t="s">
        <v>71</v>
      </c>
      <c r="H3127" s="117" t="s">
        <v>231</v>
      </c>
      <c r="I3127" s="226">
        <f>D3126*K3127</f>
        <v>15428.4</v>
      </c>
      <c r="J3127" s="226">
        <f>I3127/D3126</f>
        <v>46</v>
      </c>
      <c r="K3127" s="226">
        <f>25+21</f>
        <v>46</v>
      </c>
    </row>
    <row r="3128" spans="1:11" s="118" customFormat="1" ht="15.75" customHeight="1" x14ac:dyDescent="0.25">
      <c r="A3128" s="320">
        <f>A3126+1</f>
        <v>3</v>
      </c>
      <c r="B3128" s="320">
        <v>4930</v>
      </c>
      <c r="C3128" s="321" t="s">
        <v>695</v>
      </c>
      <c r="D3128" s="327">
        <v>353.7</v>
      </c>
      <c r="E3128" s="328" t="s">
        <v>68</v>
      </c>
      <c r="F3128" s="328">
        <v>2</v>
      </c>
      <c r="G3128" s="116"/>
      <c r="H3128" s="117" t="s">
        <v>66</v>
      </c>
      <c r="I3128" s="226">
        <f>I3129+I3130</f>
        <v>1950874</v>
      </c>
      <c r="J3128" s="226">
        <f>J3129+J3130</f>
        <v>5515.62</v>
      </c>
      <c r="K3128" s="226">
        <f>K3129+K3130</f>
        <v>8203</v>
      </c>
    </row>
    <row r="3129" spans="1:11" s="118" customFormat="1" x14ac:dyDescent="0.25">
      <c r="A3129" s="320"/>
      <c r="B3129" s="320"/>
      <c r="C3129" s="321"/>
      <c r="D3129" s="327"/>
      <c r="E3129" s="328"/>
      <c r="F3129" s="328"/>
      <c r="G3129" s="320" t="s">
        <v>65</v>
      </c>
      <c r="H3129" s="117" t="s">
        <v>67</v>
      </c>
      <c r="I3129" s="226">
        <v>1910000</v>
      </c>
      <c r="J3129" s="226">
        <f>I3129/D3128</f>
        <v>5400.06</v>
      </c>
      <c r="K3129" s="226">
        <v>8031</v>
      </c>
    </row>
    <row r="3130" spans="1:11" s="118" customFormat="1" x14ac:dyDescent="0.25">
      <c r="A3130" s="320"/>
      <c r="B3130" s="320"/>
      <c r="C3130" s="321"/>
      <c r="D3130" s="327"/>
      <c r="E3130" s="328"/>
      <c r="F3130" s="328"/>
      <c r="G3130" s="320"/>
      <c r="H3130" s="117" t="s">
        <v>69</v>
      </c>
      <c r="I3130" s="226">
        <f>I3129*0.0214</f>
        <v>40874</v>
      </c>
      <c r="J3130" s="226">
        <f>I3130/D3128</f>
        <v>115.56</v>
      </c>
      <c r="K3130" s="226">
        <v>172</v>
      </c>
    </row>
    <row r="3131" spans="1:11" ht="15.75" customHeight="1" x14ac:dyDescent="0.25">
      <c r="A3131" s="310">
        <f>A3128+1</f>
        <v>4</v>
      </c>
      <c r="B3131" s="310">
        <v>4933</v>
      </c>
      <c r="C3131" s="333" t="s">
        <v>568</v>
      </c>
      <c r="D3131" s="312">
        <v>357.9</v>
      </c>
      <c r="E3131" s="313" t="s">
        <v>68</v>
      </c>
      <c r="F3131" s="313">
        <v>2</v>
      </c>
      <c r="G3131" s="161"/>
      <c r="H3131" s="87" t="s">
        <v>66</v>
      </c>
      <c r="I3131" s="223">
        <f>I3132+I3133</f>
        <v>2935853.7</v>
      </c>
      <c r="J3131" s="223">
        <f>J3132+J3133</f>
        <v>8203</v>
      </c>
      <c r="K3131" s="223">
        <f>K3132+K3133</f>
        <v>8203</v>
      </c>
    </row>
    <row r="3132" spans="1:11" x14ac:dyDescent="0.25">
      <c r="A3132" s="310"/>
      <c r="B3132" s="310"/>
      <c r="C3132" s="333"/>
      <c r="D3132" s="312"/>
      <c r="E3132" s="313"/>
      <c r="F3132" s="313"/>
      <c r="G3132" s="310" t="s">
        <v>65</v>
      </c>
      <c r="H3132" s="87" t="s">
        <v>67</v>
      </c>
      <c r="I3132" s="223">
        <f>D3131*K3132</f>
        <v>2874294.9</v>
      </c>
      <c r="J3132" s="223">
        <f>I3132/D3131</f>
        <v>8031</v>
      </c>
      <c r="K3132" s="223">
        <v>8031</v>
      </c>
    </row>
    <row r="3133" spans="1:11" x14ac:dyDescent="0.25">
      <c r="A3133" s="310"/>
      <c r="B3133" s="310"/>
      <c r="C3133" s="333"/>
      <c r="D3133" s="312"/>
      <c r="E3133" s="313"/>
      <c r="F3133" s="313"/>
      <c r="G3133" s="310"/>
      <c r="H3133" s="87" t="s">
        <v>69</v>
      </c>
      <c r="I3133" s="223">
        <f>D3131*K3133</f>
        <v>61558.8</v>
      </c>
      <c r="J3133" s="223">
        <f>I3133/D3131</f>
        <v>172</v>
      </c>
      <c r="K3133" s="223">
        <v>172</v>
      </c>
    </row>
    <row r="3134" spans="1:11" x14ac:dyDescent="0.25">
      <c r="A3134" s="81" t="s">
        <v>37</v>
      </c>
      <c r="B3134" s="81"/>
      <c r="C3134" s="124"/>
      <c r="D3134" s="80">
        <f>D3135</f>
        <v>446</v>
      </c>
      <c r="E3134" s="95"/>
      <c r="F3134" s="95"/>
      <c r="G3134" s="99"/>
      <c r="H3134" s="100"/>
      <c r="I3134" s="223">
        <f>I3135</f>
        <v>1715762</v>
      </c>
      <c r="J3134" s="223"/>
      <c r="K3134" s="223"/>
    </row>
    <row r="3135" spans="1:11" x14ac:dyDescent="0.25">
      <c r="A3135" s="307">
        <v>1</v>
      </c>
      <c r="B3135" s="307">
        <v>6756</v>
      </c>
      <c r="C3135" s="315" t="s">
        <v>300</v>
      </c>
      <c r="D3135" s="318">
        <v>446</v>
      </c>
      <c r="E3135" s="330" t="s">
        <v>68</v>
      </c>
      <c r="F3135" s="330">
        <v>2</v>
      </c>
      <c r="G3135" s="161"/>
      <c r="H3135" s="87" t="s">
        <v>66</v>
      </c>
      <c r="I3135" s="223">
        <f>I3136+I3137+I3138+I3139+I3140+I3141</f>
        <v>1715762</v>
      </c>
      <c r="J3135" s="223">
        <f>J3136+J3137+J3138+J3139+J3140+J3141</f>
        <v>3847</v>
      </c>
      <c r="K3135" s="223">
        <f>K3136+K3137+K3138+K3139+K3140+K3141</f>
        <v>3847</v>
      </c>
    </row>
    <row r="3136" spans="1:11" ht="63" x14ac:dyDescent="0.25">
      <c r="A3136" s="308"/>
      <c r="B3136" s="308"/>
      <c r="C3136" s="317"/>
      <c r="D3136" s="319"/>
      <c r="E3136" s="331"/>
      <c r="F3136" s="331"/>
      <c r="G3136" s="307" t="s">
        <v>70</v>
      </c>
      <c r="H3136" s="87" t="s">
        <v>168</v>
      </c>
      <c r="I3136" s="223">
        <f>D3135*K3136</f>
        <v>62440</v>
      </c>
      <c r="J3136" s="223">
        <f>I3136/D3135</f>
        <v>140</v>
      </c>
      <c r="K3136" s="223">
        <f>119+21</f>
        <v>140</v>
      </c>
    </row>
    <row r="3137" spans="1:143" x14ac:dyDescent="0.25">
      <c r="A3137" s="308"/>
      <c r="B3137" s="308"/>
      <c r="C3137" s="317"/>
      <c r="D3137" s="319"/>
      <c r="E3137" s="331"/>
      <c r="F3137" s="331"/>
      <c r="G3137" s="308"/>
      <c r="H3137" s="87" t="s">
        <v>67</v>
      </c>
      <c r="I3137" s="223">
        <f>D3135*K3137</f>
        <v>1323282</v>
      </c>
      <c r="J3137" s="223">
        <f>I3137/D3135</f>
        <v>2967</v>
      </c>
      <c r="K3137" s="223">
        <v>2967</v>
      </c>
    </row>
    <row r="3138" spans="1:143" x14ac:dyDescent="0.25">
      <c r="A3138" s="308"/>
      <c r="B3138" s="308"/>
      <c r="C3138" s="317"/>
      <c r="D3138" s="319"/>
      <c r="E3138" s="331"/>
      <c r="F3138" s="331"/>
      <c r="G3138" s="309"/>
      <c r="H3138" s="87" t="s">
        <v>69</v>
      </c>
      <c r="I3138" s="223">
        <f>D3135*K3138</f>
        <v>28098</v>
      </c>
      <c r="J3138" s="223">
        <f>I3138/D3135</f>
        <v>63</v>
      </c>
      <c r="K3138" s="223">
        <v>63</v>
      </c>
    </row>
    <row r="3139" spans="1:143" ht="63" x14ac:dyDescent="0.25">
      <c r="A3139" s="308"/>
      <c r="B3139" s="308"/>
      <c r="C3139" s="317"/>
      <c r="D3139" s="319"/>
      <c r="E3139" s="331"/>
      <c r="F3139" s="331"/>
      <c r="G3139" s="307" t="s">
        <v>71</v>
      </c>
      <c r="H3139" s="87" t="s">
        <v>168</v>
      </c>
      <c r="I3139" s="223">
        <f>D3135*K3139</f>
        <v>20516</v>
      </c>
      <c r="J3139" s="223">
        <f>I3139/D3135</f>
        <v>46</v>
      </c>
      <c r="K3139" s="223">
        <f>25+21</f>
        <v>46</v>
      </c>
    </row>
    <row r="3140" spans="1:143" x14ac:dyDescent="0.25">
      <c r="A3140" s="308"/>
      <c r="B3140" s="308"/>
      <c r="C3140" s="317"/>
      <c r="D3140" s="319"/>
      <c r="E3140" s="331"/>
      <c r="F3140" s="331"/>
      <c r="G3140" s="308"/>
      <c r="H3140" s="87" t="s">
        <v>67</v>
      </c>
      <c r="I3140" s="223">
        <f>D3135*K3140</f>
        <v>275628</v>
      </c>
      <c r="J3140" s="223">
        <f>I3140/D3135</f>
        <v>618</v>
      </c>
      <c r="K3140" s="223">
        <v>618</v>
      </c>
    </row>
    <row r="3141" spans="1:143" x14ac:dyDescent="0.25">
      <c r="A3141" s="309"/>
      <c r="B3141" s="309"/>
      <c r="C3141" s="316"/>
      <c r="D3141" s="329"/>
      <c r="E3141" s="332"/>
      <c r="F3141" s="332"/>
      <c r="G3141" s="309"/>
      <c r="H3141" s="87" t="s">
        <v>69</v>
      </c>
      <c r="I3141" s="223">
        <f>D3135*K3141</f>
        <v>5798</v>
      </c>
      <c r="J3141" s="223">
        <f>I3141/D3135</f>
        <v>13</v>
      </c>
      <c r="K3141" s="223">
        <v>13</v>
      </c>
    </row>
    <row r="3142" spans="1:143" s="71" customFormat="1" x14ac:dyDescent="0.25">
      <c r="A3142" s="81" t="s">
        <v>38</v>
      </c>
      <c r="B3142" s="81"/>
      <c r="C3142" s="124"/>
      <c r="D3142" s="80">
        <f>D3143+D3146</f>
        <v>747</v>
      </c>
      <c r="E3142" s="80"/>
      <c r="F3142" s="80"/>
      <c r="G3142" s="151"/>
      <c r="H3142" s="92"/>
      <c r="I3142" s="223">
        <f>I3143+I3146</f>
        <v>3261759.3</v>
      </c>
      <c r="J3142" s="223"/>
      <c r="K3142" s="223"/>
      <c r="L3142" s="72"/>
      <c r="M3142" s="72"/>
      <c r="N3142" s="72"/>
      <c r="O3142" s="72"/>
      <c r="P3142" s="72"/>
      <c r="Q3142" s="72"/>
      <c r="R3142" s="72"/>
      <c r="S3142" s="72"/>
      <c r="T3142" s="72"/>
      <c r="U3142" s="72"/>
      <c r="V3142" s="72"/>
      <c r="W3142" s="72"/>
      <c r="X3142" s="72"/>
      <c r="Y3142" s="72"/>
      <c r="Z3142" s="72"/>
      <c r="AA3142" s="72"/>
      <c r="AB3142" s="72"/>
      <c r="AC3142" s="72"/>
      <c r="AD3142" s="72"/>
      <c r="AE3142" s="72"/>
      <c r="AF3142" s="72"/>
      <c r="AG3142" s="72"/>
      <c r="AH3142" s="72"/>
      <c r="AI3142" s="72"/>
      <c r="AJ3142" s="72"/>
      <c r="AK3142" s="72"/>
      <c r="AL3142" s="72"/>
      <c r="AM3142" s="72"/>
      <c r="AN3142" s="72"/>
      <c r="AO3142" s="72"/>
      <c r="AP3142" s="72"/>
      <c r="AQ3142" s="72"/>
      <c r="AR3142" s="72"/>
      <c r="AS3142" s="72"/>
      <c r="AT3142" s="72"/>
      <c r="AU3142" s="72"/>
      <c r="AV3142" s="72"/>
      <c r="AW3142" s="72"/>
      <c r="AX3142" s="72"/>
      <c r="AY3142" s="72"/>
      <c r="AZ3142" s="72"/>
      <c r="BA3142" s="72"/>
      <c r="BB3142" s="72"/>
      <c r="BC3142" s="72"/>
      <c r="BD3142" s="72"/>
      <c r="BE3142" s="72"/>
      <c r="BF3142" s="72"/>
      <c r="BG3142" s="72"/>
      <c r="BH3142" s="72"/>
      <c r="BI3142" s="72"/>
      <c r="BJ3142" s="72"/>
      <c r="BK3142" s="72"/>
      <c r="BL3142" s="72"/>
      <c r="BM3142" s="72"/>
      <c r="BN3142" s="72"/>
      <c r="BO3142" s="72"/>
      <c r="BP3142" s="72"/>
      <c r="BQ3142" s="72"/>
      <c r="BR3142" s="72"/>
      <c r="BS3142" s="72"/>
      <c r="BT3142" s="72"/>
      <c r="BU3142" s="72"/>
      <c r="BV3142" s="72"/>
      <c r="BW3142" s="72"/>
      <c r="BX3142" s="72"/>
      <c r="BY3142" s="72"/>
      <c r="BZ3142" s="72"/>
      <c r="CA3142" s="72"/>
      <c r="CB3142" s="72"/>
      <c r="CC3142" s="72"/>
      <c r="CD3142" s="72"/>
      <c r="CE3142" s="72"/>
      <c r="CF3142" s="72"/>
      <c r="CG3142" s="72"/>
      <c r="CH3142" s="72"/>
      <c r="CI3142" s="72"/>
      <c r="CJ3142" s="72"/>
      <c r="CK3142" s="72"/>
      <c r="CL3142" s="72"/>
      <c r="CM3142" s="72"/>
      <c r="CN3142" s="72"/>
      <c r="CO3142" s="72"/>
      <c r="CP3142" s="72"/>
      <c r="CQ3142" s="72"/>
      <c r="CR3142" s="72"/>
      <c r="CS3142" s="72"/>
      <c r="CT3142" s="72"/>
      <c r="CU3142" s="72"/>
      <c r="CV3142" s="72"/>
      <c r="CW3142" s="72"/>
      <c r="CX3142" s="72"/>
      <c r="CY3142" s="72"/>
      <c r="CZ3142" s="72"/>
      <c r="DA3142" s="72"/>
      <c r="DB3142" s="72"/>
      <c r="DC3142" s="72"/>
      <c r="DD3142" s="72"/>
      <c r="DE3142" s="72"/>
      <c r="DF3142" s="72"/>
      <c r="DG3142" s="72"/>
      <c r="DH3142" s="72"/>
      <c r="DI3142" s="72"/>
      <c r="DJ3142" s="72"/>
      <c r="DK3142" s="72"/>
      <c r="DL3142" s="72"/>
      <c r="DM3142" s="72"/>
      <c r="DN3142" s="72"/>
      <c r="DO3142" s="72"/>
      <c r="DP3142" s="72"/>
      <c r="DQ3142" s="72"/>
      <c r="DR3142" s="72"/>
      <c r="DS3142" s="72"/>
      <c r="DT3142" s="72"/>
      <c r="DU3142" s="72"/>
      <c r="DV3142" s="72"/>
      <c r="DW3142" s="72"/>
      <c r="DX3142" s="72"/>
      <c r="DY3142" s="72"/>
      <c r="DZ3142" s="72"/>
      <c r="EA3142" s="72"/>
      <c r="EB3142" s="72"/>
      <c r="EC3142" s="72"/>
      <c r="ED3142" s="72"/>
      <c r="EE3142" s="72"/>
      <c r="EF3142" s="72"/>
      <c r="EG3142" s="72"/>
      <c r="EH3142" s="72"/>
      <c r="EI3142" s="72"/>
      <c r="EJ3142" s="72"/>
      <c r="EK3142" s="72"/>
      <c r="EL3142" s="72"/>
      <c r="EM3142" s="72"/>
    </row>
    <row r="3143" spans="1:143" s="143" customFormat="1" ht="15.75" customHeight="1" x14ac:dyDescent="0.25">
      <c r="A3143" s="310">
        <v>1</v>
      </c>
      <c r="B3143" s="310">
        <v>4966</v>
      </c>
      <c r="C3143" s="333" t="s">
        <v>700</v>
      </c>
      <c r="D3143" s="318">
        <v>376.3</v>
      </c>
      <c r="E3143" s="330" t="s">
        <v>68</v>
      </c>
      <c r="F3143" s="330">
        <v>2</v>
      </c>
      <c r="G3143" s="307" t="s">
        <v>65</v>
      </c>
      <c r="H3143" s="87" t="s">
        <v>66</v>
      </c>
      <c r="I3143" s="223">
        <f>I3144+I3145</f>
        <v>3086788.9</v>
      </c>
      <c r="J3143" s="223">
        <f t="shared" ref="J3143:K3143" si="102">J3144+J3145</f>
        <v>8203</v>
      </c>
      <c r="K3143" s="223">
        <f t="shared" si="102"/>
        <v>8203</v>
      </c>
    </row>
    <row r="3144" spans="1:143" s="143" customFormat="1" ht="15.75" customHeight="1" x14ac:dyDescent="0.25">
      <c r="A3144" s="310"/>
      <c r="B3144" s="310"/>
      <c r="C3144" s="333"/>
      <c r="D3144" s="319"/>
      <c r="E3144" s="331"/>
      <c r="F3144" s="331"/>
      <c r="G3144" s="308"/>
      <c r="H3144" s="87" t="s">
        <v>67</v>
      </c>
      <c r="I3144" s="223">
        <f>D3143*K3144</f>
        <v>3022065.3</v>
      </c>
      <c r="J3144" s="223">
        <f>I3144/D3143</f>
        <v>8031</v>
      </c>
      <c r="K3144" s="223">
        <v>8031</v>
      </c>
    </row>
    <row r="3145" spans="1:143" s="143" customFormat="1" ht="15.75" customHeight="1" x14ac:dyDescent="0.25">
      <c r="A3145" s="310"/>
      <c r="B3145" s="310"/>
      <c r="C3145" s="333"/>
      <c r="D3145" s="319"/>
      <c r="E3145" s="331"/>
      <c r="F3145" s="331"/>
      <c r="G3145" s="308"/>
      <c r="H3145" s="87" t="s">
        <v>69</v>
      </c>
      <c r="I3145" s="223">
        <f>D3143*K3145</f>
        <v>64723.6</v>
      </c>
      <c r="J3145" s="223">
        <f>I3145/D3143</f>
        <v>172</v>
      </c>
      <c r="K3145" s="223">
        <v>172</v>
      </c>
    </row>
    <row r="3146" spans="1:143" s="143" customFormat="1" ht="15.75" customHeight="1" x14ac:dyDescent="0.25">
      <c r="A3146" s="310">
        <f>A3143+1</f>
        <v>2</v>
      </c>
      <c r="B3146" s="310">
        <v>4983</v>
      </c>
      <c r="C3146" s="333" t="s">
        <v>701</v>
      </c>
      <c r="D3146" s="312">
        <v>370.7</v>
      </c>
      <c r="E3146" s="313" t="s">
        <v>167</v>
      </c>
      <c r="F3146" s="313">
        <v>2</v>
      </c>
      <c r="G3146" s="221"/>
      <c r="H3146" s="87" t="s">
        <v>66</v>
      </c>
      <c r="I3146" s="223">
        <f>SUM(I3147:I3148)</f>
        <v>174970.4</v>
      </c>
      <c r="J3146" s="223">
        <f>SUM(J3147:J3148)</f>
        <v>472</v>
      </c>
      <c r="K3146" s="223">
        <f>SUM(K3147:K3148)</f>
        <v>472</v>
      </c>
    </row>
    <row r="3147" spans="1:143" s="143" customFormat="1" ht="64.5" customHeight="1" x14ac:dyDescent="0.25">
      <c r="A3147" s="310"/>
      <c r="B3147" s="310"/>
      <c r="C3147" s="333"/>
      <c r="D3147" s="312"/>
      <c r="E3147" s="313"/>
      <c r="F3147" s="313"/>
      <c r="G3147" s="146" t="s">
        <v>65</v>
      </c>
      <c r="H3147" s="87" t="s">
        <v>509</v>
      </c>
      <c r="I3147" s="223">
        <f>D3146*K3147</f>
        <v>96011.3</v>
      </c>
      <c r="J3147" s="223">
        <f>I3147/D3146</f>
        <v>259</v>
      </c>
      <c r="K3147" s="223">
        <f>163+96</f>
        <v>259</v>
      </c>
    </row>
    <row r="3148" spans="1:143" s="143" customFormat="1" ht="90.75" customHeight="1" x14ac:dyDescent="0.25">
      <c r="A3148" s="310"/>
      <c r="B3148" s="310"/>
      <c r="C3148" s="333"/>
      <c r="D3148" s="312"/>
      <c r="E3148" s="313"/>
      <c r="F3148" s="313"/>
      <c r="G3148" s="146" t="s">
        <v>79</v>
      </c>
      <c r="H3148" s="87" t="s">
        <v>509</v>
      </c>
      <c r="I3148" s="223">
        <f>D3146*K3148</f>
        <v>78959.100000000006</v>
      </c>
      <c r="J3148" s="223">
        <f>I3148/D3146</f>
        <v>213</v>
      </c>
      <c r="K3148" s="223">
        <f>173+40</f>
        <v>213</v>
      </c>
    </row>
    <row r="3149" spans="1:143" s="120" customFormat="1" x14ac:dyDescent="0.25">
      <c r="A3149" s="356" t="s">
        <v>51</v>
      </c>
      <c r="B3149" s="357"/>
      <c r="C3149" s="358"/>
      <c r="D3149" s="154">
        <f>D3150+D3153+D3156+D3159+D3164+D3169</f>
        <v>1725.2</v>
      </c>
      <c r="E3149" s="119"/>
      <c r="F3149" s="119"/>
      <c r="G3149" s="155"/>
      <c r="H3149" s="117"/>
      <c r="I3149" s="226">
        <f>I3150+I3153+I3156+I3159+I3164+I3169</f>
        <v>5501536.3600000003</v>
      </c>
      <c r="J3149" s="226"/>
      <c r="K3149" s="226"/>
    </row>
    <row r="3150" spans="1:143" s="118" customFormat="1" ht="15.75" customHeight="1" x14ac:dyDescent="0.25">
      <c r="A3150" s="340">
        <f>A3145+1</f>
        <v>1</v>
      </c>
      <c r="B3150" s="340">
        <v>7391</v>
      </c>
      <c r="C3150" s="352" t="s">
        <v>706</v>
      </c>
      <c r="D3150" s="322">
        <v>381.4</v>
      </c>
      <c r="E3150" s="324" t="s">
        <v>68</v>
      </c>
      <c r="F3150" s="324">
        <v>4</v>
      </c>
      <c r="G3150" s="125"/>
      <c r="H3150" s="117" t="s">
        <v>66</v>
      </c>
      <c r="I3150" s="226">
        <f>SUM(I3151:I3152)</f>
        <v>67126.399999999994</v>
      </c>
      <c r="J3150" s="226">
        <f>SUM(J3151:J3152)</f>
        <v>176</v>
      </c>
      <c r="K3150" s="226">
        <f>SUM(K3151:K3152)</f>
        <v>176</v>
      </c>
    </row>
    <row r="3151" spans="1:143" s="118" customFormat="1" ht="63" x14ac:dyDescent="0.25">
      <c r="A3151" s="341"/>
      <c r="B3151" s="341"/>
      <c r="C3151" s="353"/>
      <c r="D3151" s="323"/>
      <c r="E3151" s="325"/>
      <c r="F3151" s="325"/>
      <c r="G3151" s="162" t="s">
        <v>70</v>
      </c>
      <c r="H3151" s="117" t="s">
        <v>168</v>
      </c>
      <c r="I3151" s="226">
        <f>D3150*K3151</f>
        <v>52251.8</v>
      </c>
      <c r="J3151" s="226">
        <f>I3151/D3150</f>
        <v>137</v>
      </c>
      <c r="K3151" s="226">
        <f>116+21</f>
        <v>137</v>
      </c>
    </row>
    <row r="3152" spans="1:143" s="118" customFormat="1" ht="63" x14ac:dyDescent="0.25">
      <c r="A3152" s="341"/>
      <c r="B3152" s="341"/>
      <c r="C3152" s="353"/>
      <c r="D3152" s="323"/>
      <c r="E3152" s="325"/>
      <c r="F3152" s="325"/>
      <c r="G3152" s="162" t="s">
        <v>71</v>
      </c>
      <c r="H3152" s="117" t="s">
        <v>168</v>
      </c>
      <c r="I3152" s="226">
        <f>D3150*K3152</f>
        <v>14874.6</v>
      </c>
      <c r="J3152" s="226">
        <f>I3152/D3150</f>
        <v>39</v>
      </c>
      <c r="K3152" s="226">
        <f>30+9</f>
        <v>39</v>
      </c>
    </row>
    <row r="3153" spans="1:11" s="118" customFormat="1" ht="15.75" customHeight="1" x14ac:dyDescent="0.25">
      <c r="A3153" s="320">
        <f>A3150+1</f>
        <v>2</v>
      </c>
      <c r="B3153" s="340">
        <v>7399</v>
      </c>
      <c r="C3153" s="321" t="s">
        <v>703</v>
      </c>
      <c r="D3153" s="327">
        <v>221.12</v>
      </c>
      <c r="E3153" s="328" t="s">
        <v>167</v>
      </c>
      <c r="F3153" s="328">
        <v>2</v>
      </c>
      <c r="G3153" s="125"/>
      <c r="H3153" s="117" t="s">
        <v>66</v>
      </c>
      <c r="I3153" s="226">
        <f>I3154+I3155</f>
        <v>1699970.56</v>
      </c>
      <c r="J3153" s="226">
        <f>J3154+J3155</f>
        <v>7688</v>
      </c>
      <c r="K3153" s="226">
        <f>K3154+K3155</f>
        <v>7688</v>
      </c>
    </row>
    <row r="3154" spans="1:11" s="118" customFormat="1" x14ac:dyDescent="0.25">
      <c r="A3154" s="320">
        <v>1146</v>
      </c>
      <c r="B3154" s="341"/>
      <c r="C3154" s="321"/>
      <c r="D3154" s="327"/>
      <c r="E3154" s="328"/>
      <c r="F3154" s="328"/>
      <c r="G3154" s="340" t="s">
        <v>65</v>
      </c>
      <c r="H3154" s="117" t="s">
        <v>67</v>
      </c>
      <c r="I3154" s="226">
        <f>D3153*K3154</f>
        <v>1664370.24</v>
      </c>
      <c r="J3154" s="226">
        <f>I3154/D3153</f>
        <v>7527</v>
      </c>
      <c r="K3154" s="226">
        <v>7527</v>
      </c>
    </row>
    <row r="3155" spans="1:11" s="118" customFormat="1" x14ac:dyDescent="0.25">
      <c r="A3155" s="320">
        <v>1147</v>
      </c>
      <c r="B3155" s="342"/>
      <c r="C3155" s="321"/>
      <c r="D3155" s="327"/>
      <c r="E3155" s="328"/>
      <c r="F3155" s="328"/>
      <c r="G3155" s="342"/>
      <c r="H3155" s="117" t="s">
        <v>69</v>
      </c>
      <c r="I3155" s="226">
        <f>D3153*K3155</f>
        <v>35600.32</v>
      </c>
      <c r="J3155" s="226">
        <f>I3155/D3153</f>
        <v>161</v>
      </c>
      <c r="K3155" s="226">
        <v>161</v>
      </c>
    </row>
    <row r="3156" spans="1:11" s="118" customFormat="1" ht="15.75" customHeight="1" x14ac:dyDescent="0.25">
      <c r="A3156" s="340">
        <f>A3153+1</f>
        <v>3</v>
      </c>
      <c r="B3156" s="340">
        <v>7400</v>
      </c>
      <c r="C3156" s="352" t="s">
        <v>707</v>
      </c>
      <c r="D3156" s="322">
        <v>214</v>
      </c>
      <c r="E3156" s="324" t="s">
        <v>167</v>
      </c>
      <c r="F3156" s="324">
        <v>2</v>
      </c>
      <c r="G3156" s="155"/>
      <c r="H3156" s="117" t="s">
        <v>66</v>
      </c>
      <c r="I3156" s="226">
        <f>I3157+I3158</f>
        <v>54142</v>
      </c>
      <c r="J3156" s="226">
        <f>J3157+J3158</f>
        <v>253</v>
      </c>
      <c r="K3156" s="226">
        <f>K3157+K3158</f>
        <v>253</v>
      </c>
    </row>
    <row r="3157" spans="1:11" s="118" customFormat="1" ht="63" customHeight="1" x14ac:dyDescent="0.25">
      <c r="A3157" s="341"/>
      <c r="B3157" s="341"/>
      <c r="C3157" s="353"/>
      <c r="D3157" s="323"/>
      <c r="E3157" s="325"/>
      <c r="F3157" s="325"/>
      <c r="G3157" s="166" t="s">
        <v>70</v>
      </c>
      <c r="H3157" s="117" t="s">
        <v>231</v>
      </c>
      <c r="I3157" s="226">
        <f>D3156*K3157</f>
        <v>45796</v>
      </c>
      <c r="J3157" s="226">
        <f>I3157/D3156</f>
        <v>214</v>
      </c>
      <c r="K3157" s="226">
        <f>116+98</f>
        <v>214</v>
      </c>
    </row>
    <row r="3158" spans="1:11" s="118" customFormat="1" ht="67.5" customHeight="1" x14ac:dyDescent="0.25">
      <c r="A3158" s="341"/>
      <c r="B3158" s="341"/>
      <c r="C3158" s="353"/>
      <c r="D3158" s="323"/>
      <c r="E3158" s="325"/>
      <c r="F3158" s="325"/>
      <c r="G3158" s="166" t="s">
        <v>71</v>
      </c>
      <c r="H3158" s="117" t="s">
        <v>231</v>
      </c>
      <c r="I3158" s="226">
        <f>D3156*K3158</f>
        <v>8346</v>
      </c>
      <c r="J3158" s="226">
        <f>I3158/D3156</f>
        <v>39</v>
      </c>
      <c r="K3158" s="226">
        <f>30+9</f>
        <v>39</v>
      </c>
    </row>
    <row r="3159" spans="1:11" s="118" customFormat="1" ht="15.75" customHeight="1" x14ac:dyDescent="0.25">
      <c r="A3159" s="340">
        <f>A3156+1</f>
        <v>4</v>
      </c>
      <c r="B3159" s="340">
        <v>7376</v>
      </c>
      <c r="C3159" s="352" t="s">
        <v>704</v>
      </c>
      <c r="D3159" s="322">
        <v>329.8</v>
      </c>
      <c r="E3159" s="324" t="s">
        <v>167</v>
      </c>
      <c r="F3159" s="324">
        <v>2</v>
      </c>
      <c r="G3159" s="125"/>
      <c r="H3159" s="117" t="s">
        <v>66</v>
      </c>
      <c r="I3159" s="226">
        <f>I3160+I3161+I3162+I3163</f>
        <v>1153310.6000000001</v>
      </c>
      <c r="J3159" s="226">
        <f>J3160+J3161+J3162+J3163</f>
        <v>3497</v>
      </c>
      <c r="K3159" s="226">
        <f>K3160+K3161+K3162+K3163</f>
        <v>3497</v>
      </c>
    </row>
    <row r="3160" spans="1:11" s="118" customFormat="1" ht="15.6" customHeight="1" x14ac:dyDescent="0.25">
      <c r="A3160" s="341"/>
      <c r="B3160" s="341"/>
      <c r="C3160" s="353"/>
      <c r="D3160" s="323"/>
      <c r="E3160" s="325"/>
      <c r="F3160" s="325"/>
      <c r="G3160" s="340" t="s">
        <v>70</v>
      </c>
      <c r="H3160" s="117" t="s">
        <v>67</v>
      </c>
      <c r="I3160" s="226">
        <f>D3159*K3160</f>
        <v>960047.8</v>
      </c>
      <c r="J3160" s="226">
        <f>I3160/D3159</f>
        <v>2911</v>
      </c>
      <c r="K3160" s="226">
        <v>2911</v>
      </c>
    </row>
    <row r="3161" spans="1:11" s="118" customFormat="1" x14ac:dyDescent="0.25">
      <c r="A3161" s="341"/>
      <c r="B3161" s="341"/>
      <c r="C3161" s="353"/>
      <c r="D3161" s="323"/>
      <c r="E3161" s="325"/>
      <c r="F3161" s="325"/>
      <c r="G3161" s="341"/>
      <c r="H3161" s="117" t="s">
        <v>69</v>
      </c>
      <c r="I3161" s="226">
        <f>D3159*K3161</f>
        <v>20447.599999999999</v>
      </c>
      <c r="J3161" s="226">
        <f>I3161/D3159</f>
        <v>62</v>
      </c>
      <c r="K3161" s="226">
        <v>62</v>
      </c>
    </row>
    <row r="3162" spans="1:11" s="118" customFormat="1" ht="15.6" customHeight="1" x14ac:dyDescent="0.25">
      <c r="A3162" s="341"/>
      <c r="B3162" s="341"/>
      <c r="C3162" s="353"/>
      <c r="D3162" s="323"/>
      <c r="E3162" s="325"/>
      <c r="F3162" s="325"/>
      <c r="G3162" s="340" t="s">
        <v>71</v>
      </c>
      <c r="H3162" s="117" t="s">
        <v>67</v>
      </c>
      <c r="I3162" s="226">
        <f>D3159*K3162</f>
        <v>169187.4</v>
      </c>
      <c r="J3162" s="226">
        <f>I3162/D3159</f>
        <v>513</v>
      </c>
      <c r="K3162" s="226">
        <v>513</v>
      </c>
    </row>
    <row r="3163" spans="1:11" s="118" customFormat="1" x14ac:dyDescent="0.25">
      <c r="A3163" s="342"/>
      <c r="B3163" s="342"/>
      <c r="C3163" s="354"/>
      <c r="D3163" s="339"/>
      <c r="E3163" s="355"/>
      <c r="F3163" s="355"/>
      <c r="G3163" s="341"/>
      <c r="H3163" s="117" t="s">
        <v>69</v>
      </c>
      <c r="I3163" s="226">
        <f>D3159*K3163</f>
        <v>3627.8</v>
      </c>
      <c r="J3163" s="226">
        <f>I3163/D3159</f>
        <v>11</v>
      </c>
      <c r="K3163" s="226">
        <v>11</v>
      </c>
    </row>
    <row r="3164" spans="1:11" s="118" customFormat="1" ht="15.75" customHeight="1" x14ac:dyDescent="0.25">
      <c r="A3164" s="340">
        <f>A3159+1</f>
        <v>5</v>
      </c>
      <c r="B3164" s="340">
        <v>7377</v>
      </c>
      <c r="C3164" s="352" t="s">
        <v>705</v>
      </c>
      <c r="D3164" s="322">
        <v>329.8</v>
      </c>
      <c r="E3164" s="324" t="s">
        <v>167</v>
      </c>
      <c r="F3164" s="324">
        <v>2</v>
      </c>
      <c r="G3164" s="125"/>
      <c r="H3164" s="117" t="s">
        <v>66</v>
      </c>
      <c r="I3164" s="226">
        <f>I3165+I3166+I3167+I3168</f>
        <v>1153310.6000000001</v>
      </c>
      <c r="J3164" s="226">
        <f>J3165+J3166+J3167+J3168</f>
        <v>3497</v>
      </c>
      <c r="K3164" s="226">
        <f>K3165+K3166+K3167+K3168</f>
        <v>3497</v>
      </c>
    </row>
    <row r="3165" spans="1:11" s="118" customFormat="1" ht="15.6" customHeight="1" x14ac:dyDescent="0.25">
      <c r="A3165" s="341"/>
      <c r="B3165" s="341"/>
      <c r="C3165" s="353"/>
      <c r="D3165" s="323"/>
      <c r="E3165" s="325"/>
      <c r="F3165" s="325"/>
      <c r="G3165" s="340" t="s">
        <v>70</v>
      </c>
      <c r="H3165" s="117" t="s">
        <v>67</v>
      </c>
      <c r="I3165" s="226">
        <f>D3164*K3165</f>
        <v>960047.8</v>
      </c>
      <c r="J3165" s="226">
        <f>I3165/D3164</f>
        <v>2911</v>
      </c>
      <c r="K3165" s="226">
        <v>2911</v>
      </c>
    </row>
    <row r="3166" spans="1:11" s="118" customFormat="1" x14ac:dyDescent="0.25">
      <c r="A3166" s="341"/>
      <c r="B3166" s="341"/>
      <c r="C3166" s="353"/>
      <c r="D3166" s="323"/>
      <c r="E3166" s="325"/>
      <c r="F3166" s="325"/>
      <c r="G3166" s="341"/>
      <c r="H3166" s="117" t="s">
        <v>69</v>
      </c>
      <c r="I3166" s="226">
        <f>D3164*K3166</f>
        <v>20447.599999999999</v>
      </c>
      <c r="J3166" s="226">
        <f>I3166/D3164</f>
        <v>62</v>
      </c>
      <c r="K3166" s="226">
        <v>62</v>
      </c>
    </row>
    <row r="3167" spans="1:11" s="118" customFormat="1" ht="15.6" customHeight="1" x14ac:dyDescent="0.25">
      <c r="A3167" s="341"/>
      <c r="B3167" s="341"/>
      <c r="C3167" s="353"/>
      <c r="D3167" s="323"/>
      <c r="E3167" s="325"/>
      <c r="F3167" s="325"/>
      <c r="G3167" s="340" t="s">
        <v>71</v>
      </c>
      <c r="H3167" s="117" t="s">
        <v>67</v>
      </c>
      <c r="I3167" s="226">
        <f>D3164*K3167</f>
        <v>169187.4</v>
      </c>
      <c r="J3167" s="226">
        <f>I3167/D3164</f>
        <v>513</v>
      </c>
      <c r="K3167" s="226">
        <v>513</v>
      </c>
    </row>
    <row r="3168" spans="1:11" s="118" customFormat="1" x14ac:dyDescent="0.25">
      <c r="A3168" s="342"/>
      <c r="B3168" s="342"/>
      <c r="C3168" s="354"/>
      <c r="D3168" s="339"/>
      <c r="E3168" s="355"/>
      <c r="F3168" s="355"/>
      <c r="G3168" s="341"/>
      <c r="H3168" s="117" t="s">
        <v>69</v>
      </c>
      <c r="I3168" s="226">
        <f>D3164*K3168</f>
        <v>3627.8</v>
      </c>
      <c r="J3168" s="226">
        <f>I3168/D3164</f>
        <v>11</v>
      </c>
      <c r="K3168" s="226">
        <v>11</v>
      </c>
    </row>
    <row r="3169" spans="1:11" s="118" customFormat="1" ht="15.75" customHeight="1" x14ac:dyDescent="0.25">
      <c r="A3169" s="340">
        <f>A3164+1</f>
        <v>6</v>
      </c>
      <c r="B3169" s="340">
        <v>7384</v>
      </c>
      <c r="C3169" s="352" t="s">
        <v>572</v>
      </c>
      <c r="D3169" s="322">
        <v>249.08</v>
      </c>
      <c r="E3169" s="324" t="s">
        <v>68</v>
      </c>
      <c r="F3169" s="324">
        <v>2</v>
      </c>
      <c r="G3169" s="125"/>
      <c r="H3169" s="117" t="s">
        <v>66</v>
      </c>
      <c r="I3169" s="226">
        <f>I3170+I3171+I3172+I3173</f>
        <v>1373676.2</v>
      </c>
      <c r="J3169" s="226">
        <f>J3170+J3171+J3172+J3173</f>
        <v>5515</v>
      </c>
      <c r="K3169" s="226">
        <f>K3170+K3171+K3172+K3173</f>
        <v>5515</v>
      </c>
    </row>
    <row r="3170" spans="1:11" s="118" customFormat="1" ht="15.6" customHeight="1" x14ac:dyDescent="0.25">
      <c r="A3170" s="341"/>
      <c r="B3170" s="341"/>
      <c r="C3170" s="353"/>
      <c r="D3170" s="323"/>
      <c r="E3170" s="325"/>
      <c r="F3170" s="325"/>
      <c r="G3170" s="340" t="s">
        <v>75</v>
      </c>
      <c r="H3170" s="117" t="s">
        <v>67</v>
      </c>
      <c r="I3170" s="226">
        <f>D3169*K3170</f>
        <v>281211.32</v>
      </c>
      <c r="J3170" s="226">
        <f>I3170/D3169</f>
        <v>1129</v>
      </c>
      <c r="K3170" s="226">
        <v>1129</v>
      </c>
    </row>
    <row r="3171" spans="1:11" s="118" customFormat="1" x14ac:dyDescent="0.25">
      <c r="A3171" s="341"/>
      <c r="B3171" s="341"/>
      <c r="C3171" s="353"/>
      <c r="D3171" s="323"/>
      <c r="E3171" s="325"/>
      <c r="F3171" s="325"/>
      <c r="G3171" s="341"/>
      <c r="H3171" s="117" t="s">
        <v>69</v>
      </c>
      <c r="I3171" s="226">
        <f>D3169*K3171</f>
        <v>5977.92</v>
      </c>
      <c r="J3171" s="226">
        <f>I3171/D3169</f>
        <v>24</v>
      </c>
      <c r="K3171" s="226">
        <v>24</v>
      </c>
    </row>
    <row r="3172" spans="1:11" s="118" customFormat="1" ht="15.6" customHeight="1" x14ac:dyDescent="0.25">
      <c r="A3172" s="341"/>
      <c r="B3172" s="341"/>
      <c r="C3172" s="353"/>
      <c r="D3172" s="323"/>
      <c r="E3172" s="325"/>
      <c r="F3172" s="325"/>
      <c r="G3172" s="341"/>
      <c r="H3172" s="117" t="s">
        <v>179</v>
      </c>
      <c r="I3172" s="266">
        <f>D3169*K3172</f>
        <v>1063820.68</v>
      </c>
      <c r="J3172" s="226">
        <f>I3172/D3169</f>
        <v>4271</v>
      </c>
      <c r="K3172" s="226">
        <v>4271</v>
      </c>
    </row>
    <row r="3173" spans="1:11" s="118" customFormat="1" x14ac:dyDescent="0.25">
      <c r="A3173" s="342"/>
      <c r="B3173" s="342"/>
      <c r="C3173" s="354"/>
      <c r="D3173" s="339"/>
      <c r="E3173" s="355"/>
      <c r="F3173" s="355"/>
      <c r="G3173" s="342"/>
      <c r="H3173" s="117" t="s">
        <v>69</v>
      </c>
      <c r="I3173" s="226">
        <f>D3169*K3173</f>
        <v>22666.28</v>
      </c>
      <c r="J3173" s="226">
        <f>I3173/D3169</f>
        <v>91</v>
      </c>
      <c r="K3173" s="226">
        <v>91</v>
      </c>
    </row>
    <row r="3174" spans="1:11" x14ac:dyDescent="0.25">
      <c r="A3174" s="86" t="s">
        <v>722</v>
      </c>
      <c r="B3174" s="214"/>
      <c r="C3174" s="157"/>
      <c r="D3174" s="151">
        <f>D3175</f>
        <v>377.9</v>
      </c>
      <c r="E3174" s="160"/>
      <c r="F3174" s="160"/>
      <c r="G3174" s="151"/>
      <c r="H3174" s="85"/>
      <c r="I3174" s="223">
        <f>I3175</f>
        <v>52906</v>
      </c>
      <c r="J3174" s="223"/>
      <c r="K3174" s="223"/>
    </row>
    <row r="3175" spans="1:11" x14ac:dyDescent="0.25">
      <c r="A3175" s="326">
        <v>1</v>
      </c>
      <c r="B3175" s="320">
        <v>4988</v>
      </c>
      <c r="C3175" s="321" t="s">
        <v>723</v>
      </c>
      <c r="D3175" s="327">
        <v>377.9</v>
      </c>
      <c r="E3175" s="328" t="s">
        <v>68</v>
      </c>
      <c r="F3175" s="328">
        <v>2</v>
      </c>
      <c r="G3175" s="320" t="s">
        <v>70</v>
      </c>
      <c r="H3175" s="117" t="s">
        <v>66</v>
      </c>
      <c r="I3175" s="226">
        <f>I3176</f>
        <v>52906</v>
      </c>
      <c r="J3175" s="226">
        <f>J3176</f>
        <v>140</v>
      </c>
      <c r="K3175" s="226">
        <f>K3176</f>
        <v>140</v>
      </c>
    </row>
    <row r="3176" spans="1:11" ht="63" x14ac:dyDescent="0.25">
      <c r="A3176" s="326"/>
      <c r="B3176" s="320"/>
      <c r="C3176" s="321"/>
      <c r="D3176" s="327"/>
      <c r="E3176" s="328"/>
      <c r="F3176" s="328"/>
      <c r="G3176" s="320"/>
      <c r="H3176" s="117" t="s">
        <v>231</v>
      </c>
      <c r="I3176" s="226">
        <f>D3175*K3176</f>
        <v>52906</v>
      </c>
      <c r="J3176" s="226">
        <f>I3176/D3175</f>
        <v>140</v>
      </c>
      <c r="K3176" s="226">
        <f>119+21</f>
        <v>140</v>
      </c>
    </row>
    <row r="3177" spans="1:11" x14ac:dyDescent="0.25">
      <c r="A3177" s="81" t="s">
        <v>43</v>
      </c>
      <c r="B3177" s="81"/>
      <c r="C3177" s="124"/>
      <c r="D3177" s="80">
        <f>D3178+D3181+D3184+D3187+D3194+D3201+D3208+D3215+D3222+D3225+D3227+D3229+D3233+D3237+D3244+D3248+D3253+D3258+D3261</f>
        <v>17323.79</v>
      </c>
      <c r="E3177" s="80"/>
      <c r="F3177" s="95"/>
      <c r="G3177" s="151"/>
      <c r="H3177" s="92"/>
      <c r="I3177" s="223">
        <f>I3178+I3181+I3184+I3187+I3194+I3201+I3208+I3215+I3222+I3225+I3227+I3229+I3233+I3237+I3244+I3248+I3253+I3258+I3261</f>
        <v>29229899.48</v>
      </c>
      <c r="J3177" s="223"/>
      <c r="K3177" s="223"/>
    </row>
    <row r="3178" spans="1:11" x14ac:dyDescent="0.25">
      <c r="A3178" s="447">
        <v>1</v>
      </c>
      <c r="B3178" s="326">
        <v>6855</v>
      </c>
      <c r="C3178" s="278" t="s">
        <v>304</v>
      </c>
      <c r="D3178" s="326">
        <v>396.5</v>
      </c>
      <c r="E3178" s="326" t="s">
        <v>68</v>
      </c>
      <c r="F3178" s="392">
        <v>2</v>
      </c>
      <c r="G3178" s="307" t="s">
        <v>71</v>
      </c>
      <c r="H3178" s="87" t="s">
        <v>66</v>
      </c>
      <c r="I3178" s="223">
        <f>I3179+I3180</f>
        <v>207766</v>
      </c>
      <c r="J3178" s="223">
        <f>J3179+J3180</f>
        <v>524</v>
      </c>
      <c r="K3178" s="223">
        <f>K3179+K3180</f>
        <v>524</v>
      </c>
    </row>
    <row r="3179" spans="1:11" x14ac:dyDescent="0.25">
      <c r="A3179" s="326"/>
      <c r="B3179" s="326"/>
      <c r="C3179" s="278"/>
      <c r="D3179" s="326"/>
      <c r="E3179" s="326"/>
      <c r="F3179" s="407"/>
      <c r="G3179" s="308"/>
      <c r="H3179" s="96" t="s">
        <v>67</v>
      </c>
      <c r="I3179" s="223">
        <f>K3179*D3178</f>
        <v>203404.5</v>
      </c>
      <c r="J3179" s="223">
        <f>I3179/D3178</f>
        <v>513</v>
      </c>
      <c r="K3179" s="223">
        <v>513</v>
      </c>
    </row>
    <row r="3180" spans="1:11" x14ac:dyDescent="0.25">
      <c r="A3180" s="326"/>
      <c r="B3180" s="326"/>
      <c r="C3180" s="278"/>
      <c r="D3180" s="326"/>
      <c r="E3180" s="326"/>
      <c r="F3180" s="393"/>
      <c r="G3180" s="309"/>
      <c r="H3180" s="96" t="s">
        <v>69</v>
      </c>
      <c r="I3180" s="223">
        <f>D3178*K3180</f>
        <v>4361.5</v>
      </c>
      <c r="J3180" s="223">
        <f>I3180/D3178</f>
        <v>11</v>
      </c>
      <c r="K3180" s="223">
        <v>11</v>
      </c>
    </row>
    <row r="3181" spans="1:11" x14ac:dyDescent="0.25">
      <c r="A3181" s="346">
        <f>A3178+1</f>
        <v>2</v>
      </c>
      <c r="B3181" s="346">
        <v>7023</v>
      </c>
      <c r="C3181" s="435" t="s">
        <v>305</v>
      </c>
      <c r="D3181" s="312">
        <v>1276.9000000000001</v>
      </c>
      <c r="E3181" s="312" t="s">
        <v>68</v>
      </c>
      <c r="F3181" s="313">
        <v>4</v>
      </c>
      <c r="G3181" s="121"/>
      <c r="H3181" s="87" t="s">
        <v>66</v>
      </c>
      <c r="I3181" s="223">
        <f>SUM(I3182:I3183)</f>
        <v>462237.8</v>
      </c>
      <c r="J3181" s="223">
        <f>SUM(J3182:J3183)</f>
        <v>362</v>
      </c>
      <c r="K3181" s="223">
        <f>SUM(K3182:K3183)</f>
        <v>362</v>
      </c>
    </row>
    <row r="3182" spans="1:11" x14ac:dyDescent="0.25">
      <c r="A3182" s="346"/>
      <c r="B3182" s="346"/>
      <c r="C3182" s="435"/>
      <c r="D3182" s="312"/>
      <c r="E3182" s="312"/>
      <c r="F3182" s="313"/>
      <c r="G3182" s="307" t="s">
        <v>74</v>
      </c>
      <c r="H3182" s="87" t="s">
        <v>67</v>
      </c>
      <c r="I3182" s="223">
        <f>D3181*K3182</f>
        <v>452022.6</v>
      </c>
      <c r="J3182" s="223">
        <f>I3182/D3181</f>
        <v>354</v>
      </c>
      <c r="K3182" s="223">
        <v>354</v>
      </c>
    </row>
    <row r="3183" spans="1:11" x14ac:dyDescent="0.25">
      <c r="A3183" s="346"/>
      <c r="B3183" s="346"/>
      <c r="C3183" s="435"/>
      <c r="D3183" s="312"/>
      <c r="E3183" s="312"/>
      <c r="F3183" s="313"/>
      <c r="G3183" s="309"/>
      <c r="H3183" s="87" t="s">
        <v>69</v>
      </c>
      <c r="I3183" s="223">
        <f>D3181*K3183</f>
        <v>10215.200000000001</v>
      </c>
      <c r="J3183" s="223">
        <f>I3183/D3181</f>
        <v>8</v>
      </c>
      <c r="K3183" s="223">
        <v>8</v>
      </c>
    </row>
    <row r="3184" spans="1:11" x14ac:dyDescent="0.25">
      <c r="A3184" s="346">
        <f>A3181+1</f>
        <v>3</v>
      </c>
      <c r="B3184" s="346">
        <v>7024</v>
      </c>
      <c r="C3184" s="435" t="s">
        <v>306</v>
      </c>
      <c r="D3184" s="312">
        <v>1249.5999999999999</v>
      </c>
      <c r="E3184" s="312" t="s">
        <v>68</v>
      </c>
      <c r="F3184" s="313">
        <v>4</v>
      </c>
      <c r="G3184" s="121"/>
      <c r="H3184" s="87" t="s">
        <v>66</v>
      </c>
      <c r="I3184" s="223">
        <f>SUM(I3185:I3186)</f>
        <v>452355.2</v>
      </c>
      <c r="J3184" s="223">
        <f>SUM(J3185:J3186)</f>
        <v>362</v>
      </c>
      <c r="K3184" s="223">
        <f>SUM(K3185:K3186)</f>
        <v>362</v>
      </c>
    </row>
    <row r="3185" spans="1:11" x14ac:dyDescent="0.25">
      <c r="A3185" s="346"/>
      <c r="B3185" s="346"/>
      <c r="C3185" s="435"/>
      <c r="D3185" s="312"/>
      <c r="E3185" s="312"/>
      <c r="F3185" s="313"/>
      <c r="G3185" s="307" t="s">
        <v>74</v>
      </c>
      <c r="H3185" s="87" t="s">
        <v>67</v>
      </c>
      <c r="I3185" s="223">
        <f>D3184*K3185</f>
        <v>442358.4</v>
      </c>
      <c r="J3185" s="223">
        <f>I3185/D3184</f>
        <v>354</v>
      </c>
      <c r="K3185" s="223">
        <v>354</v>
      </c>
    </row>
    <row r="3186" spans="1:11" x14ac:dyDescent="0.25">
      <c r="A3186" s="346"/>
      <c r="B3186" s="346"/>
      <c r="C3186" s="435"/>
      <c r="D3186" s="312"/>
      <c r="E3186" s="312"/>
      <c r="F3186" s="313"/>
      <c r="G3186" s="309"/>
      <c r="H3186" s="87" t="s">
        <v>69</v>
      </c>
      <c r="I3186" s="223">
        <f>D3184*K3186</f>
        <v>9996.7999999999993</v>
      </c>
      <c r="J3186" s="223">
        <f>I3186/D3184</f>
        <v>8</v>
      </c>
      <c r="K3186" s="223">
        <v>8</v>
      </c>
    </row>
    <row r="3187" spans="1:11" x14ac:dyDescent="0.25">
      <c r="A3187" s="346">
        <f>A3184+1</f>
        <v>4</v>
      </c>
      <c r="B3187" s="346">
        <v>6974</v>
      </c>
      <c r="C3187" s="348" t="s">
        <v>544</v>
      </c>
      <c r="D3187" s="312">
        <v>629.72</v>
      </c>
      <c r="E3187" s="312" t="s">
        <v>167</v>
      </c>
      <c r="F3187" s="330">
        <v>2</v>
      </c>
      <c r="G3187" s="161"/>
      <c r="H3187" s="87" t="s">
        <v>66</v>
      </c>
      <c r="I3187" s="223">
        <f>SUM(I3188:I3193)</f>
        <v>2700869.08</v>
      </c>
      <c r="J3187" s="223">
        <f>SUM(J3188:J3193)</f>
        <v>4289</v>
      </c>
      <c r="K3187" s="223">
        <f>SUM(K3188:K3193)</f>
        <v>4289</v>
      </c>
    </row>
    <row r="3188" spans="1:11" x14ac:dyDescent="0.25">
      <c r="A3188" s="347"/>
      <c r="B3188" s="347"/>
      <c r="C3188" s="349"/>
      <c r="D3188" s="312"/>
      <c r="E3188" s="329"/>
      <c r="F3188" s="331"/>
      <c r="G3188" s="310" t="s">
        <v>70</v>
      </c>
      <c r="H3188" s="96" t="s">
        <v>67</v>
      </c>
      <c r="I3188" s="223">
        <f>D3187*K3188</f>
        <v>1833114.92</v>
      </c>
      <c r="J3188" s="223">
        <f>I3188/D3187</f>
        <v>2911</v>
      </c>
      <c r="K3188" s="223">
        <v>2911</v>
      </c>
    </row>
    <row r="3189" spans="1:11" x14ac:dyDescent="0.25">
      <c r="A3189" s="347"/>
      <c r="B3189" s="347"/>
      <c r="C3189" s="349"/>
      <c r="D3189" s="312"/>
      <c r="E3189" s="329"/>
      <c r="F3189" s="331"/>
      <c r="G3189" s="310"/>
      <c r="H3189" s="96" t="s">
        <v>69</v>
      </c>
      <c r="I3189" s="223">
        <f>D3187*K3189</f>
        <v>39042.639999999999</v>
      </c>
      <c r="J3189" s="223">
        <f>I3189/D3187</f>
        <v>62</v>
      </c>
      <c r="K3189" s="223">
        <v>62</v>
      </c>
    </row>
    <row r="3190" spans="1:11" x14ac:dyDescent="0.25">
      <c r="A3190" s="347"/>
      <c r="B3190" s="347"/>
      <c r="C3190" s="349"/>
      <c r="D3190" s="312"/>
      <c r="E3190" s="329"/>
      <c r="F3190" s="331"/>
      <c r="G3190" s="308" t="s">
        <v>71</v>
      </c>
      <c r="H3190" s="96" t="s">
        <v>67</v>
      </c>
      <c r="I3190" s="223">
        <f>D3187*K3190</f>
        <v>469771.12</v>
      </c>
      <c r="J3190" s="223">
        <f>I3190/D3187</f>
        <v>746</v>
      </c>
      <c r="K3190" s="223">
        <v>746</v>
      </c>
    </row>
    <row r="3191" spans="1:11" x14ac:dyDescent="0.25">
      <c r="A3191" s="347"/>
      <c r="B3191" s="347"/>
      <c r="C3191" s="349"/>
      <c r="D3191" s="312"/>
      <c r="E3191" s="329"/>
      <c r="F3191" s="331"/>
      <c r="G3191" s="309"/>
      <c r="H3191" s="96" t="s">
        <v>69</v>
      </c>
      <c r="I3191" s="223">
        <f>D3187*K3191</f>
        <v>10075.52</v>
      </c>
      <c r="J3191" s="223">
        <f>I3191/D3187</f>
        <v>16</v>
      </c>
      <c r="K3191" s="223">
        <v>16</v>
      </c>
    </row>
    <row r="3192" spans="1:11" x14ac:dyDescent="0.25">
      <c r="A3192" s="347"/>
      <c r="B3192" s="347"/>
      <c r="C3192" s="349"/>
      <c r="D3192" s="312"/>
      <c r="E3192" s="329"/>
      <c r="F3192" s="331"/>
      <c r="G3192" s="308" t="s">
        <v>72</v>
      </c>
      <c r="H3192" s="96" t="s">
        <v>67</v>
      </c>
      <c r="I3192" s="223">
        <f>D3187*K3192</f>
        <v>341308.24</v>
      </c>
      <c r="J3192" s="223">
        <f>I3192/D3187</f>
        <v>542</v>
      </c>
      <c r="K3192" s="223">
        <v>542</v>
      </c>
    </row>
    <row r="3193" spans="1:11" x14ac:dyDescent="0.25">
      <c r="A3193" s="347"/>
      <c r="B3193" s="347"/>
      <c r="C3193" s="350"/>
      <c r="D3193" s="312"/>
      <c r="E3193" s="329"/>
      <c r="F3193" s="332"/>
      <c r="G3193" s="309"/>
      <c r="H3193" s="96" t="s">
        <v>69</v>
      </c>
      <c r="I3193" s="223">
        <f>D3187*K3193</f>
        <v>7556.64</v>
      </c>
      <c r="J3193" s="223">
        <f>I3193/D3187</f>
        <v>12</v>
      </c>
      <c r="K3193" s="223">
        <v>12</v>
      </c>
    </row>
    <row r="3194" spans="1:11" x14ac:dyDescent="0.25">
      <c r="A3194" s="346">
        <f>A3187+1</f>
        <v>5</v>
      </c>
      <c r="B3194" s="346">
        <v>6975</v>
      </c>
      <c r="C3194" s="348" t="s">
        <v>545</v>
      </c>
      <c r="D3194" s="312">
        <v>629.1</v>
      </c>
      <c r="E3194" s="312" t="s">
        <v>167</v>
      </c>
      <c r="F3194" s="330">
        <v>2</v>
      </c>
      <c r="G3194" s="161"/>
      <c r="H3194" s="87" t="s">
        <v>66</v>
      </c>
      <c r="I3194" s="223">
        <f>SUM(I3195:I3200)</f>
        <v>2698209.9</v>
      </c>
      <c r="J3194" s="223">
        <f>SUM(J3195:J3200)</f>
        <v>4289</v>
      </c>
      <c r="K3194" s="223">
        <f>SUM(K3195:K3200)</f>
        <v>4289</v>
      </c>
    </row>
    <row r="3195" spans="1:11" x14ac:dyDescent="0.25">
      <c r="A3195" s="347"/>
      <c r="B3195" s="347"/>
      <c r="C3195" s="349"/>
      <c r="D3195" s="312"/>
      <c r="E3195" s="329"/>
      <c r="F3195" s="331"/>
      <c r="G3195" s="310" t="s">
        <v>70</v>
      </c>
      <c r="H3195" s="96" t="s">
        <v>67</v>
      </c>
      <c r="I3195" s="223">
        <f>D3194*K3195</f>
        <v>1831310.1</v>
      </c>
      <c r="J3195" s="223">
        <f>I3195/D3194</f>
        <v>2911</v>
      </c>
      <c r="K3195" s="223">
        <v>2911</v>
      </c>
    </row>
    <row r="3196" spans="1:11" x14ac:dyDescent="0.25">
      <c r="A3196" s="347"/>
      <c r="B3196" s="347"/>
      <c r="C3196" s="349"/>
      <c r="D3196" s="312"/>
      <c r="E3196" s="329"/>
      <c r="F3196" s="331"/>
      <c r="G3196" s="310"/>
      <c r="H3196" s="96" t="s">
        <v>69</v>
      </c>
      <c r="I3196" s="223">
        <f>D3194*K3196</f>
        <v>39004.199999999997</v>
      </c>
      <c r="J3196" s="223">
        <f>I3196/D3194</f>
        <v>62</v>
      </c>
      <c r="K3196" s="223">
        <v>62</v>
      </c>
    </row>
    <row r="3197" spans="1:11" x14ac:dyDescent="0.25">
      <c r="A3197" s="347"/>
      <c r="B3197" s="347"/>
      <c r="C3197" s="349"/>
      <c r="D3197" s="312"/>
      <c r="E3197" s="329"/>
      <c r="F3197" s="331"/>
      <c r="G3197" s="308" t="s">
        <v>71</v>
      </c>
      <c r="H3197" s="96" t="s">
        <v>67</v>
      </c>
      <c r="I3197" s="223">
        <f>D3194*K3197</f>
        <v>469308.6</v>
      </c>
      <c r="J3197" s="223">
        <f>I3197/D3194</f>
        <v>746</v>
      </c>
      <c r="K3197" s="223">
        <v>746</v>
      </c>
    </row>
    <row r="3198" spans="1:11" x14ac:dyDescent="0.25">
      <c r="A3198" s="347"/>
      <c r="B3198" s="347"/>
      <c r="C3198" s="349"/>
      <c r="D3198" s="312"/>
      <c r="E3198" s="329"/>
      <c r="F3198" s="331"/>
      <c r="G3198" s="309"/>
      <c r="H3198" s="96" t="s">
        <v>69</v>
      </c>
      <c r="I3198" s="223">
        <f>D3194*K3198</f>
        <v>10065.6</v>
      </c>
      <c r="J3198" s="223">
        <f>I3198/D3194</f>
        <v>16</v>
      </c>
      <c r="K3198" s="223">
        <v>16</v>
      </c>
    </row>
    <row r="3199" spans="1:11" x14ac:dyDescent="0.25">
      <c r="A3199" s="347"/>
      <c r="B3199" s="347"/>
      <c r="C3199" s="349"/>
      <c r="D3199" s="312"/>
      <c r="E3199" s="329"/>
      <c r="F3199" s="331"/>
      <c r="G3199" s="308" t="s">
        <v>72</v>
      </c>
      <c r="H3199" s="96" t="s">
        <v>67</v>
      </c>
      <c r="I3199" s="223">
        <f>D3194*K3199</f>
        <v>340972.2</v>
      </c>
      <c r="J3199" s="223">
        <f>I3199/D3194</f>
        <v>542</v>
      </c>
      <c r="K3199" s="223">
        <v>542</v>
      </c>
    </row>
    <row r="3200" spans="1:11" x14ac:dyDescent="0.25">
      <c r="A3200" s="347"/>
      <c r="B3200" s="347"/>
      <c r="C3200" s="350"/>
      <c r="D3200" s="312"/>
      <c r="E3200" s="329"/>
      <c r="F3200" s="332"/>
      <c r="G3200" s="309"/>
      <c r="H3200" s="96" t="s">
        <v>69</v>
      </c>
      <c r="I3200" s="223">
        <f>D3194*K3200</f>
        <v>7549.2</v>
      </c>
      <c r="J3200" s="223">
        <f>I3200/D3194</f>
        <v>12</v>
      </c>
      <c r="K3200" s="223">
        <v>12</v>
      </c>
    </row>
    <row r="3201" spans="1:11" x14ac:dyDescent="0.25">
      <c r="A3201" s="346">
        <f>A3194+1</f>
        <v>6</v>
      </c>
      <c r="B3201" s="346">
        <v>6982</v>
      </c>
      <c r="C3201" s="348" t="s">
        <v>314</v>
      </c>
      <c r="D3201" s="312">
        <v>652.70000000000005</v>
      </c>
      <c r="E3201" s="312" t="s">
        <v>68</v>
      </c>
      <c r="F3201" s="330">
        <v>2</v>
      </c>
      <c r="G3201" s="161"/>
      <c r="H3201" s="87" t="s">
        <v>66</v>
      </c>
      <c r="I3201" s="223">
        <f>SUM(I3202:I3207)</f>
        <v>2644087.7000000002</v>
      </c>
      <c r="J3201" s="223">
        <f>SUM(J3202:J3207)</f>
        <v>4051</v>
      </c>
      <c r="K3201" s="223">
        <f>SUM(K3202:K3207)</f>
        <v>4051</v>
      </c>
    </row>
    <row r="3202" spans="1:11" x14ac:dyDescent="0.25">
      <c r="A3202" s="347"/>
      <c r="B3202" s="347"/>
      <c r="C3202" s="349"/>
      <c r="D3202" s="312"/>
      <c r="E3202" s="329"/>
      <c r="F3202" s="331"/>
      <c r="G3202" s="310" t="s">
        <v>70</v>
      </c>
      <c r="H3202" s="96" t="s">
        <v>67</v>
      </c>
      <c r="I3202" s="223">
        <f>D3201*K3202</f>
        <v>1900009.7</v>
      </c>
      <c r="J3202" s="223">
        <f>I3202/D3201</f>
        <v>2911</v>
      </c>
      <c r="K3202" s="223">
        <v>2911</v>
      </c>
    </row>
    <row r="3203" spans="1:11" x14ac:dyDescent="0.25">
      <c r="A3203" s="347"/>
      <c r="B3203" s="347"/>
      <c r="C3203" s="349"/>
      <c r="D3203" s="312"/>
      <c r="E3203" s="329"/>
      <c r="F3203" s="331"/>
      <c r="G3203" s="310"/>
      <c r="H3203" s="96" t="s">
        <v>69</v>
      </c>
      <c r="I3203" s="223">
        <f>D3201*K3203</f>
        <v>40467.4</v>
      </c>
      <c r="J3203" s="223">
        <f>I3203/D3201</f>
        <v>62</v>
      </c>
      <c r="K3203" s="223">
        <v>62</v>
      </c>
    </row>
    <row r="3204" spans="1:11" x14ac:dyDescent="0.25">
      <c r="A3204" s="347"/>
      <c r="B3204" s="347"/>
      <c r="C3204" s="349"/>
      <c r="D3204" s="312"/>
      <c r="E3204" s="329"/>
      <c r="F3204" s="331"/>
      <c r="G3204" s="308" t="s">
        <v>71</v>
      </c>
      <c r="H3204" s="96" t="s">
        <v>67</v>
      </c>
      <c r="I3204" s="223">
        <f>D3201*K3204</f>
        <v>334835.09999999998</v>
      </c>
      <c r="J3204" s="223">
        <f>I3204/D3201</f>
        <v>513</v>
      </c>
      <c r="K3204" s="223">
        <v>513</v>
      </c>
    </row>
    <row r="3205" spans="1:11" x14ac:dyDescent="0.25">
      <c r="A3205" s="347"/>
      <c r="B3205" s="347"/>
      <c r="C3205" s="349"/>
      <c r="D3205" s="312"/>
      <c r="E3205" s="329"/>
      <c r="F3205" s="331"/>
      <c r="G3205" s="309"/>
      <c r="H3205" s="96" t="s">
        <v>69</v>
      </c>
      <c r="I3205" s="223">
        <f>D3201*K3205</f>
        <v>7179.7</v>
      </c>
      <c r="J3205" s="223">
        <f>I3205/D3201</f>
        <v>11</v>
      </c>
      <c r="K3205" s="223">
        <v>11</v>
      </c>
    </row>
    <row r="3206" spans="1:11" x14ac:dyDescent="0.25">
      <c r="A3206" s="347"/>
      <c r="B3206" s="347"/>
      <c r="C3206" s="349"/>
      <c r="D3206" s="312"/>
      <c r="E3206" s="329"/>
      <c r="F3206" s="331"/>
      <c r="G3206" s="308" t="s">
        <v>72</v>
      </c>
      <c r="H3206" s="96" t="s">
        <v>67</v>
      </c>
      <c r="I3206" s="223">
        <f>D3201*K3206</f>
        <v>353763.4</v>
      </c>
      <c r="J3206" s="223">
        <f>I3206/D3201</f>
        <v>542</v>
      </c>
      <c r="K3206" s="223">
        <v>542</v>
      </c>
    </row>
    <row r="3207" spans="1:11" x14ac:dyDescent="0.25">
      <c r="A3207" s="347"/>
      <c r="B3207" s="347"/>
      <c r="C3207" s="350"/>
      <c r="D3207" s="312"/>
      <c r="E3207" s="329"/>
      <c r="F3207" s="332"/>
      <c r="G3207" s="309"/>
      <c r="H3207" s="96" t="s">
        <v>69</v>
      </c>
      <c r="I3207" s="223">
        <f>D3201*K3207</f>
        <v>7832.4</v>
      </c>
      <c r="J3207" s="223">
        <f>I3207/D3201</f>
        <v>12</v>
      </c>
      <c r="K3207" s="223">
        <v>12</v>
      </c>
    </row>
    <row r="3208" spans="1:11" x14ac:dyDescent="0.25">
      <c r="A3208" s="346">
        <f>A3201+1</f>
        <v>7</v>
      </c>
      <c r="B3208" s="346">
        <v>6983</v>
      </c>
      <c r="C3208" s="348" t="s">
        <v>315</v>
      </c>
      <c r="D3208" s="312">
        <v>403.9</v>
      </c>
      <c r="E3208" s="312" t="s">
        <v>167</v>
      </c>
      <c r="F3208" s="330">
        <v>2</v>
      </c>
      <c r="G3208" s="161"/>
      <c r="H3208" s="87" t="s">
        <v>66</v>
      </c>
      <c r="I3208" s="223">
        <f>SUM(I3209:I3214)</f>
        <v>1636198.9</v>
      </c>
      <c r="J3208" s="223">
        <f>SUM(J3209:J3214)</f>
        <v>4051</v>
      </c>
      <c r="K3208" s="223">
        <f>SUM(K3209:K3214)</f>
        <v>4051</v>
      </c>
    </row>
    <row r="3209" spans="1:11" x14ac:dyDescent="0.25">
      <c r="A3209" s="347"/>
      <c r="B3209" s="347"/>
      <c r="C3209" s="349"/>
      <c r="D3209" s="312"/>
      <c r="E3209" s="329"/>
      <c r="F3209" s="331"/>
      <c r="G3209" s="310" t="s">
        <v>70</v>
      </c>
      <c r="H3209" s="96" t="s">
        <v>67</v>
      </c>
      <c r="I3209" s="223">
        <f>D3208*K3209</f>
        <v>1175752.8999999999</v>
      </c>
      <c r="J3209" s="223">
        <f>I3209/D3208</f>
        <v>2911</v>
      </c>
      <c r="K3209" s="223">
        <v>2911</v>
      </c>
    </row>
    <row r="3210" spans="1:11" x14ac:dyDescent="0.25">
      <c r="A3210" s="347"/>
      <c r="B3210" s="347"/>
      <c r="C3210" s="349"/>
      <c r="D3210" s="312"/>
      <c r="E3210" s="329"/>
      <c r="F3210" s="331"/>
      <c r="G3210" s="310"/>
      <c r="H3210" s="96" t="s">
        <v>69</v>
      </c>
      <c r="I3210" s="223">
        <f>D3208*K3210</f>
        <v>25041.8</v>
      </c>
      <c r="J3210" s="223">
        <f>I3210/D3208</f>
        <v>62</v>
      </c>
      <c r="K3210" s="223">
        <v>62</v>
      </c>
    </row>
    <row r="3211" spans="1:11" x14ac:dyDescent="0.25">
      <c r="A3211" s="347"/>
      <c r="B3211" s="347"/>
      <c r="C3211" s="349"/>
      <c r="D3211" s="312"/>
      <c r="E3211" s="329"/>
      <c r="F3211" s="331"/>
      <c r="G3211" s="308" t="s">
        <v>71</v>
      </c>
      <c r="H3211" s="96" t="s">
        <v>67</v>
      </c>
      <c r="I3211" s="223">
        <f>D3208*K3211</f>
        <v>207200.7</v>
      </c>
      <c r="J3211" s="223">
        <f>I3211/D3208</f>
        <v>513</v>
      </c>
      <c r="K3211" s="223">
        <v>513</v>
      </c>
    </row>
    <row r="3212" spans="1:11" x14ac:dyDescent="0.25">
      <c r="A3212" s="347"/>
      <c r="B3212" s="347"/>
      <c r="C3212" s="349"/>
      <c r="D3212" s="312"/>
      <c r="E3212" s="329"/>
      <c r="F3212" s="331"/>
      <c r="G3212" s="309"/>
      <c r="H3212" s="96" t="s">
        <v>69</v>
      </c>
      <c r="I3212" s="223">
        <f>D3208*K3212</f>
        <v>4442.8999999999996</v>
      </c>
      <c r="J3212" s="223">
        <f>I3212/D3208</f>
        <v>11</v>
      </c>
      <c r="K3212" s="223">
        <v>11</v>
      </c>
    </row>
    <row r="3213" spans="1:11" x14ac:dyDescent="0.25">
      <c r="A3213" s="347"/>
      <c r="B3213" s="347"/>
      <c r="C3213" s="349"/>
      <c r="D3213" s="312"/>
      <c r="E3213" s="329"/>
      <c r="F3213" s="331"/>
      <c r="G3213" s="308" t="s">
        <v>72</v>
      </c>
      <c r="H3213" s="96" t="s">
        <v>67</v>
      </c>
      <c r="I3213" s="223">
        <f>D3208*K3213</f>
        <v>218913.8</v>
      </c>
      <c r="J3213" s="223">
        <f>I3213/D3208</f>
        <v>542</v>
      </c>
      <c r="K3213" s="223">
        <v>542</v>
      </c>
    </row>
    <row r="3214" spans="1:11" x14ac:dyDescent="0.25">
      <c r="A3214" s="347"/>
      <c r="B3214" s="347"/>
      <c r="C3214" s="350"/>
      <c r="D3214" s="312"/>
      <c r="E3214" s="329"/>
      <c r="F3214" s="332"/>
      <c r="G3214" s="309"/>
      <c r="H3214" s="96" t="s">
        <v>69</v>
      </c>
      <c r="I3214" s="223">
        <f>D3208*K3214</f>
        <v>4846.8</v>
      </c>
      <c r="J3214" s="223">
        <f>I3214/D3208</f>
        <v>12</v>
      </c>
      <c r="K3214" s="223">
        <v>12</v>
      </c>
    </row>
    <row r="3215" spans="1:11" x14ac:dyDescent="0.25">
      <c r="A3215" s="346">
        <f>A3208+1</f>
        <v>8</v>
      </c>
      <c r="B3215" s="346">
        <v>6984</v>
      </c>
      <c r="C3215" s="348" t="s">
        <v>316</v>
      </c>
      <c r="D3215" s="312">
        <v>651.1</v>
      </c>
      <c r="E3215" s="312" t="s">
        <v>68</v>
      </c>
      <c r="F3215" s="330">
        <v>2</v>
      </c>
      <c r="G3215" s="161"/>
      <c r="H3215" s="87" t="s">
        <v>66</v>
      </c>
      <c r="I3215" s="223">
        <f>SUM(I3216:I3221)</f>
        <v>2792567.9</v>
      </c>
      <c r="J3215" s="223">
        <f>SUM(J3216:J3221)</f>
        <v>4289</v>
      </c>
      <c r="K3215" s="223">
        <f>SUM(K3216:K3221)</f>
        <v>4289</v>
      </c>
    </row>
    <row r="3216" spans="1:11" x14ac:dyDescent="0.25">
      <c r="A3216" s="347"/>
      <c r="B3216" s="347"/>
      <c r="C3216" s="349"/>
      <c r="D3216" s="312"/>
      <c r="E3216" s="329"/>
      <c r="F3216" s="331"/>
      <c r="G3216" s="310" t="s">
        <v>70</v>
      </c>
      <c r="H3216" s="96" t="s">
        <v>67</v>
      </c>
      <c r="I3216" s="223">
        <f>D3215*K3216</f>
        <v>1895352.1</v>
      </c>
      <c r="J3216" s="223">
        <f>I3216/D3215</f>
        <v>2911</v>
      </c>
      <c r="K3216" s="223">
        <v>2911</v>
      </c>
    </row>
    <row r="3217" spans="1:11" x14ac:dyDescent="0.25">
      <c r="A3217" s="347"/>
      <c r="B3217" s="347"/>
      <c r="C3217" s="349"/>
      <c r="D3217" s="312"/>
      <c r="E3217" s="329"/>
      <c r="F3217" s="331"/>
      <c r="G3217" s="310"/>
      <c r="H3217" s="96" t="s">
        <v>69</v>
      </c>
      <c r="I3217" s="223">
        <f>D3215*K3217</f>
        <v>40368.199999999997</v>
      </c>
      <c r="J3217" s="223">
        <f>I3217/D3215</f>
        <v>62</v>
      </c>
      <c r="K3217" s="223">
        <v>62</v>
      </c>
    </row>
    <row r="3218" spans="1:11" x14ac:dyDescent="0.25">
      <c r="A3218" s="347"/>
      <c r="B3218" s="347"/>
      <c r="C3218" s="349"/>
      <c r="D3218" s="312"/>
      <c r="E3218" s="329"/>
      <c r="F3218" s="331"/>
      <c r="G3218" s="308" t="s">
        <v>71</v>
      </c>
      <c r="H3218" s="96" t="s">
        <v>67</v>
      </c>
      <c r="I3218" s="223">
        <f>D3215*K3218</f>
        <v>485720.6</v>
      </c>
      <c r="J3218" s="223">
        <f>I3218/D3215</f>
        <v>746</v>
      </c>
      <c r="K3218" s="223">
        <v>746</v>
      </c>
    </row>
    <row r="3219" spans="1:11" x14ac:dyDescent="0.25">
      <c r="A3219" s="347"/>
      <c r="B3219" s="347"/>
      <c r="C3219" s="349"/>
      <c r="D3219" s="312"/>
      <c r="E3219" s="329"/>
      <c r="F3219" s="331"/>
      <c r="G3219" s="309"/>
      <c r="H3219" s="96" t="s">
        <v>69</v>
      </c>
      <c r="I3219" s="223">
        <f>D3215*K3219</f>
        <v>10417.6</v>
      </c>
      <c r="J3219" s="223">
        <f>I3219/D3215</f>
        <v>16</v>
      </c>
      <c r="K3219" s="223">
        <v>16</v>
      </c>
    </row>
    <row r="3220" spans="1:11" x14ac:dyDescent="0.25">
      <c r="A3220" s="347"/>
      <c r="B3220" s="347"/>
      <c r="C3220" s="349"/>
      <c r="D3220" s="312"/>
      <c r="E3220" s="329"/>
      <c r="F3220" s="331"/>
      <c r="G3220" s="308" t="s">
        <v>72</v>
      </c>
      <c r="H3220" s="96" t="s">
        <v>67</v>
      </c>
      <c r="I3220" s="223">
        <f>D3215*K3220</f>
        <v>352896.2</v>
      </c>
      <c r="J3220" s="223">
        <f>I3220/D3215</f>
        <v>542</v>
      </c>
      <c r="K3220" s="223">
        <v>542</v>
      </c>
    </row>
    <row r="3221" spans="1:11" x14ac:dyDescent="0.25">
      <c r="A3221" s="347"/>
      <c r="B3221" s="347"/>
      <c r="C3221" s="350"/>
      <c r="D3221" s="312"/>
      <c r="E3221" s="329"/>
      <c r="F3221" s="332"/>
      <c r="G3221" s="309"/>
      <c r="H3221" s="96" t="s">
        <v>69</v>
      </c>
      <c r="I3221" s="223">
        <f>D3215*K3221</f>
        <v>7813.2</v>
      </c>
      <c r="J3221" s="223">
        <f>I3221/D3215</f>
        <v>12</v>
      </c>
      <c r="K3221" s="223">
        <v>12</v>
      </c>
    </row>
    <row r="3222" spans="1:11" s="118" customFormat="1" ht="15.6" customHeight="1" x14ac:dyDescent="0.25">
      <c r="A3222" s="335">
        <f>A3215+1</f>
        <v>9</v>
      </c>
      <c r="B3222" s="335">
        <v>6963</v>
      </c>
      <c r="C3222" s="351" t="s">
        <v>708</v>
      </c>
      <c r="D3222" s="327">
        <v>1094.7</v>
      </c>
      <c r="E3222" s="327" t="s">
        <v>68</v>
      </c>
      <c r="F3222" s="328">
        <v>3</v>
      </c>
      <c r="G3222" s="125"/>
      <c r="H3222" s="117" t="s">
        <v>66</v>
      </c>
      <c r="I3222" s="226">
        <f>SUM(I3223:I3224)</f>
        <v>5631136.7999999998</v>
      </c>
      <c r="J3222" s="226">
        <f>SUM(J3223:J3224)</f>
        <v>5144</v>
      </c>
      <c r="K3222" s="226">
        <f>SUM(K3223:K3224)</f>
        <v>5144</v>
      </c>
    </row>
    <row r="3223" spans="1:11" s="118" customFormat="1" x14ac:dyDescent="0.25">
      <c r="A3223" s="335"/>
      <c r="B3223" s="335"/>
      <c r="C3223" s="351"/>
      <c r="D3223" s="327"/>
      <c r="E3223" s="327"/>
      <c r="F3223" s="328"/>
      <c r="G3223" s="340" t="s">
        <v>65</v>
      </c>
      <c r="H3223" s="117" t="s">
        <v>67</v>
      </c>
      <c r="I3223" s="226">
        <f>D3222*K3223</f>
        <v>5512909.2000000002</v>
      </c>
      <c r="J3223" s="226">
        <f>I3223/D3222</f>
        <v>5036</v>
      </c>
      <c r="K3223" s="226">
        <v>5036</v>
      </c>
    </row>
    <row r="3224" spans="1:11" s="118" customFormat="1" x14ac:dyDescent="0.25">
      <c r="A3224" s="335"/>
      <c r="B3224" s="335"/>
      <c r="C3224" s="351"/>
      <c r="D3224" s="327"/>
      <c r="E3224" s="327"/>
      <c r="F3224" s="328"/>
      <c r="G3224" s="342"/>
      <c r="H3224" s="117" t="s">
        <v>69</v>
      </c>
      <c r="I3224" s="226">
        <f>D3222*K3224</f>
        <v>118227.6</v>
      </c>
      <c r="J3224" s="226">
        <f>I3224/D3222</f>
        <v>108</v>
      </c>
      <c r="K3224" s="226">
        <v>108</v>
      </c>
    </row>
    <row r="3225" spans="1:11" s="118" customFormat="1" x14ac:dyDescent="0.25">
      <c r="A3225" s="335">
        <f>A3222+1</f>
        <v>10</v>
      </c>
      <c r="B3225" s="335">
        <v>7000</v>
      </c>
      <c r="C3225" s="337" t="s">
        <v>709</v>
      </c>
      <c r="D3225" s="327">
        <v>2657.4</v>
      </c>
      <c r="E3225" s="327" t="s">
        <v>64</v>
      </c>
      <c r="F3225" s="324">
        <v>5</v>
      </c>
      <c r="G3225" s="116"/>
      <c r="H3225" s="117" t="s">
        <v>66</v>
      </c>
      <c r="I3225" s="226">
        <f>SUM(I3226:I3226)</f>
        <v>449100.6</v>
      </c>
      <c r="J3225" s="226">
        <f>SUM(J3226:J3226)</f>
        <v>169</v>
      </c>
      <c r="K3225" s="226">
        <f>SUM(K3226:K3226)</f>
        <v>169</v>
      </c>
    </row>
    <row r="3226" spans="1:11" s="118" customFormat="1" ht="63" x14ac:dyDescent="0.25">
      <c r="A3226" s="336"/>
      <c r="B3226" s="336"/>
      <c r="C3226" s="338"/>
      <c r="D3226" s="339"/>
      <c r="E3226" s="339"/>
      <c r="F3226" s="325"/>
      <c r="G3226" s="162" t="s">
        <v>65</v>
      </c>
      <c r="H3226" s="117" t="s">
        <v>178</v>
      </c>
      <c r="I3226" s="226">
        <f>D3225*K3226</f>
        <v>449100.6</v>
      </c>
      <c r="J3226" s="226">
        <f>I3226/D3225</f>
        <v>169</v>
      </c>
      <c r="K3226" s="226">
        <f>151+18</f>
        <v>169</v>
      </c>
    </row>
    <row r="3227" spans="1:11" s="118" customFormat="1" x14ac:dyDescent="0.25">
      <c r="A3227" s="335">
        <f>A3225+1</f>
        <v>11</v>
      </c>
      <c r="B3227" s="335">
        <v>7001</v>
      </c>
      <c r="C3227" s="337" t="s">
        <v>710</v>
      </c>
      <c r="D3227" s="327">
        <v>2657.4</v>
      </c>
      <c r="E3227" s="327" t="s">
        <v>64</v>
      </c>
      <c r="F3227" s="324">
        <v>5</v>
      </c>
      <c r="G3227" s="116"/>
      <c r="H3227" s="117" t="s">
        <v>66</v>
      </c>
      <c r="I3227" s="226">
        <f>SUM(I3228:I3228)</f>
        <v>449100.6</v>
      </c>
      <c r="J3227" s="226">
        <f>SUM(J3228:J3228)</f>
        <v>169</v>
      </c>
      <c r="K3227" s="226">
        <f>SUM(K3228:K3228)</f>
        <v>169</v>
      </c>
    </row>
    <row r="3228" spans="1:11" s="118" customFormat="1" ht="63" x14ac:dyDescent="0.25">
      <c r="A3228" s="336"/>
      <c r="B3228" s="336"/>
      <c r="C3228" s="338"/>
      <c r="D3228" s="339"/>
      <c r="E3228" s="339"/>
      <c r="F3228" s="325"/>
      <c r="G3228" s="162" t="s">
        <v>65</v>
      </c>
      <c r="H3228" s="117" t="s">
        <v>178</v>
      </c>
      <c r="I3228" s="226">
        <f>D3227*K3228</f>
        <v>449100.6</v>
      </c>
      <c r="J3228" s="226">
        <f>I3228/D3227</f>
        <v>169</v>
      </c>
      <c r="K3228" s="226">
        <f>151+18</f>
        <v>169</v>
      </c>
    </row>
    <row r="3229" spans="1:11" s="118" customFormat="1" x14ac:dyDescent="0.25">
      <c r="A3229" s="335">
        <f>A3227+1</f>
        <v>12</v>
      </c>
      <c r="B3229" s="335">
        <v>6937</v>
      </c>
      <c r="C3229" s="337" t="s">
        <v>711</v>
      </c>
      <c r="D3229" s="327">
        <v>733.5</v>
      </c>
      <c r="E3229" s="327" t="s">
        <v>68</v>
      </c>
      <c r="F3229" s="324">
        <v>2</v>
      </c>
      <c r="G3229" s="116"/>
      <c r="H3229" s="117" t="s">
        <v>66</v>
      </c>
      <c r="I3229" s="226">
        <f>SUM(I3230:I3232)</f>
        <v>161370</v>
      </c>
      <c r="J3229" s="226">
        <f>SUM(J3230:J3232)</f>
        <v>220</v>
      </c>
      <c r="K3229" s="226">
        <f>SUM(K3230:K3232)</f>
        <v>220</v>
      </c>
    </row>
    <row r="3230" spans="1:11" s="118" customFormat="1" ht="63" x14ac:dyDescent="0.25">
      <c r="A3230" s="336"/>
      <c r="B3230" s="336"/>
      <c r="C3230" s="338"/>
      <c r="D3230" s="339"/>
      <c r="E3230" s="339"/>
      <c r="F3230" s="325"/>
      <c r="G3230" s="162" t="s">
        <v>70</v>
      </c>
      <c r="H3230" s="117" t="s">
        <v>168</v>
      </c>
      <c r="I3230" s="226">
        <f>D3229*K3230</f>
        <v>100489.5</v>
      </c>
      <c r="J3230" s="226">
        <f>I3230/D3229</f>
        <v>137</v>
      </c>
      <c r="K3230" s="226">
        <f>116+21</f>
        <v>137</v>
      </c>
    </row>
    <row r="3231" spans="1:11" s="118" customFormat="1" ht="63" x14ac:dyDescent="0.25">
      <c r="A3231" s="336"/>
      <c r="B3231" s="336"/>
      <c r="C3231" s="338"/>
      <c r="D3231" s="339"/>
      <c r="E3231" s="339"/>
      <c r="F3231" s="325"/>
      <c r="G3231" s="155" t="s">
        <v>71</v>
      </c>
      <c r="H3231" s="117" t="s">
        <v>168</v>
      </c>
      <c r="I3231" s="226">
        <f>D3229*K3231</f>
        <v>30807</v>
      </c>
      <c r="J3231" s="226">
        <f>I3231/D3229</f>
        <v>42</v>
      </c>
      <c r="K3231" s="226">
        <f>21+21</f>
        <v>42</v>
      </c>
    </row>
    <row r="3232" spans="1:11" s="118" customFormat="1" ht="63" x14ac:dyDescent="0.25">
      <c r="A3232" s="336"/>
      <c r="B3232" s="336"/>
      <c r="C3232" s="338"/>
      <c r="D3232" s="339"/>
      <c r="E3232" s="339"/>
      <c r="F3232" s="325"/>
      <c r="G3232" s="155" t="s">
        <v>72</v>
      </c>
      <c r="H3232" s="117" t="s">
        <v>168</v>
      </c>
      <c r="I3232" s="226">
        <f>D3229*K3232</f>
        <v>30073.5</v>
      </c>
      <c r="J3232" s="226">
        <f>I3232/D3229</f>
        <v>41</v>
      </c>
      <c r="K3232" s="226">
        <f>22+19</f>
        <v>41</v>
      </c>
    </row>
    <row r="3233" spans="1:11" s="118" customFormat="1" x14ac:dyDescent="0.25">
      <c r="A3233" s="335">
        <f>A3229+1</f>
        <v>13</v>
      </c>
      <c r="B3233" s="335">
        <v>6938</v>
      </c>
      <c r="C3233" s="337" t="s">
        <v>712</v>
      </c>
      <c r="D3233" s="327">
        <v>718.27</v>
      </c>
      <c r="E3233" s="327" t="s">
        <v>68</v>
      </c>
      <c r="F3233" s="324">
        <v>2</v>
      </c>
      <c r="G3233" s="116"/>
      <c r="H3233" s="117" t="s">
        <v>66</v>
      </c>
      <c r="I3233" s="226">
        <f>SUM(I3234:I3236)</f>
        <v>158019.4</v>
      </c>
      <c r="J3233" s="226">
        <f>SUM(J3234:J3236)</f>
        <v>220</v>
      </c>
      <c r="K3233" s="226">
        <f>SUM(K3234:K3236)</f>
        <v>220</v>
      </c>
    </row>
    <row r="3234" spans="1:11" s="118" customFormat="1" ht="63" x14ac:dyDescent="0.25">
      <c r="A3234" s="336"/>
      <c r="B3234" s="336"/>
      <c r="C3234" s="338"/>
      <c r="D3234" s="339"/>
      <c r="E3234" s="339"/>
      <c r="F3234" s="325"/>
      <c r="G3234" s="162" t="s">
        <v>70</v>
      </c>
      <c r="H3234" s="117" t="s">
        <v>168</v>
      </c>
      <c r="I3234" s="226">
        <f>D3233*K3234</f>
        <v>98402.99</v>
      </c>
      <c r="J3234" s="226">
        <f>I3234/D3233</f>
        <v>137</v>
      </c>
      <c r="K3234" s="226">
        <f>116+21</f>
        <v>137</v>
      </c>
    </row>
    <row r="3235" spans="1:11" s="118" customFormat="1" ht="63" x14ac:dyDescent="0.25">
      <c r="A3235" s="336"/>
      <c r="B3235" s="336"/>
      <c r="C3235" s="338"/>
      <c r="D3235" s="339"/>
      <c r="E3235" s="339"/>
      <c r="F3235" s="325"/>
      <c r="G3235" s="155" t="s">
        <v>71</v>
      </c>
      <c r="H3235" s="117" t="s">
        <v>168</v>
      </c>
      <c r="I3235" s="226">
        <f>D3233*K3235</f>
        <v>30167.34</v>
      </c>
      <c r="J3235" s="226">
        <f>I3235/D3233</f>
        <v>42</v>
      </c>
      <c r="K3235" s="226">
        <f>21+21</f>
        <v>42</v>
      </c>
    </row>
    <row r="3236" spans="1:11" s="118" customFormat="1" ht="63" x14ac:dyDescent="0.25">
      <c r="A3236" s="336"/>
      <c r="B3236" s="336"/>
      <c r="C3236" s="338"/>
      <c r="D3236" s="339"/>
      <c r="E3236" s="339"/>
      <c r="F3236" s="325"/>
      <c r="G3236" s="155" t="s">
        <v>72</v>
      </c>
      <c r="H3236" s="117" t="s">
        <v>168</v>
      </c>
      <c r="I3236" s="226">
        <f>D3233*K3236</f>
        <v>29449.07</v>
      </c>
      <c r="J3236" s="226">
        <f>I3236/D3233</f>
        <v>41</v>
      </c>
      <c r="K3236" s="226">
        <f>22+19</f>
        <v>41</v>
      </c>
    </row>
    <row r="3237" spans="1:11" x14ac:dyDescent="0.25">
      <c r="A3237" s="346">
        <f>A3233+1</f>
        <v>14</v>
      </c>
      <c r="B3237" s="346">
        <v>6818</v>
      </c>
      <c r="C3237" s="348" t="s">
        <v>546</v>
      </c>
      <c r="D3237" s="312">
        <v>636.4</v>
      </c>
      <c r="E3237" s="312" t="s">
        <v>167</v>
      </c>
      <c r="F3237" s="330">
        <v>2</v>
      </c>
      <c r="G3237" s="161"/>
      <c r="H3237" s="87" t="s">
        <v>66</v>
      </c>
      <c r="I3237" s="223">
        <f>SUM(I3238:I3243)</f>
        <v>2729519.6</v>
      </c>
      <c r="J3237" s="223">
        <f>SUM(J3238:J3243)</f>
        <v>4289</v>
      </c>
      <c r="K3237" s="223">
        <f>SUM(K3238:K3243)</f>
        <v>4289</v>
      </c>
    </row>
    <row r="3238" spans="1:11" x14ac:dyDescent="0.25">
      <c r="A3238" s="347"/>
      <c r="B3238" s="347"/>
      <c r="C3238" s="349"/>
      <c r="D3238" s="312"/>
      <c r="E3238" s="329"/>
      <c r="F3238" s="331"/>
      <c r="G3238" s="310" t="s">
        <v>70</v>
      </c>
      <c r="H3238" s="96" t="s">
        <v>67</v>
      </c>
      <c r="I3238" s="223">
        <f>D3237*K3238</f>
        <v>1852560.4</v>
      </c>
      <c r="J3238" s="223">
        <f>I3238/D3237</f>
        <v>2911</v>
      </c>
      <c r="K3238" s="223">
        <v>2911</v>
      </c>
    </row>
    <row r="3239" spans="1:11" x14ac:dyDescent="0.25">
      <c r="A3239" s="347"/>
      <c r="B3239" s="347"/>
      <c r="C3239" s="349"/>
      <c r="D3239" s="312"/>
      <c r="E3239" s="329"/>
      <c r="F3239" s="331"/>
      <c r="G3239" s="310"/>
      <c r="H3239" s="96" t="s">
        <v>69</v>
      </c>
      <c r="I3239" s="223">
        <f>D3237*K3239</f>
        <v>39456.800000000003</v>
      </c>
      <c r="J3239" s="223">
        <f>I3239/D3237</f>
        <v>62</v>
      </c>
      <c r="K3239" s="223">
        <v>62</v>
      </c>
    </row>
    <row r="3240" spans="1:11" x14ac:dyDescent="0.25">
      <c r="A3240" s="347"/>
      <c r="B3240" s="347"/>
      <c r="C3240" s="349"/>
      <c r="D3240" s="312"/>
      <c r="E3240" s="329"/>
      <c r="F3240" s="331"/>
      <c r="G3240" s="308" t="s">
        <v>71</v>
      </c>
      <c r="H3240" s="96" t="s">
        <v>67</v>
      </c>
      <c r="I3240" s="223">
        <f>D3237*K3240</f>
        <v>474754.4</v>
      </c>
      <c r="J3240" s="223">
        <f>I3240/D3237</f>
        <v>746</v>
      </c>
      <c r="K3240" s="223">
        <v>746</v>
      </c>
    </row>
    <row r="3241" spans="1:11" x14ac:dyDescent="0.25">
      <c r="A3241" s="347"/>
      <c r="B3241" s="347"/>
      <c r="C3241" s="349"/>
      <c r="D3241" s="312"/>
      <c r="E3241" s="329"/>
      <c r="F3241" s="331"/>
      <c r="G3241" s="309"/>
      <c r="H3241" s="96" t="s">
        <v>69</v>
      </c>
      <c r="I3241" s="223">
        <f>D3237*K3241</f>
        <v>10182.4</v>
      </c>
      <c r="J3241" s="223">
        <f>I3241/D3237</f>
        <v>16</v>
      </c>
      <c r="K3241" s="223">
        <v>16</v>
      </c>
    </row>
    <row r="3242" spans="1:11" x14ac:dyDescent="0.25">
      <c r="A3242" s="347"/>
      <c r="B3242" s="347"/>
      <c r="C3242" s="349"/>
      <c r="D3242" s="312"/>
      <c r="E3242" s="329"/>
      <c r="F3242" s="331"/>
      <c r="G3242" s="308" t="s">
        <v>72</v>
      </c>
      <c r="H3242" s="96" t="s">
        <v>67</v>
      </c>
      <c r="I3242" s="223">
        <f>D3237*K3242</f>
        <v>344928.8</v>
      </c>
      <c r="J3242" s="223">
        <f>I3242/D3237</f>
        <v>542</v>
      </c>
      <c r="K3242" s="223">
        <v>542</v>
      </c>
    </row>
    <row r="3243" spans="1:11" x14ac:dyDescent="0.25">
      <c r="A3243" s="347"/>
      <c r="B3243" s="347"/>
      <c r="C3243" s="350"/>
      <c r="D3243" s="312"/>
      <c r="E3243" s="329"/>
      <c r="F3243" s="332"/>
      <c r="G3243" s="309"/>
      <c r="H3243" s="96" t="s">
        <v>69</v>
      </c>
      <c r="I3243" s="223">
        <f>D3237*K3243</f>
        <v>7636.8</v>
      </c>
      <c r="J3243" s="223">
        <f>I3243/D3237</f>
        <v>12</v>
      </c>
      <c r="K3243" s="223">
        <v>12</v>
      </c>
    </row>
    <row r="3244" spans="1:11" s="118" customFormat="1" x14ac:dyDescent="0.25">
      <c r="A3244" s="335">
        <f>A3237+1</f>
        <v>15</v>
      </c>
      <c r="B3244" s="335">
        <v>6820</v>
      </c>
      <c r="C3244" s="337" t="s">
        <v>713</v>
      </c>
      <c r="D3244" s="327">
        <v>954.4</v>
      </c>
      <c r="E3244" s="327" t="s">
        <v>68</v>
      </c>
      <c r="F3244" s="324">
        <v>3</v>
      </c>
      <c r="G3244" s="116"/>
      <c r="H3244" s="117" t="s">
        <v>66</v>
      </c>
      <c r="I3244" s="226">
        <f>SUM(I3245:I3247)</f>
        <v>207104.8</v>
      </c>
      <c r="J3244" s="226">
        <f>SUM(J3245:J3247)</f>
        <v>217</v>
      </c>
      <c r="K3244" s="226">
        <f>SUM(K3245:K3247)</f>
        <v>217</v>
      </c>
    </row>
    <row r="3245" spans="1:11" s="118" customFormat="1" ht="63" x14ac:dyDescent="0.25">
      <c r="A3245" s="336"/>
      <c r="B3245" s="336"/>
      <c r="C3245" s="338"/>
      <c r="D3245" s="339"/>
      <c r="E3245" s="339"/>
      <c r="F3245" s="325"/>
      <c r="G3245" s="162" t="s">
        <v>70</v>
      </c>
      <c r="H3245" s="117" t="s">
        <v>168</v>
      </c>
      <c r="I3245" s="226">
        <f>D3244*K3245</f>
        <v>130752.8</v>
      </c>
      <c r="J3245" s="226">
        <f>I3245/D3244</f>
        <v>137</v>
      </c>
      <c r="K3245" s="226">
        <f>116+21</f>
        <v>137</v>
      </c>
    </row>
    <row r="3246" spans="1:11" s="118" customFormat="1" ht="63" x14ac:dyDescent="0.25">
      <c r="A3246" s="336"/>
      <c r="B3246" s="336"/>
      <c r="C3246" s="338"/>
      <c r="D3246" s="339"/>
      <c r="E3246" s="339"/>
      <c r="F3246" s="325"/>
      <c r="G3246" s="155" t="s">
        <v>71</v>
      </c>
      <c r="H3246" s="117" t="s">
        <v>168</v>
      </c>
      <c r="I3246" s="226">
        <f>D3244*K3246</f>
        <v>37221.599999999999</v>
      </c>
      <c r="J3246" s="226">
        <f>I3246/D3244</f>
        <v>39</v>
      </c>
      <c r="K3246" s="226">
        <f>30+9</f>
        <v>39</v>
      </c>
    </row>
    <row r="3247" spans="1:11" s="118" customFormat="1" ht="63" x14ac:dyDescent="0.25">
      <c r="A3247" s="336"/>
      <c r="B3247" s="336"/>
      <c r="C3247" s="338"/>
      <c r="D3247" s="339"/>
      <c r="E3247" s="339"/>
      <c r="F3247" s="325"/>
      <c r="G3247" s="155" t="s">
        <v>72</v>
      </c>
      <c r="H3247" s="117" t="s">
        <v>168</v>
      </c>
      <c r="I3247" s="226">
        <f>D3244*K3247</f>
        <v>39130.400000000001</v>
      </c>
      <c r="J3247" s="226">
        <f>I3247/D3244</f>
        <v>41</v>
      </c>
      <c r="K3247" s="226">
        <f>22+19</f>
        <v>41</v>
      </c>
    </row>
    <row r="3248" spans="1:11" x14ac:dyDescent="0.25">
      <c r="A3248" s="361">
        <f>A3244+1</f>
        <v>16</v>
      </c>
      <c r="B3248" s="436">
        <v>6868</v>
      </c>
      <c r="C3248" s="348" t="s">
        <v>321</v>
      </c>
      <c r="D3248" s="448">
        <v>701</v>
      </c>
      <c r="E3248" s="436" t="s">
        <v>68</v>
      </c>
      <c r="F3248" s="436">
        <v>2</v>
      </c>
      <c r="G3248" s="161"/>
      <c r="H3248" s="87" t="s">
        <v>66</v>
      </c>
      <c r="I3248" s="223">
        <f>SUM(I3249:I3252)</f>
        <v>2451397</v>
      </c>
      <c r="J3248" s="223">
        <f>SUM(J3249:J3252)</f>
        <v>3497</v>
      </c>
      <c r="K3248" s="223">
        <f>SUM(K3249:K3252)</f>
        <v>3497</v>
      </c>
    </row>
    <row r="3249" spans="1:11" x14ac:dyDescent="0.25">
      <c r="A3249" s="424"/>
      <c r="B3249" s="424"/>
      <c r="C3249" s="349"/>
      <c r="D3249" s="449"/>
      <c r="E3249" s="424"/>
      <c r="F3249" s="424"/>
      <c r="G3249" s="310" t="s">
        <v>70</v>
      </c>
      <c r="H3249" s="96" t="s">
        <v>67</v>
      </c>
      <c r="I3249" s="223">
        <f>D3248*K3249</f>
        <v>2040611</v>
      </c>
      <c r="J3249" s="223">
        <f>I3249/D3248</f>
        <v>2911</v>
      </c>
      <c r="K3249" s="223">
        <v>2911</v>
      </c>
    </row>
    <row r="3250" spans="1:11" x14ac:dyDescent="0.25">
      <c r="A3250" s="424"/>
      <c r="B3250" s="424"/>
      <c r="C3250" s="349"/>
      <c r="D3250" s="449"/>
      <c r="E3250" s="424"/>
      <c r="F3250" s="424"/>
      <c r="G3250" s="310"/>
      <c r="H3250" s="96" t="s">
        <v>69</v>
      </c>
      <c r="I3250" s="223">
        <f>D3248*K3250</f>
        <v>43462</v>
      </c>
      <c r="J3250" s="223">
        <f>I3250/D3248</f>
        <v>62</v>
      </c>
      <c r="K3250" s="223">
        <v>62</v>
      </c>
    </row>
    <row r="3251" spans="1:11" x14ac:dyDescent="0.25">
      <c r="A3251" s="424"/>
      <c r="B3251" s="424"/>
      <c r="C3251" s="349"/>
      <c r="D3251" s="449"/>
      <c r="E3251" s="424"/>
      <c r="F3251" s="424"/>
      <c r="G3251" s="308" t="s">
        <v>71</v>
      </c>
      <c r="H3251" s="96" t="s">
        <v>67</v>
      </c>
      <c r="I3251" s="223">
        <f>D3248*K3251</f>
        <v>359613</v>
      </c>
      <c r="J3251" s="223">
        <f>I3251/D3248</f>
        <v>513</v>
      </c>
      <c r="K3251" s="223">
        <v>513</v>
      </c>
    </row>
    <row r="3252" spans="1:11" x14ac:dyDescent="0.25">
      <c r="A3252" s="425"/>
      <c r="B3252" s="425"/>
      <c r="C3252" s="350"/>
      <c r="D3252" s="450"/>
      <c r="E3252" s="425"/>
      <c r="F3252" s="425"/>
      <c r="G3252" s="309"/>
      <c r="H3252" s="96" t="s">
        <v>69</v>
      </c>
      <c r="I3252" s="223">
        <f>D3248*K3252</f>
        <v>7711</v>
      </c>
      <c r="J3252" s="223">
        <f>I3252/D3248</f>
        <v>11</v>
      </c>
      <c r="K3252" s="223">
        <v>11</v>
      </c>
    </row>
    <row r="3253" spans="1:11" s="118" customFormat="1" ht="15.75" customHeight="1" x14ac:dyDescent="0.25">
      <c r="A3253" s="335">
        <f>A3248+1</f>
        <v>17</v>
      </c>
      <c r="B3253" s="335">
        <v>6999</v>
      </c>
      <c r="C3253" s="337" t="s">
        <v>322</v>
      </c>
      <c r="D3253" s="327">
        <v>383.7</v>
      </c>
      <c r="E3253" s="327" t="s">
        <v>68</v>
      </c>
      <c r="F3253" s="324">
        <v>2</v>
      </c>
      <c r="G3253" s="116"/>
      <c r="H3253" s="117" t="s">
        <v>66</v>
      </c>
      <c r="I3253" s="226">
        <f>SUM(I3254:I3257)</f>
        <v>464660.7</v>
      </c>
      <c r="J3253" s="226">
        <f>SUM(J3254:J3257)</f>
        <v>1211</v>
      </c>
      <c r="K3253" s="226">
        <f>SUM(K3254:K3257)</f>
        <v>1211</v>
      </c>
    </row>
    <row r="3254" spans="1:11" s="118" customFormat="1" x14ac:dyDescent="0.25">
      <c r="A3254" s="336"/>
      <c r="B3254" s="336"/>
      <c r="C3254" s="338"/>
      <c r="D3254" s="339"/>
      <c r="E3254" s="339"/>
      <c r="F3254" s="325"/>
      <c r="G3254" s="320" t="s">
        <v>77</v>
      </c>
      <c r="H3254" s="126" t="s">
        <v>67</v>
      </c>
      <c r="I3254" s="226">
        <f>D3253*K3254</f>
        <v>268973.7</v>
      </c>
      <c r="J3254" s="226">
        <f>I3254/D3253</f>
        <v>701</v>
      </c>
      <c r="K3254" s="226">
        <v>701</v>
      </c>
    </row>
    <row r="3255" spans="1:11" s="118" customFormat="1" x14ac:dyDescent="0.25">
      <c r="A3255" s="336"/>
      <c r="B3255" s="336"/>
      <c r="C3255" s="338"/>
      <c r="D3255" s="339"/>
      <c r="E3255" s="339"/>
      <c r="F3255" s="325"/>
      <c r="G3255" s="320"/>
      <c r="H3255" s="126" t="s">
        <v>69</v>
      </c>
      <c r="I3255" s="226">
        <f>D3253*K3255</f>
        <v>5755.5</v>
      </c>
      <c r="J3255" s="226">
        <f>I3255/D3253</f>
        <v>15</v>
      </c>
      <c r="K3255" s="226">
        <v>15</v>
      </c>
    </row>
    <row r="3256" spans="1:11" s="118" customFormat="1" x14ac:dyDescent="0.25">
      <c r="A3256" s="336"/>
      <c r="B3256" s="336"/>
      <c r="C3256" s="338"/>
      <c r="D3256" s="339"/>
      <c r="E3256" s="339"/>
      <c r="F3256" s="325"/>
      <c r="G3256" s="320" t="s">
        <v>78</v>
      </c>
      <c r="H3256" s="126" t="s">
        <v>67</v>
      </c>
      <c r="I3256" s="226">
        <f>D3253*K3256</f>
        <v>186094.5</v>
      </c>
      <c r="J3256" s="226">
        <f>I3256/D3253</f>
        <v>485</v>
      </c>
      <c r="K3256" s="226">
        <v>485</v>
      </c>
    </row>
    <row r="3257" spans="1:11" s="118" customFormat="1" x14ac:dyDescent="0.25">
      <c r="A3257" s="336"/>
      <c r="B3257" s="336"/>
      <c r="C3257" s="338"/>
      <c r="D3257" s="339"/>
      <c r="E3257" s="339"/>
      <c r="F3257" s="325"/>
      <c r="G3257" s="320"/>
      <c r="H3257" s="126" t="s">
        <v>69</v>
      </c>
      <c r="I3257" s="226">
        <f>D3253*K3257</f>
        <v>3837</v>
      </c>
      <c r="J3257" s="226">
        <f>I3257/D3253</f>
        <v>10</v>
      </c>
      <c r="K3257" s="226">
        <v>10</v>
      </c>
    </row>
    <row r="3258" spans="1:11" x14ac:dyDescent="0.25">
      <c r="A3258" s="361">
        <f>A3253+1</f>
        <v>18</v>
      </c>
      <c r="B3258" s="436">
        <v>7061</v>
      </c>
      <c r="C3258" s="348" t="s">
        <v>323</v>
      </c>
      <c r="D3258" s="448">
        <v>390</v>
      </c>
      <c r="E3258" s="436" t="s">
        <v>167</v>
      </c>
      <c r="F3258" s="436">
        <v>2</v>
      </c>
      <c r="G3258" s="161"/>
      <c r="H3258" s="87" t="s">
        <v>66</v>
      </c>
      <c r="I3258" s="223">
        <f>SUM(I3259:I3260)</f>
        <v>1159470</v>
      </c>
      <c r="J3258" s="223">
        <f>SUM(J3259:J3260)</f>
        <v>2973</v>
      </c>
      <c r="K3258" s="223">
        <f>SUM(K3259:K3260)</f>
        <v>2973</v>
      </c>
    </row>
    <row r="3259" spans="1:11" x14ac:dyDescent="0.25">
      <c r="A3259" s="424"/>
      <c r="B3259" s="424"/>
      <c r="C3259" s="349"/>
      <c r="D3259" s="449"/>
      <c r="E3259" s="424"/>
      <c r="F3259" s="424"/>
      <c r="G3259" s="310" t="s">
        <v>70</v>
      </c>
      <c r="H3259" s="96" t="s">
        <v>67</v>
      </c>
      <c r="I3259" s="223">
        <f>D3258*K3259</f>
        <v>1135290</v>
      </c>
      <c r="J3259" s="223">
        <f>I3259/D3258</f>
        <v>2911</v>
      </c>
      <c r="K3259" s="223">
        <v>2911</v>
      </c>
    </row>
    <row r="3260" spans="1:11" x14ac:dyDescent="0.25">
      <c r="A3260" s="424"/>
      <c r="B3260" s="424"/>
      <c r="C3260" s="349"/>
      <c r="D3260" s="449"/>
      <c r="E3260" s="424"/>
      <c r="F3260" s="424"/>
      <c r="G3260" s="310"/>
      <c r="H3260" s="96" t="s">
        <v>69</v>
      </c>
      <c r="I3260" s="223">
        <f>D3258*K3260</f>
        <v>24180</v>
      </c>
      <c r="J3260" s="223">
        <f>I3260/D3258</f>
        <v>62</v>
      </c>
      <c r="K3260" s="223">
        <v>62</v>
      </c>
    </row>
    <row r="3261" spans="1:11" x14ac:dyDescent="0.25">
      <c r="A3261" s="361">
        <f>A3258+1</f>
        <v>19</v>
      </c>
      <c r="B3261" s="436">
        <v>7080</v>
      </c>
      <c r="C3261" s="348" t="s">
        <v>324</v>
      </c>
      <c r="D3261" s="448">
        <v>507.5</v>
      </c>
      <c r="E3261" s="436" t="s">
        <v>167</v>
      </c>
      <c r="F3261" s="436">
        <v>2</v>
      </c>
      <c r="G3261" s="161"/>
      <c r="H3261" s="87" t="s">
        <v>66</v>
      </c>
      <c r="I3261" s="223">
        <f>SUM(I3262:I3265)</f>
        <v>1774727.5</v>
      </c>
      <c r="J3261" s="223">
        <f>SUM(J3262:J3265)</f>
        <v>3497</v>
      </c>
      <c r="K3261" s="223">
        <f>SUM(K3262:K3265)</f>
        <v>3497</v>
      </c>
    </row>
    <row r="3262" spans="1:11" ht="15.75" customHeight="1" x14ac:dyDescent="0.25">
      <c r="A3262" s="362"/>
      <c r="B3262" s="424"/>
      <c r="C3262" s="349"/>
      <c r="D3262" s="449"/>
      <c r="E3262" s="424"/>
      <c r="F3262" s="424"/>
      <c r="G3262" s="307" t="s">
        <v>70</v>
      </c>
      <c r="H3262" s="96" t="s">
        <v>67</v>
      </c>
      <c r="I3262" s="223">
        <f>D3261*K3262</f>
        <v>1477332.5</v>
      </c>
      <c r="J3262" s="223">
        <f>I3262/D3261</f>
        <v>2911</v>
      </c>
      <c r="K3262" s="223">
        <v>2911</v>
      </c>
    </row>
    <row r="3263" spans="1:11" x14ac:dyDescent="0.25">
      <c r="A3263" s="362"/>
      <c r="B3263" s="424"/>
      <c r="C3263" s="349"/>
      <c r="D3263" s="449"/>
      <c r="E3263" s="424"/>
      <c r="F3263" s="424"/>
      <c r="G3263" s="309"/>
      <c r="H3263" s="96" t="s">
        <v>69</v>
      </c>
      <c r="I3263" s="223">
        <f>D3261*K3263</f>
        <v>31465</v>
      </c>
      <c r="J3263" s="223">
        <f>I3263/D3261</f>
        <v>62</v>
      </c>
      <c r="K3263" s="223">
        <v>62</v>
      </c>
    </row>
    <row r="3264" spans="1:11" ht="15.75" customHeight="1" x14ac:dyDescent="0.25">
      <c r="A3264" s="362"/>
      <c r="B3264" s="424"/>
      <c r="C3264" s="349"/>
      <c r="D3264" s="449"/>
      <c r="E3264" s="424"/>
      <c r="F3264" s="424"/>
      <c r="G3264" s="307" t="s">
        <v>71</v>
      </c>
      <c r="H3264" s="96" t="s">
        <v>67</v>
      </c>
      <c r="I3264" s="223">
        <f>D3261*K3264</f>
        <v>260347.5</v>
      </c>
      <c r="J3264" s="223">
        <f>I3264/D3261</f>
        <v>513</v>
      </c>
      <c r="K3264" s="223">
        <v>513</v>
      </c>
    </row>
    <row r="3265" spans="1:11" x14ac:dyDescent="0.25">
      <c r="A3265" s="347"/>
      <c r="B3265" s="425"/>
      <c r="C3265" s="350"/>
      <c r="D3265" s="450"/>
      <c r="E3265" s="425"/>
      <c r="F3265" s="425"/>
      <c r="G3265" s="309"/>
      <c r="H3265" s="96" t="s">
        <v>69</v>
      </c>
      <c r="I3265" s="223">
        <f>D3261*K3265</f>
        <v>5582.5</v>
      </c>
      <c r="J3265" s="223">
        <f>I3265/D3261</f>
        <v>11</v>
      </c>
      <c r="K3265" s="223">
        <v>11</v>
      </c>
    </row>
    <row r="3266" spans="1:11" x14ac:dyDescent="0.25">
      <c r="A3266" s="216" t="s">
        <v>45</v>
      </c>
      <c r="B3266" s="216"/>
      <c r="C3266" s="81"/>
      <c r="D3266" s="142">
        <f>D3267+D3270+D3273+D3275+D3277</f>
        <v>6236.2</v>
      </c>
      <c r="E3266" s="150"/>
      <c r="F3266" s="150"/>
      <c r="G3266" s="151"/>
      <c r="H3266" s="92"/>
      <c r="I3266" s="223">
        <f>I3267+I3270+I3273+I3275+I3277</f>
        <v>10568609.4</v>
      </c>
      <c r="J3266" s="223"/>
      <c r="K3266" s="223"/>
    </row>
    <row r="3267" spans="1:11" ht="15.75" customHeight="1" x14ac:dyDescent="0.25">
      <c r="A3267" s="345">
        <v>1</v>
      </c>
      <c r="B3267" s="345">
        <v>7177</v>
      </c>
      <c r="C3267" s="333" t="s">
        <v>302</v>
      </c>
      <c r="D3267" s="312">
        <v>863</v>
      </c>
      <c r="E3267" s="312" t="s">
        <v>68</v>
      </c>
      <c r="F3267" s="313">
        <v>2</v>
      </c>
      <c r="G3267" s="307" t="s">
        <v>65</v>
      </c>
      <c r="H3267" s="87" t="s">
        <v>66</v>
      </c>
      <c r="I3267" s="223">
        <f>I3268+I3269</f>
        <v>6634744</v>
      </c>
      <c r="J3267" s="223">
        <f t="shared" ref="J3267:K3267" si="103">J3268+J3269</f>
        <v>7688</v>
      </c>
      <c r="K3267" s="223">
        <f t="shared" si="103"/>
        <v>7688</v>
      </c>
    </row>
    <row r="3268" spans="1:11" ht="15.75" customHeight="1" x14ac:dyDescent="0.25">
      <c r="A3268" s="345"/>
      <c r="B3268" s="345"/>
      <c r="C3268" s="333"/>
      <c r="D3268" s="312"/>
      <c r="E3268" s="312"/>
      <c r="F3268" s="313"/>
      <c r="G3268" s="308"/>
      <c r="H3268" s="87" t="s">
        <v>67</v>
      </c>
      <c r="I3268" s="223">
        <f>D3267*K3268</f>
        <v>6495801</v>
      </c>
      <c r="J3268" s="223">
        <f>I3268/D3267</f>
        <v>7527</v>
      </c>
      <c r="K3268" s="223">
        <v>7527</v>
      </c>
    </row>
    <row r="3269" spans="1:11" x14ac:dyDescent="0.25">
      <c r="A3269" s="345"/>
      <c r="B3269" s="345"/>
      <c r="C3269" s="333"/>
      <c r="D3269" s="312"/>
      <c r="E3269" s="312"/>
      <c r="F3269" s="313"/>
      <c r="G3269" s="309"/>
      <c r="H3269" s="87" t="s">
        <v>69</v>
      </c>
      <c r="I3269" s="223">
        <f>D3267*K3269</f>
        <v>138943</v>
      </c>
      <c r="J3269" s="223">
        <f>I3269/D3267</f>
        <v>161</v>
      </c>
      <c r="K3269" s="223">
        <v>161</v>
      </c>
    </row>
    <row r="3270" spans="1:11" s="118" customFormat="1" x14ac:dyDescent="0.25">
      <c r="A3270" s="334">
        <f>A3267+1</f>
        <v>2</v>
      </c>
      <c r="B3270" s="334">
        <v>7210</v>
      </c>
      <c r="C3270" s="321" t="s">
        <v>717</v>
      </c>
      <c r="D3270" s="327">
        <v>384.7</v>
      </c>
      <c r="E3270" s="327" t="s">
        <v>68</v>
      </c>
      <c r="F3270" s="328">
        <v>2</v>
      </c>
      <c r="G3270" s="340" t="s">
        <v>65</v>
      </c>
      <c r="H3270" s="117" t="s">
        <v>66</v>
      </c>
      <c r="I3270" s="226">
        <f>I3271+I3272</f>
        <v>2957573.6</v>
      </c>
      <c r="J3270" s="226">
        <f>J3271+J3272</f>
        <v>7688</v>
      </c>
      <c r="K3270" s="226">
        <f>K3271+K3272</f>
        <v>7688</v>
      </c>
    </row>
    <row r="3271" spans="1:11" s="118" customFormat="1" x14ac:dyDescent="0.25">
      <c r="A3271" s="334"/>
      <c r="B3271" s="334"/>
      <c r="C3271" s="321"/>
      <c r="D3271" s="327"/>
      <c r="E3271" s="327"/>
      <c r="F3271" s="328"/>
      <c r="G3271" s="341"/>
      <c r="H3271" s="117" t="s">
        <v>67</v>
      </c>
      <c r="I3271" s="226">
        <f>D3270*K3271</f>
        <v>2895636.9</v>
      </c>
      <c r="J3271" s="226">
        <f>I3271/D3270</f>
        <v>7527</v>
      </c>
      <c r="K3271" s="226">
        <v>7527</v>
      </c>
    </row>
    <row r="3272" spans="1:11" s="118" customFormat="1" x14ac:dyDescent="0.25">
      <c r="A3272" s="334"/>
      <c r="B3272" s="334"/>
      <c r="C3272" s="321"/>
      <c r="D3272" s="327"/>
      <c r="E3272" s="327"/>
      <c r="F3272" s="328"/>
      <c r="G3272" s="342"/>
      <c r="H3272" s="117" t="s">
        <v>69</v>
      </c>
      <c r="I3272" s="226">
        <f>D3270*K3272</f>
        <v>61936.7</v>
      </c>
      <c r="J3272" s="226">
        <f>I3272/D3270</f>
        <v>161</v>
      </c>
      <c r="K3272" s="226">
        <v>161</v>
      </c>
    </row>
    <row r="3273" spans="1:11" s="118" customFormat="1" x14ac:dyDescent="0.25">
      <c r="A3273" s="320">
        <f>A3270+1</f>
        <v>3</v>
      </c>
      <c r="B3273" s="320">
        <v>7213</v>
      </c>
      <c r="C3273" s="321" t="s">
        <v>719</v>
      </c>
      <c r="D3273" s="327">
        <v>701.4</v>
      </c>
      <c r="E3273" s="327" t="s">
        <v>68</v>
      </c>
      <c r="F3273" s="328">
        <v>2</v>
      </c>
      <c r="G3273" s="340" t="s">
        <v>65</v>
      </c>
      <c r="H3273" s="117" t="s">
        <v>66</v>
      </c>
      <c r="I3273" s="226">
        <f>SUM(I3274:I3274)</f>
        <v>173245.8</v>
      </c>
      <c r="J3273" s="226">
        <f>SUM(J3274:J3274)</f>
        <v>247</v>
      </c>
      <c r="K3273" s="226">
        <f>SUM(K3274:K3274)</f>
        <v>247</v>
      </c>
    </row>
    <row r="3274" spans="1:11" s="118" customFormat="1" ht="63" x14ac:dyDescent="0.25">
      <c r="A3274" s="320"/>
      <c r="B3274" s="320"/>
      <c r="C3274" s="321"/>
      <c r="D3274" s="327"/>
      <c r="E3274" s="327"/>
      <c r="F3274" s="328"/>
      <c r="G3274" s="341"/>
      <c r="H3274" s="117" t="s">
        <v>178</v>
      </c>
      <c r="I3274" s="226">
        <f>D3273*K3274</f>
        <v>173245.8</v>
      </c>
      <c r="J3274" s="226">
        <f>I3274/D3273</f>
        <v>247</v>
      </c>
      <c r="K3274" s="226">
        <f>151+96</f>
        <v>247</v>
      </c>
    </row>
    <row r="3275" spans="1:11" s="118" customFormat="1" x14ac:dyDescent="0.25">
      <c r="A3275" s="343">
        <f>A3273+1</f>
        <v>4</v>
      </c>
      <c r="B3275" s="334">
        <v>7219</v>
      </c>
      <c r="C3275" s="321" t="s">
        <v>720</v>
      </c>
      <c r="D3275" s="327">
        <v>3895</v>
      </c>
      <c r="E3275" s="327" t="s">
        <v>64</v>
      </c>
      <c r="F3275" s="328">
        <v>5</v>
      </c>
      <c r="G3275" s="320" t="s">
        <v>65</v>
      </c>
      <c r="H3275" s="117" t="s">
        <v>66</v>
      </c>
      <c r="I3275" s="226">
        <f>SUM(I3276:I3276)</f>
        <v>701100</v>
      </c>
      <c r="J3275" s="226">
        <f>SUM(J3276:J3276)</f>
        <v>180</v>
      </c>
      <c r="K3275" s="226">
        <f>SUM(K3276:K3276)</f>
        <v>180</v>
      </c>
    </row>
    <row r="3276" spans="1:11" s="118" customFormat="1" ht="94.5" x14ac:dyDescent="0.25">
      <c r="A3276" s="344"/>
      <c r="B3276" s="334"/>
      <c r="C3276" s="321"/>
      <c r="D3276" s="327"/>
      <c r="E3276" s="327"/>
      <c r="F3276" s="328"/>
      <c r="G3276" s="320"/>
      <c r="H3276" s="117" t="s">
        <v>685</v>
      </c>
      <c r="I3276" s="226">
        <f>D3275*K3276</f>
        <v>701100</v>
      </c>
      <c r="J3276" s="226">
        <f>I3276/D3275</f>
        <v>180</v>
      </c>
      <c r="K3276" s="226">
        <f>147+33</f>
        <v>180</v>
      </c>
    </row>
    <row r="3277" spans="1:11" s="118" customFormat="1" ht="15.75" customHeight="1" x14ac:dyDescent="0.25">
      <c r="A3277" s="320">
        <f>A3275+1</f>
        <v>5</v>
      </c>
      <c r="B3277" s="320">
        <v>7220</v>
      </c>
      <c r="C3277" s="321" t="s">
        <v>721</v>
      </c>
      <c r="D3277" s="327">
        <v>392.1</v>
      </c>
      <c r="E3277" s="327" t="s">
        <v>167</v>
      </c>
      <c r="F3277" s="328">
        <v>2</v>
      </c>
      <c r="G3277" s="125"/>
      <c r="H3277" s="117" t="s">
        <v>66</v>
      </c>
      <c r="I3277" s="226">
        <f>I3278</f>
        <v>101946</v>
      </c>
      <c r="J3277" s="226">
        <f>J3278</f>
        <v>260</v>
      </c>
      <c r="K3277" s="226">
        <f>K3278</f>
        <v>260</v>
      </c>
    </row>
    <row r="3278" spans="1:11" s="118" customFormat="1" ht="63" customHeight="1" x14ac:dyDescent="0.25">
      <c r="A3278" s="320"/>
      <c r="B3278" s="320"/>
      <c r="C3278" s="321"/>
      <c r="D3278" s="327"/>
      <c r="E3278" s="327"/>
      <c r="F3278" s="328"/>
      <c r="G3278" s="155" t="s">
        <v>65</v>
      </c>
      <c r="H3278" s="117" t="s">
        <v>178</v>
      </c>
      <c r="I3278" s="266">
        <f>D3277*K3278</f>
        <v>101946</v>
      </c>
      <c r="J3278" s="226">
        <f>I3278/D3277</f>
        <v>260</v>
      </c>
      <c r="K3278" s="226">
        <f>164+96</f>
        <v>260</v>
      </c>
    </row>
    <row r="3279" spans="1:11" x14ac:dyDescent="0.25">
      <c r="A3279" s="101"/>
      <c r="B3279" s="102"/>
      <c r="C3279" s="102"/>
      <c r="D3279" s="102"/>
      <c r="E3279" s="103"/>
      <c r="F3279" s="103"/>
      <c r="G3279" s="104"/>
      <c r="H3279" s="105"/>
      <c r="I3279" s="102"/>
      <c r="J3279" s="102"/>
      <c r="K3279" s="102"/>
    </row>
    <row r="3280" spans="1:11" ht="165" customHeight="1" x14ac:dyDescent="0.25">
      <c r="A3280" s="106" t="s">
        <v>57</v>
      </c>
      <c r="B3280" s="106"/>
      <c r="C3280" s="422" t="s">
        <v>224</v>
      </c>
      <c r="D3280" s="422"/>
      <c r="E3280" s="422"/>
      <c r="F3280" s="422"/>
      <c r="G3280" s="422"/>
      <c r="H3280" s="422"/>
      <c r="I3280" s="422"/>
      <c r="J3280" s="422"/>
      <c r="K3280" s="422"/>
    </row>
    <row r="3281" spans="1:11" ht="75.75" customHeight="1" x14ac:dyDescent="0.25">
      <c r="A3281" s="106" t="s">
        <v>58</v>
      </c>
      <c r="B3281" s="106"/>
      <c r="C3281" s="423" t="s">
        <v>59</v>
      </c>
      <c r="D3281" s="423"/>
      <c r="E3281" s="423"/>
      <c r="F3281" s="423"/>
      <c r="G3281" s="423"/>
      <c r="H3281" s="423"/>
      <c r="I3281" s="423"/>
      <c r="J3281" s="423"/>
      <c r="K3281" s="423"/>
    </row>
    <row r="3282" spans="1:11" ht="53.25" customHeight="1" x14ac:dyDescent="0.25">
      <c r="A3282" s="106" t="s">
        <v>60</v>
      </c>
      <c r="B3282" s="106"/>
      <c r="C3282" s="426" t="s">
        <v>63</v>
      </c>
      <c r="D3282" s="426"/>
      <c r="E3282" s="426"/>
      <c r="F3282" s="426"/>
      <c r="G3282" s="426"/>
      <c r="H3282" s="426"/>
      <c r="I3282" s="426"/>
      <c r="J3282" s="426"/>
      <c r="K3282" s="426"/>
    </row>
    <row r="3283" spans="1:11" x14ac:dyDescent="0.25">
      <c r="A3283" s="107" t="s">
        <v>61</v>
      </c>
      <c r="B3283" s="107"/>
      <c r="C3283" s="426" t="s">
        <v>62</v>
      </c>
      <c r="D3283" s="426"/>
      <c r="E3283" s="426"/>
      <c r="F3283" s="426"/>
      <c r="G3283" s="426"/>
      <c r="H3283" s="426"/>
      <c r="I3283" s="426"/>
      <c r="J3283" s="426"/>
      <c r="K3283" s="426"/>
    </row>
    <row r="3284" spans="1:11" x14ac:dyDescent="0.25">
      <c r="B3284" s="109"/>
      <c r="D3284" s="109"/>
      <c r="E3284" s="109"/>
      <c r="F3284" s="109"/>
      <c r="K3284" s="113"/>
    </row>
    <row r="3285" spans="1:11" x14ac:dyDescent="0.25">
      <c r="A3285" s="114" t="s">
        <v>17</v>
      </c>
      <c r="B3285" s="110"/>
      <c r="D3285" s="109"/>
      <c r="E3285" s="109"/>
      <c r="F3285" s="109"/>
      <c r="K3285" s="113"/>
    </row>
    <row r="3286" spans="1:11" x14ac:dyDescent="0.25">
      <c r="A3286" s="114" t="s">
        <v>229</v>
      </c>
      <c r="B3286" s="110"/>
      <c r="D3286" s="109"/>
      <c r="E3286" s="109"/>
      <c r="F3286" s="109"/>
      <c r="K3286" s="113"/>
    </row>
    <row r="3287" spans="1:11" x14ac:dyDescent="0.25">
      <c r="A3287" s="114" t="s">
        <v>257</v>
      </c>
      <c r="B3287" s="110"/>
      <c r="D3287" s="109"/>
      <c r="E3287" s="109"/>
      <c r="F3287" s="109"/>
      <c r="K3287" s="113"/>
    </row>
    <row r="3289" spans="1:11" x14ac:dyDescent="0.25">
      <c r="E3289" s="72"/>
      <c r="F3289" s="72"/>
    </row>
    <row r="3290" spans="1:11" x14ac:dyDescent="0.25">
      <c r="E3290" s="72"/>
      <c r="F3290" s="72"/>
    </row>
    <row r="3291" spans="1:11" x14ac:dyDescent="0.25">
      <c r="E3291" s="72"/>
      <c r="F3291" s="72"/>
    </row>
    <row r="3292" spans="1:11" x14ac:dyDescent="0.25">
      <c r="E3292" s="72"/>
      <c r="F3292" s="72"/>
    </row>
  </sheetData>
  <autoFilter ref="A4:K3278"/>
  <customSheetViews>
    <customSheetView guid="{114D0552-1D3C-4C9A-AF28-55BD1176DD7C}" showPageBreaks="1" fitToPage="1" printArea="1" showAutoFilter="1">
      <pane xSplit="3" ySplit="5" topLeftCell="D133" activePane="bottomRight" state="frozen"/>
      <selection pane="bottomRight" activeCell="F82" sqref="F82"/>
      <rowBreaks count="12" manualBreakCount="12">
        <brk id="64" max="7" man="1"/>
        <brk id="110" max="7" man="1"/>
        <brk id="139" max="7" man="1"/>
        <brk id="150" max="7" man="1"/>
        <brk id="181" max="7" man="1"/>
        <brk id="312" max="7" man="1"/>
        <brk id="365" max="7" man="1"/>
        <brk id="433" max="7" man="1"/>
        <brk id="499" max="7" man="1"/>
        <brk id="569" max="7" man="1"/>
        <brk id="637" max="7" man="1"/>
        <brk id="847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10" orientation="portrait" r:id="rId1"/>
      <autoFilter ref="B1:I1"/>
    </customSheetView>
    <customSheetView guid="{CC3EEC02-30D2-4905-AE21-71EA71520321}" scale="80" showPageBreaks="1" printArea="1" showAutoFilter="1" topLeftCell="A380">
      <selection activeCell="F648" sqref="F648:H650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2"/>
      <autoFilter ref="B1:I1"/>
    </customSheetView>
    <customSheetView guid="{3511D8A4-2A8D-4563-8DF1-C381EEDBF68F}" scale="90" showPageBreaks="1" printArea="1" showAutoFilter="1" topLeftCell="A172">
      <selection activeCell="I185" sqref="I185"/>
      <rowBreaks count="7" manualBreakCount="7">
        <brk id="87" max="7" man="1"/>
        <brk id="166" max="7" man="1"/>
        <brk id="257" max="7" man="1"/>
        <brk id="348" max="7" man="1"/>
        <brk id="447" max="7" man="1"/>
        <brk id="547" max="7" man="1"/>
        <brk id="650" max="7" man="1"/>
      </rowBreaks>
      <pageMargins left="0.31496062992125984" right="0.31496062992125984" top="0.35433070866141736" bottom="0.35433070866141736" header="0.31496062992125984" footer="0.31496062992125984"/>
      <printOptions horizontalCentered="1"/>
      <pageSetup paperSize="9" scale="49" fitToHeight="10" orientation="portrait" r:id="rId3"/>
      <autoFilter ref="B1:I1"/>
    </customSheetView>
  </customSheetViews>
  <mergeCells count="5903">
    <mergeCell ref="A3024:A3026"/>
    <mergeCell ref="B3024:B3026"/>
    <mergeCell ref="C3024:C3026"/>
    <mergeCell ref="D3024:D3026"/>
    <mergeCell ref="E3024:E3026"/>
    <mergeCell ref="F3024:F3026"/>
    <mergeCell ref="G3024:G3026"/>
    <mergeCell ref="A3018:A3020"/>
    <mergeCell ref="B3018:B3020"/>
    <mergeCell ref="C3018:C3020"/>
    <mergeCell ref="D3018:D3020"/>
    <mergeCell ref="E3018:E3020"/>
    <mergeCell ref="F3018:F3020"/>
    <mergeCell ref="G3018:G3020"/>
    <mergeCell ref="A3021:A3023"/>
    <mergeCell ref="B3021:B3023"/>
    <mergeCell ref="C3021:C3023"/>
    <mergeCell ref="D3021:D3023"/>
    <mergeCell ref="E3021:E3023"/>
    <mergeCell ref="F3021:F3023"/>
    <mergeCell ref="G3021:G3023"/>
    <mergeCell ref="F3012:F3014"/>
    <mergeCell ref="G3012:G3014"/>
    <mergeCell ref="F2916:F2918"/>
    <mergeCell ref="G2916:G2918"/>
    <mergeCell ref="A2919:A2921"/>
    <mergeCell ref="B2919:B2921"/>
    <mergeCell ref="C2919:C2921"/>
    <mergeCell ref="D2919:D2921"/>
    <mergeCell ref="E2919:E2921"/>
    <mergeCell ref="F2919:F2921"/>
    <mergeCell ref="G2919:G2921"/>
    <mergeCell ref="C2916:C2918"/>
    <mergeCell ref="F2983:F2985"/>
    <mergeCell ref="B2940:B2946"/>
    <mergeCell ref="C2940:C2946"/>
    <mergeCell ref="A2922:A2924"/>
    <mergeCell ref="A2983:A2985"/>
    <mergeCell ref="B2983:B2985"/>
    <mergeCell ref="A2932:A2936"/>
    <mergeCell ref="B2932:B2936"/>
    <mergeCell ref="C2932:C2936"/>
    <mergeCell ref="D2932:D2936"/>
    <mergeCell ref="E2932:E2936"/>
    <mergeCell ref="F2932:F2936"/>
    <mergeCell ref="G2933:G2934"/>
    <mergeCell ref="G2935:G2936"/>
    <mergeCell ref="F2937:F2939"/>
    <mergeCell ref="G2873:G2874"/>
    <mergeCell ref="A2882:A2884"/>
    <mergeCell ref="B2882:B2884"/>
    <mergeCell ref="C2882:C2884"/>
    <mergeCell ref="D2882:D2884"/>
    <mergeCell ref="E2882:E2884"/>
    <mergeCell ref="F2882:F2884"/>
    <mergeCell ref="G2883:G2884"/>
    <mergeCell ref="G2805:G2806"/>
    <mergeCell ref="A2848:A2850"/>
    <mergeCell ref="B2848:B2850"/>
    <mergeCell ref="C2848:C2850"/>
    <mergeCell ref="D2848:D2850"/>
    <mergeCell ref="E2848:E2850"/>
    <mergeCell ref="F2848:F2850"/>
    <mergeCell ref="G2849:G2850"/>
    <mergeCell ref="A2866:A2868"/>
    <mergeCell ref="B2866:B2868"/>
    <mergeCell ref="C2866:C2868"/>
    <mergeCell ref="D2866:D2868"/>
    <mergeCell ref="E2866:E2868"/>
    <mergeCell ref="F2866:F2868"/>
    <mergeCell ref="G2867:G2868"/>
    <mergeCell ref="C2863:C2865"/>
    <mergeCell ref="D2863:D2865"/>
    <mergeCell ref="G2857:G2859"/>
    <mergeCell ref="A2860:A2862"/>
    <mergeCell ref="A2810:A2812"/>
    <mergeCell ref="B2810:B2812"/>
    <mergeCell ref="C2810:C2812"/>
    <mergeCell ref="D2810:D2812"/>
    <mergeCell ref="A2822:A2828"/>
    <mergeCell ref="A2195:A2196"/>
    <mergeCell ref="B2195:B2196"/>
    <mergeCell ref="A2228:A2232"/>
    <mergeCell ref="B2228:B2232"/>
    <mergeCell ref="A2222:A2223"/>
    <mergeCell ref="B2222:B2223"/>
    <mergeCell ref="A2786:A2788"/>
    <mergeCell ref="B2786:B2788"/>
    <mergeCell ref="C2786:C2788"/>
    <mergeCell ref="D2786:D2788"/>
    <mergeCell ref="E2786:E2788"/>
    <mergeCell ref="F2786:F2788"/>
    <mergeCell ref="A2750:A2752"/>
    <mergeCell ref="B2750:B2752"/>
    <mergeCell ref="C2750:C2752"/>
    <mergeCell ref="D2750:D2752"/>
    <mergeCell ref="E2750:E2752"/>
    <mergeCell ref="F2750:F2752"/>
    <mergeCell ref="E2228:E2232"/>
    <mergeCell ref="B2371:B2375"/>
    <mergeCell ref="C2371:C2375"/>
    <mergeCell ref="A2376:A2380"/>
    <mergeCell ref="B2376:B2380"/>
    <mergeCell ref="C2376:C2380"/>
    <mergeCell ref="D2376:D2380"/>
    <mergeCell ref="E2376:E2380"/>
    <mergeCell ref="F2762:F2764"/>
    <mergeCell ref="A2759:A2761"/>
    <mergeCell ref="A2774:A2776"/>
    <mergeCell ref="B2774:B2776"/>
    <mergeCell ref="C2774:C2776"/>
    <mergeCell ref="D2774:D2776"/>
    <mergeCell ref="F2376:F2380"/>
    <mergeCell ref="G2377:G2378"/>
    <mergeCell ref="G2751:G2752"/>
    <mergeCell ref="A1943:A1944"/>
    <mergeCell ref="B1943:B1944"/>
    <mergeCell ref="C1943:C1944"/>
    <mergeCell ref="D1943:D1944"/>
    <mergeCell ref="E1943:E1944"/>
    <mergeCell ref="F1943:F1944"/>
    <mergeCell ref="G1943:G1944"/>
    <mergeCell ref="A1959:A1961"/>
    <mergeCell ref="B1959:B1961"/>
    <mergeCell ref="C1959:C1961"/>
    <mergeCell ref="A2010:A2011"/>
    <mergeCell ref="B2010:B2011"/>
    <mergeCell ref="C2010:C2011"/>
    <mergeCell ref="D2010:D2011"/>
    <mergeCell ref="E2010:E2011"/>
    <mergeCell ref="F2010:F2011"/>
    <mergeCell ref="G2010:G2011"/>
    <mergeCell ref="E2000:E2002"/>
    <mergeCell ref="A2000:A2002"/>
    <mergeCell ref="A1969:A1971"/>
    <mergeCell ref="B1969:B1971"/>
    <mergeCell ref="C1969:C1971"/>
    <mergeCell ref="G1980:G1981"/>
    <mergeCell ref="G1994:G1995"/>
    <mergeCell ref="G1996:G1997"/>
    <mergeCell ref="G1998:G1999"/>
    <mergeCell ref="F2005:F2009"/>
    <mergeCell ref="G2006:G2007"/>
    <mergeCell ref="G2008:G2009"/>
    <mergeCell ref="A1637:A1638"/>
    <mergeCell ref="B1637:B1638"/>
    <mergeCell ref="C1637:C1638"/>
    <mergeCell ref="D1637:D1638"/>
    <mergeCell ref="E1637:E1638"/>
    <mergeCell ref="F1637:F1638"/>
    <mergeCell ref="A2003:A2004"/>
    <mergeCell ref="B2003:B2004"/>
    <mergeCell ref="C2003:C2004"/>
    <mergeCell ref="E1917:E1919"/>
    <mergeCell ref="F1917:F1919"/>
    <mergeCell ref="B1793:B1795"/>
    <mergeCell ref="C1793:C1795"/>
    <mergeCell ref="D1793:D1795"/>
    <mergeCell ref="E1793:E1795"/>
    <mergeCell ref="F1793:F1795"/>
    <mergeCell ref="C1801:C1802"/>
    <mergeCell ref="F1764:F1766"/>
    <mergeCell ref="A1818:A1820"/>
    <mergeCell ref="A1821:A1825"/>
    <mergeCell ref="B1821:B1825"/>
    <mergeCell ref="C1821:C1825"/>
    <mergeCell ref="D1821:D1825"/>
    <mergeCell ref="A1986:A1987"/>
    <mergeCell ref="B1986:B1987"/>
    <mergeCell ref="C1986:C1987"/>
    <mergeCell ref="D1986:D1987"/>
    <mergeCell ref="E1986:E1987"/>
    <mergeCell ref="F1986:F1987"/>
    <mergeCell ref="A1854:A1855"/>
    <mergeCell ref="B1854:B1855"/>
    <mergeCell ref="C1854:C1855"/>
    <mergeCell ref="B1588:B1589"/>
    <mergeCell ref="C1588:C1589"/>
    <mergeCell ref="D1588:D1589"/>
    <mergeCell ref="E1588:E1589"/>
    <mergeCell ref="F1588:F1589"/>
    <mergeCell ref="G1588:G1589"/>
    <mergeCell ref="C1563:C1564"/>
    <mergeCell ref="G1801:G1802"/>
    <mergeCell ref="D1826:D1828"/>
    <mergeCell ref="E1826:E1828"/>
    <mergeCell ref="E1599:E1600"/>
    <mergeCell ref="F1599:F1600"/>
    <mergeCell ref="G1599:G1600"/>
    <mergeCell ref="B1565:B1566"/>
    <mergeCell ref="A1590:A1596"/>
    <mergeCell ref="E1563:E1564"/>
    <mergeCell ref="F1563:F1564"/>
    <mergeCell ref="A1601:A1605"/>
    <mergeCell ref="A1751:A1752"/>
    <mergeCell ref="B1751:B1752"/>
    <mergeCell ref="C1751:C1752"/>
    <mergeCell ref="D1751:D1752"/>
    <mergeCell ref="E1751:E1752"/>
    <mergeCell ref="F1751:F1752"/>
    <mergeCell ref="G1751:G1752"/>
    <mergeCell ref="D1745:D1747"/>
    <mergeCell ref="E1745:E1747"/>
    <mergeCell ref="B1748:B1750"/>
    <mergeCell ref="C1748:C1750"/>
    <mergeCell ref="A1731:A1732"/>
    <mergeCell ref="B1745:B1747"/>
    <mergeCell ref="C1745:C1747"/>
    <mergeCell ref="D855:D857"/>
    <mergeCell ref="E855:E857"/>
    <mergeCell ref="F855:F857"/>
    <mergeCell ref="A858:A859"/>
    <mergeCell ref="B858:B859"/>
    <mergeCell ref="C858:C859"/>
    <mergeCell ref="D858:D859"/>
    <mergeCell ref="E858:E859"/>
    <mergeCell ref="F858:F859"/>
    <mergeCell ref="A1624:A1625"/>
    <mergeCell ref="F1556:F1557"/>
    <mergeCell ref="B1329:B1331"/>
    <mergeCell ref="B1332:B1335"/>
    <mergeCell ref="C1148:C1154"/>
    <mergeCell ref="C1186:C1190"/>
    <mergeCell ref="C1181:C1183"/>
    <mergeCell ref="D1181:D1183"/>
    <mergeCell ref="C1329:C1331"/>
    <mergeCell ref="D1329:D1331"/>
    <mergeCell ref="F863:F864"/>
    <mergeCell ref="D987:D988"/>
    <mergeCell ref="E987:E988"/>
    <mergeCell ref="A1345:A1355"/>
    <mergeCell ref="B1345:B1355"/>
    <mergeCell ref="C1345:C1355"/>
    <mergeCell ref="D1345:D1355"/>
    <mergeCell ref="E1345:E1355"/>
    <mergeCell ref="F1345:F1355"/>
    <mergeCell ref="F1077:F1079"/>
    <mergeCell ref="B1356:B1358"/>
    <mergeCell ref="C1356:C1358"/>
    <mergeCell ref="D1356:D1358"/>
    <mergeCell ref="A1650:A1654"/>
    <mergeCell ref="A1630:A1634"/>
    <mergeCell ref="B1630:B1634"/>
    <mergeCell ref="A1574:A1575"/>
    <mergeCell ref="B1574:B1575"/>
    <mergeCell ref="B1590:B1596"/>
    <mergeCell ref="G1602:G1603"/>
    <mergeCell ref="D1606:D1612"/>
    <mergeCell ref="B1618:B1620"/>
    <mergeCell ref="F1606:F1612"/>
    <mergeCell ref="D1563:D1564"/>
    <mergeCell ref="B1558:B1559"/>
    <mergeCell ref="C1558:C1559"/>
    <mergeCell ref="C1626:C1627"/>
    <mergeCell ref="A871:A873"/>
    <mergeCell ref="B871:B873"/>
    <mergeCell ref="C871:C873"/>
    <mergeCell ref="G1637:G1638"/>
    <mergeCell ref="A1626:A1627"/>
    <mergeCell ref="B1626:B1627"/>
    <mergeCell ref="G1284:G1285"/>
    <mergeCell ref="E1356:E1358"/>
    <mergeCell ref="G1396:G1397"/>
    <mergeCell ref="G1604:G1605"/>
    <mergeCell ref="A1613:A1614"/>
    <mergeCell ref="B1613:B1614"/>
    <mergeCell ref="C1613:C1614"/>
    <mergeCell ref="D1613:D1614"/>
    <mergeCell ref="E1613:E1614"/>
    <mergeCell ref="F1613:F1614"/>
    <mergeCell ref="G1613:G1614"/>
    <mergeCell ref="A1588:A1589"/>
    <mergeCell ref="A1635:A1636"/>
    <mergeCell ref="B1635:B1636"/>
    <mergeCell ref="C1635:C1636"/>
    <mergeCell ref="G1647:G1649"/>
    <mergeCell ref="G1626:G1627"/>
    <mergeCell ref="A1655:A1663"/>
    <mergeCell ref="B1655:B1663"/>
    <mergeCell ref="C1655:C1663"/>
    <mergeCell ref="D1655:D1663"/>
    <mergeCell ref="E1655:E1663"/>
    <mergeCell ref="F1655:F1663"/>
    <mergeCell ref="G1656:G1657"/>
    <mergeCell ref="G1658:G1659"/>
    <mergeCell ref="G858:G859"/>
    <mergeCell ref="E1615:E1617"/>
    <mergeCell ref="F1615:F1617"/>
    <mergeCell ref="G1615:G1617"/>
    <mergeCell ref="E1618:E1620"/>
    <mergeCell ref="G1621:G1623"/>
    <mergeCell ref="A1615:A1617"/>
    <mergeCell ref="B1615:B1617"/>
    <mergeCell ref="C1615:C1617"/>
    <mergeCell ref="D1615:D1617"/>
    <mergeCell ref="C1565:C1566"/>
    <mergeCell ref="F1558:F1559"/>
    <mergeCell ref="G1558:G1559"/>
    <mergeCell ref="D1565:D1566"/>
    <mergeCell ref="A1563:A1564"/>
    <mergeCell ref="B1563:B1564"/>
    <mergeCell ref="D1650:D1654"/>
    <mergeCell ref="E1650:E1654"/>
    <mergeCell ref="F1650:F1654"/>
    <mergeCell ref="C1682:C1686"/>
    <mergeCell ref="D1682:D1686"/>
    <mergeCell ref="E1682:E1686"/>
    <mergeCell ref="F1682:F1686"/>
    <mergeCell ref="G1683:G1684"/>
    <mergeCell ref="G1685:G1686"/>
    <mergeCell ref="B1624:B1625"/>
    <mergeCell ref="C1624:C1625"/>
    <mergeCell ref="D1624:D1625"/>
    <mergeCell ref="E1624:E1625"/>
    <mergeCell ref="F1624:F1625"/>
    <mergeCell ref="G1624:G1625"/>
    <mergeCell ref="G1607:G1608"/>
    <mergeCell ref="G1609:G1610"/>
    <mergeCell ref="G1611:G1612"/>
    <mergeCell ref="F1635:F1636"/>
    <mergeCell ref="G1635:G1636"/>
    <mergeCell ref="B1647:B1649"/>
    <mergeCell ref="E1639:E1642"/>
    <mergeCell ref="F1639:F1642"/>
    <mergeCell ref="G1660:G1661"/>
    <mergeCell ref="G1662:G1663"/>
    <mergeCell ref="A1639:A1642"/>
    <mergeCell ref="B1639:B1642"/>
    <mergeCell ref="C1639:C1642"/>
    <mergeCell ref="D1639:D1642"/>
    <mergeCell ref="B1650:B1654"/>
    <mergeCell ref="C1650:C1654"/>
    <mergeCell ref="A1572:A1573"/>
    <mergeCell ref="B1572:B1573"/>
    <mergeCell ref="C1572:C1573"/>
    <mergeCell ref="D1572:D1573"/>
    <mergeCell ref="E1572:E1573"/>
    <mergeCell ref="F1572:F1573"/>
    <mergeCell ref="G1572:G1573"/>
    <mergeCell ref="G1586:G1587"/>
    <mergeCell ref="F1590:F1596"/>
    <mergeCell ref="C1630:C1634"/>
    <mergeCell ref="D1630:D1634"/>
    <mergeCell ref="E1630:E1634"/>
    <mergeCell ref="F1630:F1634"/>
    <mergeCell ref="G1631:G1632"/>
    <mergeCell ref="G1633:G1634"/>
    <mergeCell ref="C1628:C1629"/>
    <mergeCell ref="D1628:D1629"/>
    <mergeCell ref="E1628:E1629"/>
    <mergeCell ref="F1628:F1629"/>
    <mergeCell ref="C1597:C1598"/>
    <mergeCell ref="D1597:D1598"/>
    <mergeCell ref="E1597:E1598"/>
    <mergeCell ref="F1597:F1598"/>
    <mergeCell ref="G1597:G1598"/>
    <mergeCell ref="G1546:G1548"/>
    <mergeCell ref="G1556:G1557"/>
    <mergeCell ref="F1552:F1553"/>
    <mergeCell ref="G1552:G1553"/>
    <mergeCell ref="A1554:A1555"/>
    <mergeCell ref="B1554:B1555"/>
    <mergeCell ref="C1554:C1555"/>
    <mergeCell ref="D1554:D1555"/>
    <mergeCell ref="G1554:G1555"/>
    <mergeCell ref="A1549:A1551"/>
    <mergeCell ref="D1558:D1559"/>
    <mergeCell ref="B1601:B1605"/>
    <mergeCell ref="C1601:C1605"/>
    <mergeCell ref="D1601:D1605"/>
    <mergeCell ref="E1601:E1605"/>
    <mergeCell ref="F1601:F1605"/>
    <mergeCell ref="A1576:A1577"/>
    <mergeCell ref="B1576:B1577"/>
    <mergeCell ref="C1576:C1577"/>
    <mergeCell ref="D1576:D1577"/>
    <mergeCell ref="E1576:E1577"/>
    <mergeCell ref="F1576:F1577"/>
    <mergeCell ref="G1576:G1577"/>
    <mergeCell ref="A1597:A1598"/>
    <mergeCell ref="B1597:B1598"/>
    <mergeCell ref="A1570:A1571"/>
    <mergeCell ref="B1570:B1571"/>
    <mergeCell ref="C1570:C1571"/>
    <mergeCell ref="D1570:D1571"/>
    <mergeCell ref="E1570:E1571"/>
    <mergeCell ref="F1570:F1571"/>
    <mergeCell ref="G1570:G1571"/>
    <mergeCell ref="G1914:G1916"/>
    <mergeCell ref="A1922:A1923"/>
    <mergeCell ref="B1922:B1923"/>
    <mergeCell ref="D1953:D1955"/>
    <mergeCell ref="E1953:E1955"/>
    <mergeCell ref="D1701:D1709"/>
    <mergeCell ref="E1701:E1709"/>
    <mergeCell ref="E1692:E1693"/>
    <mergeCell ref="F2167:F2169"/>
    <mergeCell ref="A2180:A2182"/>
    <mergeCell ref="B2180:B2182"/>
    <mergeCell ref="C2180:C2182"/>
    <mergeCell ref="D2180:D2182"/>
    <mergeCell ref="B1719:B1725"/>
    <mergeCell ref="C1719:C1725"/>
    <mergeCell ref="D1719:D1725"/>
    <mergeCell ref="E1719:E1725"/>
    <mergeCell ref="F1719:F1725"/>
    <mergeCell ref="A1733:A1735"/>
    <mergeCell ref="B1733:B1735"/>
    <mergeCell ref="C1733:C1735"/>
    <mergeCell ref="D1733:D1735"/>
    <mergeCell ref="E1733:E1735"/>
    <mergeCell ref="D1729:D1730"/>
    <mergeCell ref="E1729:E1730"/>
    <mergeCell ref="F1745:F1747"/>
    <mergeCell ref="G1816:G1817"/>
    <mergeCell ref="G1986:G1987"/>
    <mergeCell ref="D1854:D1855"/>
    <mergeCell ref="E1854:E1855"/>
    <mergeCell ref="F1854:F1855"/>
    <mergeCell ref="G1854:G1855"/>
    <mergeCell ref="G2186:G2188"/>
    <mergeCell ref="A2177:A2179"/>
    <mergeCell ref="B2177:B2179"/>
    <mergeCell ref="C2177:C2179"/>
    <mergeCell ref="A2220:A2221"/>
    <mergeCell ref="B2220:B2221"/>
    <mergeCell ref="C2220:C2221"/>
    <mergeCell ref="D2220:D2221"/>
    <mergeCell ref="E2220:E2221"/>
    <mergeCell ref="F2220:F2221"/>
    <mergeCell ref="F2180:F2182"/>
    <mergeCell ref="C2195:C2196"/>
    <mergeCell ref="D2195:D2196"/>
    <mergeCell ref="E2195:E2196"/>
    <mergeCell ref="F2195:F2196"/>
    <mergeCell ref="G2195:G2196"/>
    <mergeCell ref="D2192:D2194"/>
    <mergeCell ref="E2192:E2194"/>
    <mergeCell ref="F2192:F2194"/>
    <mergeCell ref="G2192:G2194"/>
    <mergeCell ref="A2197:A2198"/>
    <mergeCell ref="G2180:G2182"/>
    <mergeCell ref="G2189:G2191"/>
    <mergeCell ref="D2213:D2214"/>
    <mergeCell ref="G2213:G2214"/>
    <mergeCell ref="A2202:A2203"/>
    <mergeCell ref="B2202:B2203"/>
    <mergeCell ref="D2210:D2212"/>
    <mergeCell ref="E2210:E2212"/>
    <mergeCell ref="F2210:F2212"/>
    <mergeCell ref="G2211:G2212"/>
    <mergeCell ref="E2204:E2206"/>
    <mergeCell ref="G1676:G1677"/>
    <mergeCell ref="G1678:G1679"/>
    <mergeCell ref="G1680:G1681"/>
    <mergeCell ref="A1701:A1709"/>
    <mergeCell ref="B1701:B1709"/>
    <mergeCell ref="C1701:C1709"/>
    <mergeCell ref="G1710:G1712"/>
    <mergeCell ref="G1745:G1747"/>
    <mergeCell ref="G1720:G1721"/>
    <mergeCell ref="G1832:G1834"/>
    <mergeCell ref="A1699:A1700"/>
    <mergeCell ref="B1699:B1700"/>
    <mergeCell ref="D1699:D1700"/>
    <mergeCell ref="E1699:E1700"/>
    <mergeCell ref="F1699:F1700"/>
    <mergeCell ref="G1699:G1700"/>
    <mergeCell ref="F1829:F1831"/>
    <mergeCell ref="F1733:F1735"/>
    <mergeCell ref="A1692:A1693"/>
    <mergeCell ref="B1692:B1693"/>
    <mergeCell ref="C1692:C1693"/>
    <mergeCell ref="D1692:D1693"/>
    <mergeCell ref="A1690:A1691"/>
    <mergeCell ref="B1690:B1691"/>
    <mergeCell ref="C1690:C1691"/>
    <mergeCell ref="D1690:D1691"/>
    <mergeCell ref="E1690:E1691"/>
    <mergeCell ref="F1690:F1691"/>
    <mergeCell ref="E1687:E1689"/>
    <mergeCell ref="F1687:F1689"/>
    <mergeCell ref="A1682:A1686"/>
    <mergeCell ref="B1682:B1686"/>
    <mergeCell ref="B1664:B1670"/>
    <mergeCell ref="E1926:E1928"/>
    <mergeCell ref="F1926:F1928"/>
    <mergeCell ref="G1926:G1928"/>
    <mergeCell ref="C2235:C2236"/>
    <mergeCell ref="D2235:D2236"/>
    <mergeCell ref="A1729:A1730"/>
    <mergeCell ref="B1729:B1730"/>
    <mergeCell ref="C1729:C1730"/>
    <mergeCell ref="F1696:F1698"/>
    <mergeCell ref="G1696:G1698"/>
    <mergeCell ref="B1694:B1695"/>
    <mergeCell ref="C1694:C1695"/>
    <mergeCell ref="D1694:D1695"/>
    <mergeCell ref="E1694:E1695"/>
    <mergeCell ref="F1694:F1695"/>
    <mergeCell ref="B1716:B1718"/>
    <mergeCell ref="F1748:F1750"/>
    <mergeCell ref="A1832:A1834"/>
    <mergeCell ref="B1832:B1834"/>
    <mergeCell ref="A1719:A1725"/>
    <mergeCell ref="F2128:F2132"/>
    <mergeCell ref="A1829:A1831"/>
    <mergeCell ref="B1829:B1831"/>
    <mergeCell ref="F1845:F1853"/>
    <mergeCell ref="B1948:B1952"/>
    <mergeCell ref="F2125:F2127"/>
    <mergeCell ref="A2015:A2017"/>
    <mergeCell ref="A2114:A2115"/>
    <mergeCell ref="B2114:B2115"/>
    <mergeCell ref="C2114:C2115"/>
    <mergeCell ref="D2114:D2115"/>
    <mergeCell ref="G1702:G1703"/>
    <mergeCell ref="G1704:G1705"/>
    <mergeCell ref="G1706:G1707"/>
    <mergeCell ref="G1708:G1709"/>
    <mergeCell ref="F3201:F3207"/>
    <mergeCell ref="A3181:A3183"/>
    <mergeCell ref="B3181:B3183"/>
    <mergeCell ref="G2000:G2002"/>
    <mergeCell ref="F1953:F1955"/>
    <mergeCell ref="G2382:G2383"/>
    <mergeCell ref="A2388:A2394"/>
    <mergeCell ref="B2388:B2394"/>
    <mergeCell ref="C2388:C2394"/>
    <mergeCell ref="G3132:G3133"/>
    <mergeCell ref="F2253:F2257"/>
    <mergeCell ref="C1922:C1923"/>
    <mergeCell ref="D1922:D1923"/>
    <mergeCell ref="E1922:E1923"/>
    <mergeCell ref="E1948:E1952"/>
    <mergeCell ref="F1948:F1952"/>
    <mergeCell ref="A1953:A1955"/>
    <mergeCell ref="F1729:F1730"/>
    <mergeCell ref="G1729:G1730"/>
    <mergeCell ref="G1814:G1815"/>
    <mergeCell ref="A1835:A1836"/>
    <mergeCell ref="B1835:B1836"/>
    <mergeCell ref="C1835:C1836"/>
    <mergeCell ref="D1835:D1836"/>
    <mergeCell ref="E1835:E1836"/>
    <mergeCell ref="F1835:F1836"/>
    <mergeCell ref="G1835:G1836"/>
    <mergeCell ref="C2047:C2048"/>
    <mergeCell ref="E3253:E3257"/>
    <mergeCell ref="F3253:F3257"/>
    <mergeCell ref="G3262:G3263"/>
    <mergeCell ref="G3264:G3265"/>
    <mergeCell ref="A3248:A3252"/>
    <mergeCell ref="B3248:B3252"/>
    <mergeCell ref="C3248:C3252"/>
    <mergeCell ref="D3248:D3252"/>
    <mergeCell ref="E3248:E3252"/>
    <mergeCell ref="F3248:F3252"/>
    <mergeCell ref="G3249:G3250"/>
    <mergeCell ref="G3251:G3252"/>
    <mergeCell ref="A3258:A3260"/>
    <mergeCell ref="B3258:B3260"/>
    <mergeCell ref="C3258:C3260"/>
    <mergeCell ref="D3258:D3260"/>
    <mergeCell ref="E3258:E3260"/>
    <mergeCell ref="F3258:F3260"/>
    <mergeCell ref="G3254:G3255"/>
    <mergeCell ref="G3256:G3257"/>
    <mergeCell ref="G3259:G3260"/>
    <mergeCell ref="F3261:F3265"/>
    <mergeCell ref="E3261:E3265"/>
    <mergeCell ref="D3261:D3265"/>
    <mergeCell ref="C3261:C3265"/>
    <mergeCell ref="B3261:B3265"/>
    <mergeCell ref="A3261:A3265"/>
    <mergeCell ref="A3253:A3257"/>
    <mergeCell ref="B3253:B3257"/>
    <mergeCell ref="C3253:C3257"/>
    <mergeCell ref="D3253:D3257"/>
    <mergeCell ref="D3237:D3243"/>
    <mergeCell ref="E3237:E3243"/>
    <mergeCell ref="F3237:F3243"/>
    <mergeCell ref="G3238:G3239"/>
    <mergeCell ref="G3240:G3241"/>
    <mergeCell ref="G3242:G3243"/>
    <mergeCell ref="A3244:A3247"/>
    <mergeCell ref="B3244:B3247"/>
    <mergeCell ref="C3244:C3247"/>
    <mergeCell ref="D3244:D3247"/>
    <mergeCell ref="E3244:E3247"/>
    <mergeCell ref="F3244:F3247"/>
    <mergeCell ref="G3202:G3203"/>
    <mergeCell ref="G3204:G3205"/>
    <mergeCell ref="G3206:G3207"/>
    <mergeCell ref="A3215:A3221"/>
    <mergeCell ref="B3215:B3221"/>
    <mergeCell ref="C3215:C3221"/>
    <mergeCell ref="D3215:D3221"/>
    <mergeCell ref="E3215:E3221"/>
    <mergeCell ref="F3215:F3221"/>
    <mergeCell ref="G3216:G3217"/>
    <mergeCell ref="G3218:G3219"/>
    <mergeCell ref="G3220:G3221"/>
    <mergeCell ref="G3209:G3210"/>
    <mergeCell ref="G3211:G3212"/>
    <mergeCell ref="G3213:G3214"/>
    <mergeCell ref="A3208:A3214"/>
    <mergeCell ref="B3208:B3214"/>
    <mergeCell ref="C3208:C3214"/>
    <mergeCell ref="D3208:D3214"/>
    <mergeCell ref="E3208:E3214"/>
    <mergeCell ref="F3208:F3214"/>
    <mergeCell ref="A3201:A3207"/>
    <mergeCell ref="B3201:B3207"/>
    <mergeCell ref="C3201:C3207"/>
    <mergeCell ref="D3201:D3207"/>
    <mergeCell ref="E3201:E3207"/>
    <mergeCell ref="A3194:A3200"/>
    <mergeCell ref="B3194:B3200"/>
    <mergeCell ref="C3194:C3200"/>
    <mergeCell ref="D3194:D3200"/>
    <mergeCell ref="E3194:E3200"/>
    <mergeCell ref="F3194:F3200"/>
    <mergeCell ref="G3195:G3196"/>
    <mergeCell ref="G3197:G3198"/>
    <mergeCell ref="G3199:G3200"/>
    <mergeCell ref="A3184:A3186"/>
    <mergeCell ref="B3184:B3186"/>
    <mergeCell ref="C3184:C3186"/>
    <mergeCell ref="D3184:D3186"/>
    <mergeCell ref="E3184:E3186"/>
    <mergeCell ref="F3184:F3186"/>
    <mergeCell ref="G3185:G3186"/>
    <mergeCell ref="A3187:A3193"/>
    <mergeCell ref="B3187:B3193"/>
    <mergeCell ref="C3187:C3193"/>
    <mergeCell ref="D3187:D3193"/>
    <mergeCell ref="E3187:E3193"/>
    <mergeCell ref="F3187:F3193"/>
    <mergeCell ref="G3188:G3189"/>
    <mergeCell ref="G3190:G3191"/>
    <mergeCell ref="G3192:G3193"/>
    <mergeCell ref="E3181:E3183"/>
    <mergeCell ref="F3181:F3183"/>
    <mergeCell ref="G3182:G3183"/>
    <mergeCell ref="B3078:B3080"/>
    <mergeCell ref="C3078:C3080"/>
    <mergeCell ref="D3078:D3080"/>
    <mergeCell ref="E3078:E3080"/>
    <mergeCell ref="F3078:F3080"/>
    <mergeCell ref="G3079:G3080"/>
    <mergeCell ref="D3073:D3077"/>
    <mergeCell ref="E3073:E3077"/>
    <mergeCell ref="F3073:F3077"/>
    <mergeCell ref="F3086:F3088"/>
    <mergeCell ref="C3181:C3183"/>
    <mergeCell ref="D3181:D3183"/>
    <mergeCell ref="G3096:G3097"/>
    <mergeCell ref="B3135:B3141"/>
    <mergeCell ref="C3135:C3141"/>
    <mergeCell ref="G3139:G3141"/>
    <mergeCell ref="E3109:E3111"/>
    <mergeCell ref="D3131:D3133"/>
    <mergeCell ref="G3090:G3091"/>
    <mergeCell ref="C3086:C3088"/>
    <mergeCell ref="D3086:D3088"/>
    <mergeCell ref="E3086:E3088"/>
    <mergeCell ref="G3099:G3100"/>
    <mergeCell ref="G3087:G3088"/>
    <mergeCell ref="G3092:G3094"/>
    <mergeCell ref="F3124:F3125"/>
    <mergeCell ref="C3106:C3108"/>
    <mergeCell ref="D3106:D3108"/>
    <mergeCell ref="E3106:E3108"/>
    <mergeCell ref="G3117:G3119"/>
    <mergeCell ref="A3052:A3054"/>
    <mergeCell ref="B3052:B3054"/>
    <mergeCell ref="C3052:C3054"/>
    <mergeCell ref="D3052:D3054"/>
    <mergeCell ref="A3065:A3069"/>
    <mergeCell ref="B3065:B3069"/>
    <mergeCell ref="C3065:C3069"/>
    <mergeCell ref="D3065:D3069"/>
    <mergeCell ref="E3065:E3069"/>
    <mergeCell ref="F3065:F3069"/>
    <mergeCell ref="G3066:G3067"/>
    <mergeCell ref="G3068:G3069"/>
    <mergeCell ref="C3092:C3094"/>
    <mergeCell ref="D3092:D3094"/>
    <mergeCell ref="E3092:E3094"/>
    <mergeCell ref="F3092:F3094"/>
    <mergeCell ref="A3106:A3108"/>
    <mergeCell ref="B3106:B3108"/>
    <mergeCell ref="A3073:A3077"/>
    <mergeCell ref="E3070:E3072"/>
    <mergeCell ref="F3070:F3072"/>
    <mergeCell ref="G3070:G3072"/>
    <mergeCell ref="B3073:B3077"/>
    <mergeCell ref="C3073:C3077"/>
    <mergeCell ref="G3074:G3077"/>
    <mergeCell ref="A3078:A3080"/>
    <mergeCell ref="A3095:A3097"/>
    <mergeCell ref="G2631:G2632"/>
    <mergeCell ref="G2656:G2657"/>
    <mergeCell ref="G2713:G2714"/>
    <mergeCell ref="D2740:D2744"/>
    <mergeCell ref="G2771:G2773"/>
    <mergeCell ref="A2661:A2667"/>
    <mergeCell ref="B2661:B2667"/>
    <mergeCell ref="C2740:C2744"/>
    <mergeCell ref="E2768:E2770"/>
    <mergeCell ref="G2798:G2800"/>
    <mergeCell ref="A2804:A2806"/>
    <mergeCell ref="B2804:B2806"/>
    <mergeCell ref="C2804:C2806"/>
    <mergeCell ref="D2804:D2806"/>
    <mergeCell ref="E2804:E2806"/>
    <mergeCell ref="F2804:F2806"/>
    <mergeCell ref="A2872:A2874"/>
    <mergeCell ref="B2872:B2874"/>
    <mergeCell ref="C2872:C2874"/>
    <mergeCell ref="D2872:D2874"/>
    <mergeCell ref="E2872:E2874"/>
    <mergeCell ref="F2872:F2874"/>
    <mergeCell ref="B2630:B2632"/>
    <mergeCell ref="D2633:D2635"/>
    <mergeCell ref="E2633:E2635"/>
    <mergeCell ref="F2633:F2635"/>
    <mergeCell ref="G2787:G2788"/>
    <mergeCell ref="A2771:A2773"/>
    <mergeCell ref="B2771:B2773"/>
    <mergeCell ref="C2759:C2761"/>
    <mergeCell ref="D2759:D2761"/>
    <mergeCell ref="A2777:A2779"/>
    <mergeCell ref="A3178:A3180"/>
    <mergeCell ref="B3178:B3180"/>
    <mergeCell ref="C3178:C3180"/>
    <mergeCell ref="D3178:D3180"/>
    <mergeCell ref="E3178:E3180"/>
    <mergeCell ref="F3178:F3180"/>
    <mergeCell ref="G3178:G3180"/>
    <mergeCell ref="F2895:F2898"/>
    <mergeCell ref="G2895:G2898"/>
    <mergeCell ref="G2637:G2638"/>
    <mergeCell ref="C2456:C2458"/>
    <mergeCell ref="F3049:F3050"/>
    <mergeCell ref="G2634:G2635"/>
    <mergeCell ref="G2625:G2626"/>
    <mergeCell ref="A2633:A2635"/>
    <mergeCell ref="A3046:A3048"/>
    <mergeCell ref="B3046:B3048"/>
    <mergeCell ref="C3046:C3048"/>
    <mergeCell ref="D3046:D3048"/>
    <mergeCell ref="E3046:E3048"/>
    <mergeCell ref="F3046:F3048"/>
    <mergeCell ref="F2614:F2616"/>
    <mergeCell ref="G2615:G2616"/>
    <mergeCell ref="A2624:A2626"/>
    <mergeCell ref="B2624:B2626"/>
    <mergeCell ref="C2624:C2626"/>
    <mergeCell ref="C2630:C2632"/>
    <mergeCell ref="D2630:D2632"/>
    <mergeCell ref="E2630:E2632"/>
    <mergeCell ref="F2630:F2632"/>
    <mergeCell ref="A2614:A2616"/>
    <mergeCell ref="B2614:B2616"/>
    <mergeCell ref="C2360:C2362"/>
    <mergeCell ref="F2360:F2362"/>
    <mergeCell ref="E2363:E2365"/>
    <mergeCell ref="A2356:A2359"/>
    <mergeCell ref="A2368:A2370"/>
    <mergeCell ref="A1103:A1106"/>
    <mergeCell ref="B1103:B1106"/>
    <mergeCell ref="C1103:C1106"/>
    <mergeCell ref="D1103:D1106"/>
    <mergeCell ref="E1103:E1106"/>
    <mergeCell ref="F1103:F1106"/>
    <mergeCell ref="C1113:C1115"/>
    <mergeCell ref="D1113:D1115"/>
    <mergeCell ref="E1113:E1115"/>
    <mergeCell ref="F1113:F1115"/>
    <mergeCell ref="A1116:A1119"/>
    <mergeCell ref="B1116:B1119"/>
    <mergeCell ref="C1116:C1119"/>
    <mergeCell ref="D1748:D1750"/>
    <mergeCell ref="E1748:E1750"/>
    <mergeCell ref="A1716:A1718"/>
    <mergeCell ref="A1664:A1670"/>
    <mergeCell ref="F1710:F1712"/>
    <mergeCell ref="D1696:D1698"/>
    <mergeCell ref="E1710:E1712"/>
    <mergeCell ref="B1671:B1672"/>
    <mergeCell ref="C1671:C1672"/>
    <mergeCell ref="A1710:A1712"/>
    <mergeCell ref="D1671:D1672"/>
    <mergeCell ref="F1701:F1709"/>
    <mergeCell ref="C1687:C1689"/>
    <mergeCell ref="D1687:D1689"/>
    <mergeCell ref="D719:D721"/>
    <mergeCell ref="E719:E721"/>
    <mergeCell ref="F779:F781"/>
    <mergeCell ref="G725:G726"/>
    <mergeCell ref="C742:C743"/>
    <mergeCell ref="D742:D743"/>
    <mergeCell ref="E742:E743"/>
    <mergeCell ref="A690:A692"/>
    <mergeCell ref="B690:B692"/>
    <mergeCell ref="B711:B713"/>
    <mergeCell ref="G773:G774"/>
    <mergeCell ref="B681:B683"/>
    <mergeCell ref="C681:C683"/>
    <mergeCell ref="D681:D683"/>
    <mergeCell ref="E681:E683"/>
    <mergeCell ref="F681:F683"/>
    <mergeCell ref="G681:G683"/>
    <mergeCell ref="C766:C774"/>
    <mergeCell ref="C734:C738"/>
    <mergeCell ref="A684:A686"/>
    <mergeCell ref="B742:B743"/>
    <mergeCell ref="B779:B781"/>
    <mergeCell ref="C779:C781"/>
    <mergeCell ref="D734:D738"/>
    <mergeCell ref="E734:E738"/>
    <mergeCell ref="A722:A730"/>
    <mergeCell ref="A766:A774"/>
    <mergeCell ref="B766:B774"/>
    <mergeCell ref="G690:G692"/>
    <mergeCell ref="E690:E692"/>
    <mergeCell ref="E703:E705"/>
    <mergeCell ref="G1398:G1399"/>
    <mergeCell ref="F1395:F1399"/>
    <mergeCell ref="F1359:F1362"/>
    <mergeCell ref="D831:D832"/>
    <mergeCell ref="E831:E832"/>
    <mergeCell ref="F831:F832"/>
    <mergeCell ref="G831:G832"/>
    <mergeCell ref="G1317:G1320"/>
    <mergeCell ref="G1321:G1324"/>
    <mergeCell ref="G1301:G1302"/>
    <mergeCell ref="G1346:G1347"/>
    <mergeCell ref="G1348:G1349"/>
    <mergeCell ref="G1350:G1351"/>
    <mergeCell ref="G1352:G1353"/>
    <mergeCell ref="G1354:G1355"/>
    <mergeCell ref="G1374:G1375"/>
    <mergeCell ref="G1376:G1377"/>
    <mergeCell ref="G1023:G1024"/>
    <mergeCell ref="G884:G885"/>
    <mergeCell ref="D1016:D1017"/>
    <mergeCell ref="G1128:G1130"/>
    <mergeCell ref="G1069:G1070"/>
    <mergeCell ref="F931:F932"/>
    <mergeCell ref="D1253:D1255"/>
    <mergeCell ref="F1283:F1285"/>
    <mergeCell ref="G1194:G1196"/>
    <mergeCell ref="G1329:G1331"/>
    <mergeCell ref="G1254:G1255"/>
    <mergeCell ref="E1165:E1166"/>
    <mergeCell ref="F1165:F1166"/>
    <mergeCell ref="F1143:F1145"/>
    <mergeCell ref="F1131:F1133"/>
    <mergeCell ref="G1325:G1328"/>
    <mergeCell ref="B1146:B1147"/>
    <mergeCell ref="C1172:C1176"/>
    <mergeCell ref="B1222:B1223"/>
    <mergeCell ref="C1222:C1223"/>
    <mergeCell ref="D1222:D1223"/>
    <mergeCell ref="D1317:D1320"/>
    <mergeCell ref="E1317:E1320"/>
    <mergeCell ref="B1224:B1226"/>
    <mergeCell ref="C1224:C1226"/>
    <mergeCell ref="B1274:B1276"/>
    <mergeCell ref="C1274:C1276"/>
    <mergeCell ref="D1274:D1276"/>
    <mergeCell ref="B1177:B1180"/>
    <mergeCell ref="C1177:C1180"/>
    <mergeCell ref="B1120:B1123"/>
    <mergeCell ref="C1120:C1123"/>
    <mergeCell ref="D1120:D1123"/>
    <mergeCell ref="B1283:B1285"/>
    <mergeCell ref="C1283:C1285"/>
    <mergeCell ref="D1143:D1145"/>
    <mergeCell ref="F1155:F1157"/>
    <mergeCell ref="C1155:C1157"/>
    <mergeCell ref="D1155:D1157"/>
    <mergeCell ref="G1230:G1231"/>
    <mergeCell ref="B1267:B1270"/>
    <mergeCell ref="B1259:B1261"/>
    <mergeCell ref="C1259:C1261"/>
    <mergeCell ref="D1294:D1296"/>
    <mergeCell ref="B1292:B1293"/>
    <mergeCell ref="E1292:E1293"/>
    <mergeCell ref="C1262:C1263"/>
    <mergeCell ref="G863:G864"/>
    <mergeCell ref="D1271:D1273"/>
    <mergeCell ref="D1084:D1086"/>
    <mergeCell ref="E1197:E1198"/>
    <mergeCell ref="E1116:E1119"/>
    <mergeCell ref="D1005:D1006"/>
    <mergeCell ref="E1005:E1006"/>
    <mergeCell ref="F1005:F1006"/>
    <mergeCell ref="D1019:D1021"/>
    <mergeCell ref="G868:G870"/>
    <mergeCell ref="D863:D864"/>
    <mergeCell ref="E863:E864"/>
    <mergeCell ref="C1162:C1164"/>
    <mergeCell ref="D1162:D1164"/>
    <mergeCell ref="E1162:E1164"/>
    <mergeCell ref="F1162:F1164"/>
    <mergeCell ref="G1211:G1212"/>
    <mergeCell ref="G1213:G1214"/>
    <mergeCell ref="E1181:E1183"/>
    <mergeCell ref="D1095:D1098"/>
    <mergeCell ref="E1095:E1098"/>
    <mergeCell ref="D1099:D1102"/>
    <mergeCell ref="E1160:E1161"/>
    <mergeCell ref="F1224:F1226"/>
    <mergeCell ref="F1235:F1236"/>
    <mergeCell ref="D884:D885"/>
    <mergeCell ref="F865:F867"/>
    <mergeCell ref="G865:G867"/>
    <mergeCell ref="D944:D945"/>
    <mergeCell ref="E944:E945"/>
    <mergeCell ref="F944:F945"/>
    <mergeCell ref="G944:G945"/>
    <mergeCell ref="E815:E818"/>
    <mergeCell ref="F815:F818"/>
    <mergeCell ref="G815:G818"/>
    <mergeCell ref="G1052:G1056"/>
    <mergeCell ref="E1057:E1059"/>
    <mergeCell ref="F1120:F1123"/>
    <mergeCell ref="G843:G844"/>
    <mergeCell ref="F819:F822"/>
    <mergeCell ref="G1222:G1223"/>
    <mergeCell ref="F1227:F1229"/>
    <mergeCell ref="G1227:G1229"/>
    <mergeCell ref="G1209:G1210"/>
    <mergeCell ref="D1224:D1226"/>
    <mergeCell ref="E1224:E1226"/>
    <mergeCell ref="G1066:G1068"/>
    <mergeCell ref="F1148:F1154"/>
    <mergeCell ref="C1317:C1320"/>
    <mergeCell ref="G1146:G1147"/>
    <mergeCell ref="G1158:G1159"/>
    <mergeCell ref="E1143:E1145"/>
    <mergeCell ref="G1149:G1151"/>
    <mergeCell ref="G1152:G1154"/>
    <mergeCell ref="G819:G822"/>
    <mergeCell ref="G959:G960"/>
    <mergeCell ref="E958:E960"/>
    <mergeCell ref="G1071:G1073"/>
    <mergeCell ref="D823:D825"/>
    <mergeCell ref="E823:E825"/>
    <mergeCell ref="F823:F825"/>
    <mergeCell ref="G823:G825"/>
    <mergeCell ref="G1131:G1133"/>
    <mergeCell ref="F1011:F1012"/>
    <mergeCell ref="D1418:D1426"/>
    <mergeCell ref="E1418:E1426"/>
    <mergeCell ref="F1418:F1426"/>
    <mergeCell ref="C1386:C1387"/>
    <mergeCell ref="D1386:D1387"/>
    <mergeCell ref="E1172:E1176"/>
    <mergeCell ref="F1172:F1176"/>
    <mergeCell ref="F1186:F1190"/>
    <mergeCell ref="F1194:F1196"/>
    <mergeCell ref="C1032:C1034"/>
    <mergeCell ref="D1032:D1034"/>
    <mergeCell ref="D1077:D1079"/>
    <mergeCell ref="D1081:D1083"/>
    <mergeCell ref="C1134:C1135"/>
    <mergeCell ref="D1134:D1135"/>
    <mergeCell ref="E1134:E1135"/>
    <mergeCell ref="D1177:D1180"/>
    <mergeCell ref="C1363:C1365"/>
    <mergeCell ref="D1363:D1365"/>
    <mergeCell ref="F1110:F1112"/>
    <mergeCell ref="F1292:F1293"/>
    <mergeCell ref="E1281:E1282"/>
    <mergeCell ref="E1042:E1044"/>
    <mergeCell ref="F1336:F1344"/>
    <mergeCell ref="F1321:F1324"/>
    <mergeCell ref="E1297:E1299"/>
    <mergeCell ref="E1329:E1331"/>
    <mergeCell ref="E1271:E1273"/>
    <mergeCell ref="C1267:C1270"/>
    <mergeCell ref="E1277:E1278"/>
    <mergeCell ref="C1294:C1296"/>
    <mergeCell ref="G1356:G1358"/>
    <mergeCell ref="G1216:G1217"/>
    <mergeCell ref="G1242:G1243"/>
    <mergeCell ref="E1120:E1123"/>
    <mergeCell ref="F1325:F1328"/>
    <mergeCell ref="D1087:D1090"/>
    <mergeCell ref="C1230:C1231"/>
    <mergeCell ref="D1230:D1231"/>
    <mergeCell ref="E1230:E1231"/>
    <mergeCell ref="F1230:F1231"/>
    <mergeCell ref="C1084:C1086"/>
    <mergeCell ref="F1356:F1358"/>
    <mergeCell ref="E931:E932"/>
    <mergeCell ref="F1091:F1094"/>
    <mergeCell ref="G1014:G1015"/>
    <mergeCell ref="E1155:E1157"/>
    <mergeCell ref="C961:C962"/>
    <mergeCell ref="G1162:G1164"/>
    <mergeCell ref="E1194:E1196"/>
    <mergeCell ref="F1181:F1183"/>
    <mergeCell ref="C1057:C1059"/>
    <mergeCell ref="D1057:D1059"/>
    <mergeCell ref="F1039:F1041"/>
    <mergeCell ref="E1184:E1185"/>
    <mergeCell ref="G1297:G1299"/>
    <mergeCell ref="F1197:F1198"/>
    <mergeCell ref="D978:D984"/>
    <mergeCell ref="C1099:C1102"/>
    <mergeCell ref="D1128:D1130"/>
    <mergeCell ref="F1294:F1296"/>
    <mergeCell ref="E978:E984"/>
    <mergeCell ref="E1125:E1127"/>
    <mergeCell ref="G1007:G1008"/>
    <mergeCell ref="G875:G877"/>
    <mergeCell ref="G878:G880"/>
    <mergeCell ref="G881:G883"/>
    <mergeCell ref="G1262:G1263"/>
    <mergeCell ref="C1005:C1006"/>
    <mergeCell ref="C1019:C1021"/>
    <mergeCell ref="C1007:C1008"/>
    <mergeCell ref="E501:E503"/>
    <mergeCell ref="E541:E543"/>
    <mergeCell ref="C1332:C1335"/>
    <mergeCell ref="D1332:D1335"/>
    <mergeCell ref="E1332:E1335"/>
    <mergeCell ref="F1332:F1335"/>
    <mergeCell ref="C1131:C1133"/>
    <mergeCell ref="D1325:D1328"/>
    <mergeCell ref="C1060:C1062"/>
    <mergeCell ref="D1292:D1293"/>
    <mergeCell ref="E1274:E1276"/>
    <mergeCell ref="F1274:F1276"/>
    <mergeCell ref="C1321:C1324"/>
    <mergeCell ref="E1011:E1012"/>
    <mergeCell ref="G1049:G1051"/>
    <mergeCell ref="F1208:F1214"/>
    <mergeCell ref="F1158:F1159"/>
    <mergeCell ref="F1222:F1223"/>
    <mergeCell ref="E791:E792"/>
    <mergeCell ref="F791:F792"/>
    <mergeCell ref="D1172:D1176"/>
    <mergeCell ref="E1084:E1086"/>
    <mergeCell ref="F1084:F1086"/>
    <mergeCell ref="G1084:G1086"/>
    <mergeCell ref="E1019:E1021"/>
    <mergeCell ref="F1019:F1021"/>
    <mergeCell ref="G1177:G1180"/>
    <mergeCell ref="G1257:G1258"/>
    <mergeCell ref="G1224:G1226"/>
    <mergeCell ref="F1128:F1130"/>
    <mergeCell ref="E871:E873"/>
    <mergeCell ref="F871:F873"/>
    <mergeCell ref="G871:G873"/>
    <mergeCell ref="E1077:E1079"/>
    <mergeCell ref="E1146:E1147"/>
    <mergeCell ref="F1146:F1147"/>
    <mergeCell ref="D1027:D1031"/>
    <mergeCell ref="D1107:D1109"/>
    <mergeCell ref="E1186:E1190"/>
    <mergeCell ref="E1177:E1180"/>
    <mergeCell ref="F1177:F1180"/>
    <mergeCell ref="F1071:F1073"/>
    <mergeCell ref="D1071:D1073"/>
    <mergeCell ref="E1099:E1102"/>
    <mergeCell ref="F1184:F1185"/>
    <mergeCell ref="D1042:D1044"/>
    <mergeCell ref="F1049:F1051"/>
    <mergeCell ref="F1116:F1119"/>
    <mergeCell ref="F1087:F1090"/>
    <mergeCell ref="E1227:E1229"/>
    <mergeCell ref="E1220:E1221"/>
    <mergeCell ref="E1235:E1236"/>
    <mergeCell ref="E1256:E1258"/>
    <mergeCell ref="E946:E950"/>
    <mergeCell ref="F946:F950"/>
    <mergeCell ref="F961:F962"/>
    <mergeCell ref="G800:G802"/>
    <mergeCell ref="G803:G805"/>
    <mergeCell ref="F363:F365"/>
    <mergeCell ref="E446:E448"/>
    <mergeCell ref="G386:G387"/>
    <mergeCell ref="F401:F404"/>
    <mergeCell ref="G363:G365"/>
    <mergeCell ref="E373:E375"/>
    <mergeCell ref="F388:F390"/>
    <mergeCell ref="G388:G390"/>
    <mergeCell ref="D376:D378"/>
    <mergeCell ref="G1332:G1335"/>
    <mergeCell ref="F843:F844"/>
    <mergeCell ref="F1134:F1135"/>
    <mergeCell ref="F1281:F1282"/>
    <mergeCell ref="G1281:G1282"/>
    <mergeCell ref="G1267:G1270"/>
    <mergeCell ref="G1271:G1273"/>
    <mergeCell ref="G1259:G1261"/>
    <mergeCell ref="G1264:G1266"/>
    <mergeCell ref="G1201:G1202"/>
    <mergeCell ref="G1203:G1204"/>
    <mergeCell ref="F1060:F1062"/>
    <mergeCell ref="F1095:F1098"/>
    <mergeCell ref="G1274:G1276"/>
    <mergeCell ref="F501:F503"/>
    <mergeCell ref="F411:F415"/>
    <mergeCell ref="F616:F618"/>
    <mergeCell ref="E649:E657"/>
    <mergeCell ref="F1009:F1010"/>
    <mergeCell ref="F589:F591"/>
    <mergeCell ref="D619:D621"/>
    <mergeCell ref="E619:E621"/>
    <mergeCell ref="F619:F621"/>
    <mergeCell ref="E492:E500"/>
    <mergeCell ref="F492:F500"/>
    <mergeCell ref="G420:G422"/>
    <mergeCell ref="G376:G378"/>
    <mergeCell ref="E388:E390"/>
    <mergeCell ref="D383:D385"/>
    <mergeCell ref="E383:E385"/>
    <mergeCell ref="G475:G476"/>
    <mergeCell ref="G446:G448"/>
    <mergeCell ref="G426:G427"/>
    <mergeCell ref="E398:E400"/>
    <mergeCell ref="F379:F382"/>
    <mergeCell ref="G379:G382"/>
    <mergeCell ref="F451:F459"/>
    <mergeCell ref="E423:E431"/>
    <mergeCell ref="E416:E422"/>
    <mergeCell ref="E394:E397"/>
    <mergeCell ref="F376:F378"/>
    <mergeCell ref="E376:E378"/>
    <mergeCell ref="G401:G404"/>
    <mergeCell ref="F432:F440"/>
    <mergeCell ref="E583:E585"/>
    <mergeCell ref="F583:F585"/>
    <mergeCell ref="G583:G585"/>
    <mergeCell ref="E441:E445"/>
    <mergeCell ref="F423:F431"/>
    <mergeCell ref="F446:F448"/>
    <mergeCell ref="G454:G455"/>
    <mergeCell ref="G456:G457"/>
    <mergeCell ref="G458:G459"/>
    <mergeCell ref="A955:A957"/>
    <mergeCell ref="F1013:F1015"/>
    <mergeCell ref="D1013:D1015"/>
    <mergeCell ref="E999:E1000"/>
    <mergeCell ref="F999:F1000"/>
    <mergeCell ref="F987:F988"/>
    <mergeCell ref="F276:F280"/>
    <mergeCell ref="G205:G207"/>
    <mergeCell ref="G414:G415"/>
    <mergeCell ref="F394:F397"/>
    <mergeCell ref="G394:G397"/>
    <mergeCell ref="G501:G503"/>
    <mergeCell ref="G547:G549"/>
    <mergeCell ref="G631:G633"/>
    <mergeCell ref="F711:F713"/>
    <mergeCell ref="G711:G713"/>
    <mergeCell ref="F303:F305"/>
    <mergeCell ref="G373:G375"/>
    <mergeCell ref="G309:G311"/>
    <mergeCell ref="G300:G302"/>
    <mergeCell ref="F274:F275"/>
    <mergeCell ref="G493:G494"/>
    <mergeCell ref="G495:G496"/>
    <mergeCell ref="G497:G498"/>
    <mergeCell ref="G499:G500"/>
    <mergeCell ref="F547:F549"/>
    <mergeCell ref="F205:F207"/>
    <mergeCell ref="G539:G540"/>
    <mergeCell ref="D1009:D1010"/>
    <mergeCell ref="E1009:E1010"/>
    <mergeCell ref="F306:F308"/>
    <mergeCell ref="F541:F543"/>
    <mergeCell ref="A1019:A1021"/>
    <mergeCell ref="A708:A710"/>
    <mergeCell ref="B791:B792"/>
    <mergeCell ref="C791:C792"/>
    <mergeCell ref="A999:A1000"/>
    <mergeCell ref="B999:B1000"/>
    <mergeCell ref="C999:C1000"/>
    <mergeCell ref="E793:E811"/>
    <mergeCell ref="A739:A741"/>
    <mergeCell ref="B739:B741"/>
    <mergeCell ref="C739:C741"/>
    <mergeCell ref="D739:D741"/>
    <mergeCell ref="E739:E741"/>
    <mergeCell ref="F739:F741"/>
    <mergeCell ref="C863:C864"/>
    <mergeCell ref="D789:D790"/>
    <mergeCell ref="E789:E790"/>
    <mergeCell ref="F789:F790"/>
    <mergeCell ref="D871:D873"/>
    <mergeCell ref="A958:A960"/>
    <mergeCell ref="A931:A932"/>
    <mergeCell ref="B931:B932"/>
    <mergeCell ref="C931:C932"/>
    <mergeCell ref="C1016:C1017"/>
    <mergeCell ref="E992:E994"/>
    <mergeCell ref="B955:B957"/>
    <mergeCell ref="D1007:D1008"/>
    <mergeCell ref="B1019:B1021"/>
    <mergeCell ref="D722:D730"/>
    <mergeCell ref="B793:B811"/>
    <mergeCell ref="C793:C811"/>
    <mergeCell ref="D791:D792"/>
    <mergeCell ref="A247:A249"/>
    <mergeCell ref="B247:B249"/>
    <mergeCell ref="A306:A308"/>
    <mergeCell ref="B276:B280"/>
    <mergeCell ref="A276:A280"/>
    <mergeCell ref="A299:A302"/>
    <mergeCell ref="B299:B302"/>
    <mergeCell ref="C299:C302"/>
    <mergeCell ref="D299:D302"/>
    <mergeCell ref="E299:E302"/>
    <mergeCell ref="D303:D305"/>
    <mergeCell ref="E250:E254"/>
    <mergeCell ref="G729:G730"/>
    <mergeCell ref="G303:G305"/>
    <mergeCell ref="F405:F408"/>
    <mergeCell ref="G405:G408"/>
    <mergeCell ref="G465:G467"/>
    <mergeCell ref="G622:G624"/>
    <mergeCell ref="G719:G721"/>
    <mergeCell ref="G462:G464"/>
    <mergeCell ref="D501:D503"/>
    <mergeCell ref="G428:G429"/>
    <mergeCell ref="G430:G431"/>
    <mergeCell ref="E409:E410"/>
    <mergeCell ref="F409:F410"/>
    <mergeCell ref="G409:G410"/>
    <mergeCell ref="F398:F400"/>
    <mergeCell ref="D423:D431"/>
    <mergeCell ref="A649:A657"/>
    <mergeCell ref="G505:G506"/>
    <mergeCell ref="G507:G510"/>
    <mergeCell ref="D492:D500"/>
    <mergeCell ref="B409:B410"/>
    <mergeCell ref="D405:D408"/>
    <mergeCell ref="B358:B359"/>
    <mergeCell ref="C358:C359"/>
    <mergeCell ref="A256:A264"/>
    <mergeCell ref="B256:B264"/>
    <mergeCell ref="A312:A324"/>
    <mergeCell ref="D276:D280"/>
    <mergeCell ref="A293:A294"/>
    <mergeCell ref="B274:B275"/>
    <mergeCell ref="C274:C275"/>
    <mergeCell ref="D274:D275"/>
    <mergeCell ref="B303:B305"/>
    <mergeCell ref="C303:C305"/>
    <mergeCell ref="B293:B294"/>
    <mergeCell ref="A274:A275"/>
    <mergeCell ref="D256:D264"/>
    <mergeCell ref="A309:A311"/>
    <mergeCell ref="B309:B311"/>
    <mergeCell ref="C256:C264"/>
    <mergeCell ref="A290:A292"/>
    <mergeCell ref="B290:B292"/>
    <mergeCell ref="C290:C292"/>
    <mergeCell ref="D290:D292"/>
    <mergeCell ref="A295:A298"/>
    <mergeCell ref="A303:A305"/>
    <mergeCell ref="D306:D308"/>
    <mergeCell ref="E693:E697"/>
    <mergeCell ref="C690:C692"/>
    <mergeCell ref="A681:A683"/>
    <mergeCell ref="E668:E671"/>
    <mergeCell ref="D706:D707"/>
    <mergeCell ref="A383:A385"/>
    <mergeCell ref="B383:B385"/>
    <mergeCell ref="C383:C385"/>
    <mergeCell ref="E325:E346"/>
    <mergeCell ref="E276:E280"/>
    <mergeCell ref="D293:D294"/>
    <mergeCell ref="A281:A289"/>
    <mergeCell ref="B281:B289"/>
    <mergeCell ref="C281:C289"/>
    <mergeCell ref="B423:B431"/>
    <mergeCell ref="E312:E324"/>
    <mergeCell ref="A348:A349"/>
    <mergeCell ref="A373:A375"/>
    <mergeCell ref="D373:D375"/>
    <mergeCell ref="A325:A346"/>
    <mergeCell ref="B325:B346"/>
    <mergeCell ref="E432:E440"/>
    <mergeCell ref="B348:B349"/>
    <mergeCell ref="C348:C349"/>
    <mergeCell ref="D348:D349"/>
    <mergeCell ref="A358:A359"/>
    <mergeCell ref="D281:D289"/>
    <mergeCell ref="E360:E362"/>
    <mergeCell ref="D295:D298"/>
    <mergeCell ref="E295:E298"/>
    <mergeCell ref="B366:B372"/>
    <mergeCell ref="B398:B400"/>
    <mergeCell ref="B865:B867"/>
    <mergeCell ref="B555:B557"/>
    <mergeCell ref="A791:A792"/>
    <mergeCell ref="A742:A743"/>
    <mergeCell ref="C586:C588"/>
    <mergeCell ref="A793:A811"/>
    <mergeCell ref="A628:A630"/>
    <mergeCell ref="B628:B630"/>
    <mergeCell ref="C628:C630"/>
    <mergeCell ref="B787:B788"/>
    <mergeCell ref="C787:C788"/>
    <mergeCell ref="F668:F671"/>
    <mergeCell ref="A693:A697"/>
    <mergeCell ref="A701:A702"/>
    <mergeCell ref="B701:B702"/>
    <mergeCell ref="E766:E774"/>
    <mergeCell ref="F766:F774"/>
    <mergeCell ref="D766:D774"/>
    <mergeCell ref="A734:A738"/>
    <mergeCell ref="C722:C730"/>
    <mergeCell ref="A753:A755"/>
    <mergeCell ref="C762:C763"/>
    <mergeCell ref="A703:A705"/>
    <mergeCell ref="B703:B705"/>
    <mergeCell ref="C703:C705"/>
    <mergeCell ref="D703:D705"/>
    <mergeCell ref="B759:B761"/>
    <mergeCell ref="C759:C761"/>
    <mergeCell ref="D759:D761"/>
    <mergeCell ref="E759:E761"/>
    <mergeCell ref="F759:F761"/>
    <mergeCell ref="A750:A752"/>
    <mergeCell ref="B789:B790"/>
    <mergeCell ref="C789:C790"/>
    <mergeCell ref="A863:A864"/>
    <mergeCell ref="B863:B864"/>
    <mergeCell ref="A547:A549"/>
    <mergeCell ref="B547:B549"/>
    <mergeCell ref="A589:A591"/>
    <mergeCell ref="B589:B591"/>
    <mergeCell ref="C589:C591"/>
    <mergeCell ref="A586:A588"/>
    <mergeCell ref="B586:B588"/>
    <mergeCell ref="B600:B615"/>
    <mergeCell ref="C600:C615"/>
    <mergeCell ref="B649:B657"/>
    <mergeCell ref="C649:C657"/>
    <mergeCell ref="A668:A671"/>
    <mergeCell ref="A619:A621"/>
    <mergeCell ref="B619:B621"/>
    <mergeCell ref="C619:C621"/>
    <mergeCell ref="C819:C822"/>
    <mergeCell ref="B750:B752"/>
    <mergeCell ref="B668:B671"/>
    <mergeCell ref="B719:B721"/>
    <mergeCell ref="C719:C721"/>
    <mergeCell ref="A855:A857"/>
    <mergeCell ref="B855:B857"/>
    <mergeCell ref="C855:C857"/>
    <mergeCell ref="A1222:A1223"/>
    <mergeCell ref="A1091:A1094"/>
    <mergeCell ref="B1091:B1094"/>
    <mergeCell ref="E1074:E1076"/>
    <mergeCell ref="F1074:F1076"/>
    <mergeCell ref="E1007:E1008"/>
    <mergeCell ref="C1071:C1073"/>
    <mergeCell ref="A1007:A1008"/>
    <mergeCell ref="B1007:B1008"/>
    <mergeCell ref="E1013:E1015"/>
    <mergeCell ref="E1071:E1073"/>
    <mergeCell ref="A1066:A1070"/>
    <mergeCell ref="B1022:B1026"/>
    <mergeCell ref="C1022:C1026"/>
    <mergeCell ref="D1066:D1070"/>
    <mergeCell ref="C1013:C1015"/>
    <mergeCell ref="A1087:A1090"/>
    <mergeCell ref="F1064:F1065"/>
    <mergeCell ref="C1009:C1010"/>
    <mergeCell ref="E1016:E1017"/>
    <mergeCell ref="F1016:F1017"/>
    <mergeCell ref="C1074:C1076"/>
    <mergeCell ref="F1042:F1044"/>
    <mergeCell ref="D1091:D1094"/>
    <mergeCell ref="A1084:A1086"/>
    <mergeCell ref="B1084:B1086"/>
    <mergeCell ref="A1095:A1098"/>
    <mergeCell ref="B1013:B1015"/>
    <mergeCell ref="A1027:A1031"/>
    <mergeCell ref="F1045:F1047"/>
    <mergeCell ref="F1027:F1031"/>
    <mergeCell ref="C1165:C1166"/>
    <mergeCell ref="A1208:A1214"/>
    <mergeCell ref="D1186:D1190"/>
    <mergeCell ref="B1181:B1183"/>
    <mergeCell ref="C1169:C1171"/>
    <mergeCell ref="B1172:B1176"/>
    <mergeCell ref="A1167:A1168"/>
    <mergeCell ref="B1167:B1168"/>
    <mergeCell ref="C1167:C1168"/>
    <mergeCell ref="D1167:D1168"/>
    <mergeCell ref="A18:A20"/>
    <mergeCell ref="B18:B20"/>
    <mergeCell ref="C18:C20"/>
    <mergeCell ref="D18:D20"/>
    <mergeCell ref="A34:A36"/>
    <mergeCell ref="A1060:A1062"/>
    <mergeCell ref="A432:A440"/>
    <mergeCell ref="D432:D440"/>
    <mergeCell ref="A441:A445"/>
    <mergeCell ref="B441:B445"/>
    <mergeCell ref="A465:A467"/>
    <mergeCell ref="A468:A476"/>
    <mergeCell ref="B373:B375"/>
    <mergeCell ref="C373:C375"/>
    <mergeCell ref="C363:C365"/>
    <mergeCell ref="A409:A410"/>
    <mergeCell ref="A600:A615"/>
    <mergeCell ref="C547:C549"/>
    <mergeCell ref="B574:B576"/>
    <mergeCell ref="A944:A945"/>
    <mergeCell ref="A941:A943"/>
    <mergeCell ref="A933:A935"/>
    <mergeCell ref="B933:B935"/>
    <mergeCell ref="E18:E20"/>
    <mergeCell ref="F18:F20"/>
    <mergeCell ref="G18:G20"/>
    <mergeCell ref="A27:A29"/>
    <mergeCell ref="B27:B29"/>
    <mergeCell ref="C27:C29"/>
    <mergeCell ref="D27:D29"/>
    <mergeCell ref="E27:E29"/>
    <mergeCell ref="F27:F29"/>
    <mergeCell ref="G27:G29"/>
    <mergeCell ref="A37:A40"/>
    <mergeCell ref="B37:B40"/>
    <mergeCell ref="C37:C40"/>
    <mergeCell ref="D37:D40"/>
    <mergeCell ref="E37:E40"/>
    <mergeCell ref="F37:F40"/>
    <mergeCell ref="G37:G40"/>
    <mergeCell ref="A21:A23"/>
    <mergeCell ref="B21:B23"/>
    <mergeCell ref="C21:C23"/>
    <mergeCell ref="D21:D23"/>
    <mergeCell ref="E21:E23"/>
    <mergeCell ref="F21:F23"/>
    <mergeCell ref="B34:B36"/>
    <mergeCell ref="C34:C36"/>
    <mergeCell ref="D34:D36"/>
    <mergeCell ref="A24:A26"/>
    <mergeCell ref="B24:B26"/>
    <mergeCell ref="G21:G23"/>
    <mergeCell ref="E34:E36"/>
    <mergeCell ref="F34:F36"/>
    <mergeCell ref="F32:F33"/>
    <mergeCell ref="G2618:G2619"/>
    <mergeCell ref="G2620:G2621"/>
    <mergeCell ref="G2622:G2623"/>
    <mergeCell ref="D2614:D2616"/>
    <mergeCell ref="E2614:E2616"/>
    <mergeCell ref="A2627:A2629"/>
    <mergeCell ref="B2627:B2629"/>
    <mergeCell ref="G2594:G2596"/>
    <mergeCell ref="B2591:B2593"/>
    <mergeCell ref="C1143:C1145"/>
    <mergeCell ref="A1148:A1154"/>
    <mergeCell ref="B1148:B1154"/>
    <mergeCell ref="A2574:A2576"/>
    <mergeCell ref="A2604:A2610"/>
    <mergeCell ref="D2624:D2626"/>
    <mergeCell ref="E2624:E2626"/>
    <mergeCell ref="F2624:F2626"/>
    <mergeCell ref="E2579:E2580"/>
    <mergeCell ref="F2579:F2580"/>
    <mergeCell ref="G2579:G2580"/>
    <mergeCell ref="A2581:A2587"/>
    <mergeCell ref="C2591:C2593"/>
    <mergeCell ref="B2581:B2587"/>
    <mergeCell ref="C2581:C2587"/>
    <mergeCell ref="D2581:D2587"/>
    <mergeCell ref="A1220:A1221"/>
    <mergeCell ref="D1220:D1221"/>
    <mergeCell ref="D1194:D1196"/>
    <mergeCell ref="B1186:B1190"/>
    <mergeCell ref="B1165:B1166"/>
    <mergeCell ref="B1169:B1171"/>
    <mergeCell ref="B1162:B1164"/>
    <mergeCell ref="A2630:A2632"/>
    <mergeCell ref="A2594:A2596"/>
    <mergeCell ref="B2594:B2596"/>
    <mergeCell ref="C2594:C2596"/>
    <mergeCell ref="D2594:D2596"/>
    <mergeCell ref="E2594:E2596"/>
    <mergeCell ref="A2597:A2603"/>
    <mergeCell ref="B2633:B2635"/>
    <mergeCell ref="C2633:C2635"/>
    <mergeCell ref="C2627:C2629"/>
    <mergeCell ref="D2627:D2629"/>
    <mergeCell ref="E2627:E2629"/>
    <mergeCell ref="F2627:F2629"/>
    <mergeCell ref="A2611:A2613"/>
    <mergeCell ref="B2611:B2613"/>
    <mergeCell ref="C2611:C2613"/>
    <mergeCell ref="D2611:D2613"/>
    <mergeCell ref="E2611:E2613"/>
    <mergeCell ref="F2611:F2613"/>
    <mergeCell ref="F2594:F2596"/>
    <mergeCell ref="F2597:F2603"/>
    <mergeCell ref="B2597:B2603"/>
    <mergeCell ref="C2597:C2603"/>
    <mergeCell ref="E2597:E2603"/>
    <mergeCell ref="D2597:D2603"/>
    <mergeCell ref="C2614:C2616"/>
    <mergeCell ref="A2617:A2623"/>
    <mergeCell ref="B2617:B2623"/>
    <mergeCell ref="C2617:C2623"/>
    <mergeCell ref="D2617:D2623"/>
    <mergeCell ref="E2617:E2623"/>
    <mergeCell ref="F2617:F2623"/>
    <mergeCell ref="A2531:A2549"/>
    <mergeCell ref="E2531:E2549"/>
    <mergeCell ref="F2531:F2549"/>
    <mergeCell ref="C2531:C2549"/>
    <mergeCell ref="B2531:B2549"/>
    <mergeCell ref="D2531:D2549"/>
    <mergeCell ref="G2574:G2576"/>
    <mergeCell ref="A2568:A2570"/>
    <mergeCell ref="C2568:C2570"/>
    <mergeCell ref="D2579:D2580"/>
    <mergeCell ref="D2528:D2530"/>
    <mergeCell ref="E2581:E2587"/>
    <mergeCell ref="F2581:F2587"/>
    <mergeCell ref="G2582:G2583"/>
    <mergeCell ref="G2584:G2585"/>
    <mergeCell ref="G2586:G2587"/>
    <mergeCell ref="A2577:A2578"/>
    <mergeCell ref="B2577:B2578"/>
    <mergeCell ref="C2577:C2578"/>
    <mergeCell ref="D2577:D2578"/>
    <mergeCell ref="E2577:E2578"/>
    <mergeCell ref="F2577:F2578"/>
    <mergeCell ref="G2577:G2578"/>
    <mergeCell ref="C2579:C2580"/>
    <mergeCell ref="A2565:A2567"/>
    <mergeCell ref="B2565:B2567"/>
    <mergeCell ref="C2565:C2567"/>
    <mergeCell ref="D2565:D2567"/>
    <mergeCell ref="E2565:E2567"/>
    <mergeCell ref="F2565:F2567"/>
    <mergeCell ref="G2565:G2567"/>
    <mergeCell ref="B2568:B2570"/>
    <mergeCell ref="D2591:D2593"/>
    <mergeCell ref="E2591:E2593"/>
    <mergeCell ref="F2591:F2593"/>
    <mergeCell ref="G2592:G2593"/>
    <mergeCell ref="A2550:A2552"/>
    <mergeCell ref="B2550:B2552"/>
    <mergeCell ref="C2550:C2552"/>
    <mergeCell ref="D2550:D2552"/>
    <mergeCell ref="G2569:G2570"/>
    <mergeCell ref="A2591:A2593"/>
    <mergeCell ref="A2588:A2590"/>
    <mergeCell ref="B2588:B2590"/>
    <mergeCell ref="C2588:C2590"/>
    <mergeCell ref="D2588:D2590"/>
    <mergeCell ref="E2588:E2590"/>
    <mergeCell ref="F2588:F2590"/>
    <mergeCell ref="F2371:F2375"/>
    <mergeCell ref="D2399:D2402"/>
    <mergeCell ref="A2553:A2555"/>
    <mergeCell ref="B2553:B2555"/>
    <mergeCell ref="C2528:C2530"/>
    <mergeCell ref="A2503:A2509"/>
    <mergeCell ref="B2503:B2509"/>
    <mergeCell ref="C2503:C2509"/>
    <mergeCell ref="A2556:A2558"/>
    <mergeCell ref="B2556:B2558"/>
    <mergeCell ref="C2556:C2558"/>
    <mergeCell ref="D2556:D2558"/>
    <mergeCell ref="E2556:E2558"/>
    <mergeCell ref="F2556:F2558"/>
    <mergeCell ref="A2492:A2494"/>
    <mergeCell ref="B2492:B2494"/>
    <mergeCell ref="E2553:E2555"/>
    <mergeCell ref="A2496:A2498"/>
    <mergeCell ref="B2496:B2498"/>
    <mergeCell ref="C2496:C2498"/>
    <mergeCell ref="D2496:D2498"/>
    <mergeCell ref="E2496:E2498"/>
    <mergeCell ref="F2496:F2498"/>
    <mergeCell ref="C2492:C2494"/>
    <mergeCell ref="B2528:B2530"/>
    <mergeCell ref="F2550:F2552"/>
    <mergeCell ref="A2522:A2524"/>
    <mergeCell ref="A2516:A2518"/>
    <mergeCell ref="A2510:A2512"/>
    <mergeCell ref="F2522:F2524"/>
    <mergeCell ref="C2404:C2406"/>
    <mergeCell ref="B2519:B2521"/>
    <mergeCell ref="G2374:G2375"/>
    <mergeCell ref="D2368:D2370"/>
    <mergeCell ref="D2388:D2394"/>
    <mergeCell ref="E2388:E2394"/>
    <mergeCell ref="F2388:F2394"/>
    <mergeCell ref="G2389:G2390"/>
    <mergeCell ref="G2391:G2392"/>
    <mergeCell ref="G2393:G2394"/>
    <mergeCell ref="F2363:F2365"/>
    <mergeCell ref="B2366:B2367"/>
    <mergeCell ref="E2503:E2509"/>
    <mergeCell ref="F2503:F2509"/>
    <mergeCell ref="E2492:E2494"/>
    <mergeCell ref="F2492:F2494"/>
    <mergeCell ref="G2379:G2380"/>
    <mergeCell ref="E2371:E2375"/>
    <mergeCell ref="B2363:B2365"/>
    <mergeCell ref="C2363:C2365"/>
    <mergeCell ref="B2368:B2370"/>
    <mergeCell ref="C2368:C2370"/>
    <mergeCell ref="F2399:F2402"/>
    <mergeCell ref="G2504:G2505"/>
    <mergeCell ref="G2492:G2494"/>
    <mergeCell ref="D2363:D2365"/>
    <mergeCell ref="D2366:D2367"/>
    <mergeCell ref="E2366:E2367"/>
    <mergeCell ref="F2366:F2367"/>
    <mergeCell ref="C2434:C2438"/>
    <mergeCell ref="D2434:D2438"/>
    <mergeCell ref="E2404:E2406"/>
    <mergeCell ref="G2408:G2410"/>
    <mergeCell ref="E2448:E2452"/>
    <mergeCell ref="G1389:G1390"/>
    <mergeCell ref="G2229:G2230"/>
    <mergeCell ref="G2231:G2232"/>
    <mergeCell ref="G1425:G1426"/>
    <mergeCell ref="A1427:A1435"/>
    <mergeCell ref="B1427:B1435"/>
    <mergeCell ref="C1427:C1435"/>
    <mergeCell ref="B2100:B2101"/>
    <mergeCell ref="C2100:C2101"/>
    <mergeCell ref="D2100:D2101"/>
    <mergeCell ref="E2100:E2101"/>
    <mergeCell ref="G1953:G1955"/>
    <mergeCell ref="F1578:F1580"/>
    <mergeCell ref="C1716:C1718"/>
    <mergeCell ref="D1716:D1718"/>
    <mergeCell ref="E1716:E1718"/>
    <mergeCell ref="C1917:C1919"/>
    <mergeCell ref="D1917:D1919"/>
    <mergeCell ref="A1801:A1802"/>
    <mergeCell ref="A1558:A1559"/>
    <mergeCell ref="A1410:A1413"/>
    <mergeCell ref="B1410:B1413"/>
    <mergeCell ref="B1447:B1450"/>
    <mergeCell ref="G1421:G1422"/>
    <mergeCell ref="G1423:G1424"/>
    <mergeCell ref="A1418:A1426"/>
    <mergeCell ref="C1395:C1399"/>
    <mergeCell ref="D1801:D1802"/>
    <mergeCell ref="E1801:E1802"/>
    <mergeCell ref="F1410:F1413"/>
    <mergeCell ref="A1436:A1437"/>
    <mergeCell ref="C1418:C1426"/>
    <mergeCell ref="A184:A188"/>
    <mergeCell ref="B184:B188"/>
    <mergeCell ref="B174:B176"/>
    <mergeCell ref="C174:C176"/>
    <mergeCell ref="C184:C188"/>
    <mergeCell ref="D184:D188"/>
    <mergeCell ref="E184:E188"/>
    <mergeCell ref="F184:F188"/>
    <mergeCell ref="B180:B181"/>
    <mergeCell ref="C180:C181"/>
    <mergeCell ref="D180:D181"/>
    <mergeCell ref="A376:A378"/>
    <mergeCell ref="B376:B378"/>
    <mergeCell ref="C376:C378"/>
    <mergeCell ref="A391:A393"/>
    <mergeCell ref="A405:A408"/>
    <mergeCell ref="B405:B408"/>
    <mergeCell ref="D350:D351"/>
    <mergeCell ref="E350:E351"/>
    <mergeCell ref="F350:F351"/>
    <mergeCell ref="E182:E183"/>
    <mergeCell ref="F182:F183"/>
    <mergeCell ref="A208:A212"/>
    <mergeCell ref="A205:A207"/>
    <mergeCell ref="C405:C408"/>
    <mergeCell ref="A363:A365"/>
    <mergeCell ref="B363:B365"/>
    <mergeCell ref="A388:A390"/>
    <mergeCell ref="D394:D397"/>
    <mergeCell ref="C276:C280"/>
    <mergeCell ref="D388:D390"/>
    <mergeCell ref="C379:C382"/>
    <mergeCell ref="C202:C204"/>
    <mergeCell ref="D202:D204"/>
    <mergeCell ref="E202:E204"/>
    <mergeCell ref="F416:F422"/>
    <mergeCell ref="E405:E408"/>
    <mergeCell ref="F256:F264"/>
    <mergeCell ref="F265:F273"/>
    <mergeCell ref="E401:E404"/>
    <mergeCell ref="C411:C415"/>
    <mergeCell ref="D354:D357"/>
    <mergeCell ref="A360:A362"/>
    <mergeCell ref="B360:B362"/>
    <mergeCell ref="B312:B324"/>
    <mergeCell ref="C312:C324"/>
    <mergeCell ref="C309:C311"/>
    <mergeCell ref="C293:C294"/>
    <mergeCell ref="F247:F249"/>
    <mergeCell ref="B205:B207"/>
    <mergeCell ref="C205:C207"/>
    <mergeCell ref="A244:A246"/>
    <mergeCell ref="E244:E246"/>
    <mergeCell ref="F244:F246"/>
    <mergeCell ref="B416:B422"/>
    <mergeCell ref="C416:C422"/>
    <mergeCell ref="D416:D422"/>
    <mergeCell ref="C398:C400"/>
    <mergeCell ref="B411:B415"/>
    <mergeCell ref="A416:A422"/>
    <mergeCell ref="D379:D382"/>
    <mergeCell ref="E379:E382"/>
    <mergeCell ref="D360:D362"/>
    <mergeCell ref="D398:D400"/>
    <mergeCell ref="A174:A176"/>
    <mergeCell ref="F180:F181"/>
    <mergeCell ref="D192:D201"/>
    <mergeCell ref="E192:E201"/>
    <mergeCell ref="F192:F201"/>
    <mergeCell ref="F202:F204"/>
    <mergeCell ref="A145:A147"/>
    <mergeCell ref="A151:A159"/>
    <mergeCell ref="E354:E357"/>
    <mergeCell ref="F354:F357"/>
    <mergeCell ref="B244:B246"/>
    <mergeCell ref="C244:C246"/>
    <mergeCell ref="D244:D246"/>
    <mergeCell ref="A177:A179"/>
    <mergeCell ref="E256:E264"/>
    <mergeCell ref="A233:A235"/>
    <mergeCell ref="B233:B235"/>
    <mergeCell ref="C233:C235"/>
    <mergeCell ref="D233:D235"/>
    <mergeCell ref="A182:A183"/>
    <mergeCell ref="B182:B183"/>
    <mergeCell ref="C182:C183"/>
    <mergeCell ref="D182:D183"/>
    <mergeCell ref="A189:A191"/>
    <mergeCell ref="C224:C226"/>
    <mergeCell ref="A230:A232"/>
    <mergeCell ref="B230:B232"/>
    <mergeCell ref="C230:C232"/>
    <mergeCell ref="D213:D223"/>
    <mergeCell ref="E213:E223"/>
    <mergeCell ref="F213:F223"/>
    <mergeCell ref="A213:A223"/>
    <mergeCell ref="C482:C491"/>
    <mergeCell ref="D482:D491"/>
    <mergeCell ref="E482:E491"/>
    <mergeCell ref="A544:A546"/>
    <mergeCell ref="B544:B546"/>
    <mergeCell ref="C544:C546"/>
    <mergeCell ref="D544:D546"/>
    <mergeCell ref="E293:E294"/>
    <mergeCell ref="B1131:B1133"/>
    <mergeCell ref="B1128:B1130"/>
    <mergeCell ref="B501:B503"/>
    <mergeCell ref="B1125:B1127"/>
    <mergeCell ref="B1107:B1109"/>
    <mergeCell ref="B1077:B1079"/>
    <mergeCell ref="C1077:C1079"/>
    <mergeCell ref="C1125:C1127"/>
    <mergeCell ref="D1131:D1133"/>
    <mergeCell ref="E1131:E1133"/>
    <mergeCell ref="B1064:B1065"/>
    <mergeCell ref="C360:C362"/>
    <mergeCell ref="A401:A404"/>
    <mergeCell ref="B401:B404"/>
    <mergeCell ref="D363:D365"/>
    <mergeCell ref="E363:E365"/>
    <mergeCell ref="C325:C346"/>
    <mergeCell ref="D325:D346"/>
    <mergeCell ref="A460:A464"/>
    <mergeCell ref="B460:B464"/>
    <mergeCell ref="C460:C464"/>
    <mergeCell ref="A394:A397"/>
    <mergeCell ref="A939:A940"/>
    <mergeCell ref="A789:A790"/>
    <mergeCell ref="B65:B66"/>
    <mergeCell ref="C65:C66"/>
    <mergeCell ref="D65:D66"/>
    <mergeCell ref="E65:E66"/>
    <mergeCell ref="F65:F66"/>
    <mergeCell ref="G65:G66"/>
    <mergeCell ref="E162:E165"/>
    <mergeCell ref="F162:F165"/>
    <mergeCell ref="G148:G150"/>
    <mergeCell ref="B145:B147"/>
    <mergeCell ref="B151:B159"/>
    <mergeCell ref="C151:C159"/>
    <mergeCell ref="D151:D159"/>
    <mergeCell ref="G98:G100"/>
    <mergeCell ref="G101:G103"/>
    <mergeCell ref="G104:G106"/>
    <mergeCell ref="G107:G109"/>
    <mergeCell ref="G139:G141"/>
    <mergeCell ref="G127:G129"/>
    <mergeCell ref="F145:F147"/>
    <mergeCell ref="G145:G147"/>
    <mergeCell ref="C126:C144"/>
    <mergeCell ref="D126:D144"/>
    <mergeCell ref="E126:E144"/>
    <mergeCell ref="F126:F144"/>
    <mergeCell ref="G136:G138"/>
    <mergeCell ref="G142:G144"/>
    <mergeCell ref="C145:C147"/>
    <mergeCell ref="D145:D147"/>
    <mergeCell ref="G154:G155"/>
    <mergeCell ref="E174:E176"/>
    <mergeCell ref="F174:F176"/>
    <mergeCell ref="B177:B179"/>
    <mergeCell ref="C177:C179"/>
    <mergeCell ref="C441:C445"/>
    <mergeCell ref="F148:F150"/>
    <mergeCell ref="B171:B173"/>
    <mergeCell ref="C171:C173"/>
    <mergeCell ref="E145:E147"/>
    <mergeCell ref="D177:D179"/>
    <mergeCell ref="A1235:A1236"/>
    <mergeCell ref="B1235:B1236"/>
    <mergeCell ref="C1160:C1161"/>
    <mergeCell ref="C1158:C1159"/>
    <mergeCell ref="C1107:C1109"/>
    <mergeCell ref="E1148:E1154"/>
    <mergeCell ref="D1160:D1161"/>
    <mergeCell ref="C1128:C1130"/>
    <mergeCell ref="A1162:A1164"/>
    <mergeCell ref="E1128:E1130"/>
    <mergeCell ref="B684:B686"/>
    <mergeCell ref="C684:C686"/>
    <mergeCell ref="D684:D686"/>
    <mergeCell ref="B1160:B1161"/>
    <mergeCell ref="B1087:B1090"/>
    <mergeCell ref="C1087:C1090"/>
    <mergeCell ref="C992:C994"/>
    <mergeCell ref="B1074:B1076"/>
    <mergeCell ref="A1077:A1079"/>
    <mergeCell ref="A1013:A1015"/>
    <mergeCell ref="A482:A491"/>
    <mergeCell ref="B482:B491"/>
    <mergeCell ref="A92:A93"/>
    <mergeCell ref="B92:B93"/>
    <mergeCell ref="C92:C93"/>
    <mergeCell ref="D92:D93"/>
    <mergeCell ref="G92:G93"/>
    <mergeCell ref="A69:A75"/>
    <mergeCell ref="B69:B75"/>
    <mergeCell ref="D83:D91"/>
    <mergeCell ref="E83:E91"/>
    <mergeCell ref="F83:F91"/>
    <mergeCell ref="D69:D75"/>
    <mergeCell ref="G73:G75"/>
    <mergeCell ref="G77:G79"/>
    <mergeCell ref="E69:E75"/>
    <mergeCell ref="F69:F75"/>
    <mergeCell ref="G80:G82"/>
    <mergeCell ref="A83:A91"/>
    <mergeCell ref="B83:B91"/>
    <mergeCell ref="D76:D82"/>
    <mergeCell ref="E76:E82"/>
    <mergeCell ref="F76:F82"/>
    <mergeCell ref="C69:C75"/>
    <mergeCell ref="C83:C91"/>
    <mergeCell ref="G89:G91"/>
    <mergeCell ref="E92:E93"/>
    <mergeCell ref="F92:F93"/>
    <mergeCell ref="A1064:A1065"/>
    <mergeCell ref="C1064:C1065"/>
    <mergeCell ref="D1064:D1065"/>
    <mergeCell ref="A1134:A1135"/>
    <mergeCell ref="B1134:B1135"/>
    <mergeCell ref="A1146:A1147"/>
    <mergeCell ref="C1146:C1147"/>
    <mergeCell ref="D1146:D1147"/>
    <mergeCell ref="A1143:A1145"/>
    <mergeCell ref="B1143:B1145"/>
    <mergeCell ref="A1155:A1157"/>
    <mergeCell ref="A1160:A1161"/>
    <mergeCell ref="A1158:A1159"/>
    <mergeCell ref="B1158:B1159"/>
    <mergeCell ref="D1158:D1159"/>
    <mergeCell ref="A1099:A1102"/>
    <mergeCell ref="D1148:D1154"/>
    <mergeCell ref="D1138:D1139"/>
    <mergeCell ref="C1095:C1098"/>
    <mergeCell ref="C1091:C1094"/>
    <mergeCell ref="B1066:B1070"/>
    <mergeCell ref="B1045:B1047"/>
    <mergeCell ref="C1045:C1047"/>
    <mergeCell ref="D1110:D1112"/>
    <mergeCell ref="B1071:B1073"/>
    <mergeCell ref="E1110:E1112"/>
    <mergeCell ref="B1057:B1059"/>
    <mergeCell ref="E1049:E1051"/>
    <mergeCell ref="E1091:E1094"/>
    <mergeCell ref="C1049:C1051"/>
    <mergeCell ref="D1049:D1051"/>
    <mergeCell ref="B1060:B1062"/>
    <mergeCell ref="D1074:D1076"/>
    <mergeCell ref="D1060:D1062"/>
    <mergeCell ref="E1060:E1062"/>
    <mergeCell ref="F1300:F1302"/>
    <mergeCell ref="A1332:A1335"/>
    <mergeCell ref="A1230:A1231"/>
    <mergeCell ref="A1125:A1127"/>
    <mergeCell ref="C1081:C1083"/>
    <mergeCell ref="B1081:B1083"/>
    <mergeCell ref="A1169:A1171"/>
    <mergeCell ref="A1165:A1166"/>
    <mergeCell ref="A1181:A1183"/>
    <mergeCell ref="B1200:B1204"/>
    <mergeCell ref="D1169:D1171"/>
    <mergeCell ref="D1165:D1166"/>
    <mergeCell ref="E1222:E1223"/>
    <mergeCell ref="A1110:A1112"/>
    <mergeCell ref="F1160:F1161"/>
    <mergeCell ref="A1184:A1185"/>
    <mergeCell ref="B1184:B1185"/>
    <mergeCell ref="A1197:A1198"/>
    <mergeCell ref="C1281:C1282"/>
    <mergeCell ref="D1281:D1282"/>
    <mergeCell ref="F1220:F1221"/>
    <mergeCell ref="B1208:B1214"/>
    <mergeCell ref="C1208:C1214"/>
    <mergeCell ref="D1208:D1214"/>
    <mergeCell ref="A1131:A1133"/>
    <mergeCell ref="A1253:A1255"/>
    <mergeCell ref="D1227:D1229"/>
    <mergeCell ref="E1107:E1109"/>
    <mergeCell ref="D1116:D1119"/>
    <mergeCell ref="B1110:B1112"/>
    <mergeCell ref="C1110:C1112"/>
    <mergeCell ref="B1113:B1115"/>
    <mergeCell ref="A1300:A1302"/>
    <mergeCell ref="B1300:B1302"/>
    <mergeCell ref="C1300:C1302"/>
    <mergeCell ref="D1300:D1302"/>
    <mergeCell ref="E1300:E1302"/>
    <mergeCell ref="E1208:E1214"/>
    <mergeCell ref="A1042:A1044"/>
    <mergeCell ref="A1071:A1073"/>
    <mergeCell ref="C1197:C1198"/>
    <mergeCell ref="D1197:D1198"/>
    <mergeCell ref="C1184:C1185"/>
    <mergeCell ref="D1184:D1185"/>
    <mergeCell ref="A1172:A1176"/>
    <mergeCell ref="A1081:A1083"/>
    <mergeCell ref="E1087:E1090"/>
    <mergeCell ref="A1113:A1115"/>
    <mergeCell ref="A1128:A1130"/>
    <mergeCell ref="A1120:A1123"/>
    <mergeCell ref="B1197:B1198"/>
    <mergeCell ref="A1194:A1196"/>
    <mergeCell ref="B1194:B1196"/>
    <mergeCell ref="C1194:C1196"/>
    <mergeCell ref="E1169:E1171"/>
    <mergeCell ref="E1158:E1159"/>
    <mergeCell ref="B1099:B1102"/>
    <mergeCell ref="B1155:B1157"/>
    <mergeCell ref="B1264:B1266"/>
    <mergeCell ref="C1264:C1266"/>
    <mergeCell ref="C1292:C1293"/>
    <mergeCell ref="E1294:E1296"/>
    <mergeCell ref="C1235:C1236"/>
    <mergeCell ref="D1235:D1236"/>
    <mergeCell ref="B1297:B1299"/>
    <mergeCell ref="C1297:C1299"/>
    <mergeCell ref="D1297:D1299"/>
    <mergeCell ref="F1297:F1299"/>
    <mergeCell ref="F1256:F1258"/>
    <mergeCell ref="B1256:B1258"/>
    <mergeCell ref="A1297:A1299"/>
    <mergeCell ref="A1259:A1261"/>
    <mergeCell ref="C1286:C1289"/>
    <mergeCell ref="D1286:D1289"/>
    <mergeCell ref="B1277:B1278"/>
    <mergeCell ref="C1277:C1278"/>
    <mergeCell ref="D1277:D1278"/>
    <mergeCell ref="F1277:F1278"/>
    <mergeCell ref="F1286:F1289"/>
    <mergeCell ref="F1271:F1273"/>
    <mergeCell ref="A1267:A1270"/>
    <mergeCell ref="D1267:D1270"/>
    <mergeCell ref="E1267:E1270"/>
    <mergeCell ref="F1267:F1270"/>
    <mergeCell ref="F1264:F1266"/>
    <mergeCell ref="F1259:F1261"/>
    <mergeCell ref="A1264:A1266"/>
    <mergeCell ref="A1292:A1293"/>
    <mergeCell ref="B1294:B1296"/>
    <mergeCell ref="A1294:A1296"/>
    <mergeCell ref="E1414:E1417"/>
    <mergeCell ref="F1414:F1417"/>
    <mergeCell ref="A1321:A1324"/>
    <mergeCell ref="B1321:B1324"/>
    <mergeCell ref="E1309:E1316"/>
    <mergeCell ref="F1309:F1316"/>
    <mergeCell ref="G1303:G1304"/>
    <mergeCell ref="F1317:F1320"/>
    <mergeCell ref="A1329:A1331"/>
    <mergeCell ref="A1303:A1304"/>
    <mergeCell ref="B1303:B1304"/>
    <mergeCell ref="C1303:C1304"/>
    <mergeCell ref="D1303:D1304"/>
    <mergeCell ref="E1303:E1304"/>
    <mergeCell ref="F1303:F1304"/>
    <mergeCell ref="A1325:A1328"/>
    <mergeCell ref="B1325:B1328"/>
    <mergeCell ref="C1325:C1328"/>
    <mergeCell ref="C1359:C1362"/>
    <mergeCell ref="D1359:D1362"/>
    <mergeCell ref="E1359:E1362"/>
    <mergeCell ref="F1378:F1379"/>
    <mergeCell ref="A1359:A1362"/>
    <mergeCell ref="D1366:D1372"/>
    <mergeCell ref="E1366:E1372"/>
    <mergeCell ref="A1317:A1320"/>
    <mergeCell ref="B1359:B1362"/>
    <mergeCell ref="A1356:A1358"/>
    <mergeCell ref="F1329:F1331"/>
    <mergeCell ref="D1336:D1344"/>
    <mergeCell ref="E1336:E1344"/>
    <mergeCell ref="A1395:A1399"/>
    <mergeCell ref="B1317:B1320"/>
    <mergeCell ref="D1321:D1324"/>
    <mergeCell ref="E1321:E1324"/>
    <mergeCell ref="E1383:E1385"/>
    <mergeCell ref="F1383:F1385"/>
    <mergeCell ref="A1386:A1387"/>
    <mergeCell ref="B1386:B1387"/>
    <mergeCell ref="E1386:E1387"/>
    <mergeCell ref="F1386:F1387"/>
    <mergeCell ref="A1373:A1377"/>
    <mergeCell ref="B1373:B1377"/>
    <mergeCell ref="C1373:C1377"/>
    <mergeCell ref="B1383:B1385"/>
    <mergeCell ref="C1383:C1385"/>
    <mergeCell ref="E1378:E1379"/>
    <mergeCell ref="B1363:B1365"/>
    <mergeCell ref="D1383:D1385"/>
    <mergeCell ref="F1363:F1365"/>
    <mergeCell ref="G1364:G1365"/>
    <mergeCell ref="E1363:E1365"/>
    <mergeCell ref="F1380:F1382"/>
    <mergeCell ref="B1378:B1379"/>
    <mergeCell ref="C1378:C1379"/>
    <mergeCell ref="D1378:D1379"/>
    <mergeCell ref="D1373:D1377"/>
    <mergeCell ref="E1373:E1377"/>
    <mergeCell ref="F1373:F1377"/>
    <mergeCell ref="D1380:D1382"/>
    <mergeCell ref="E1380:E1382"/>
    <mergeCell ref="A1380:A1382"/>
    <mergeCell ref="B1380:B1382"/>
    <mergeCell ref="C1380:C1382"/>
    <mergeCell ref="A1378:A1379"/>
    <mergeCell ref="A1383:A1385"/>
    <mergeCell ref="A1363:A1365"/>
    <mergeCell ref="A1366:A1372"/>
    <mergeCell ref="B1366:B1372"/>
    <mergeCell ref="C1366:C1372"/>
    <mergeCell ref="A2363:A2365"/>
    <mergeCell ref="D2360:D2362"/>
    <mergeCell ref="A2360:A2362"/>
    <mergeCell ref="B2360:B2362"/>
    <mergeCell ref="A1508:A1512"/>
    <mergeCell ref="B1508:B1512"/>
    <mergeCell ref="C1508:C1512"/>
    <mergeCell ref="D1508:D1512"/>
    <mergeCell ref="E1635:E1636"/>
    <mergeCell ref="C1574:C1575"/>
    <mergeCell ref="D1574:D1575"/>
    <mergeCell ref="E1574:E1575"/>
    <mergeCell ref="F1574:F1575"/>
    <mergeCell ref="C1643:C1646"/>
    <mergeCell ref="D1643:D1646"/>
    <mergeCell ref="E1643:E1646"/>
    <mergeCell ref="F1643:F1646"/>
    <mergeCell ref="B1599:B1600"/>
    <mergeCell ref="C1599:C1600"/>
    <mergeCell ref="A1599:A1600"/>
    <mergeCell ref="A1621:A1623"/>
    <mergeCell ref="B1621:B1623"/>
    <mergeCell ref="C1621:C1623"/>
    <mergeCell ref="D1621:D1623"/>
    <mergeCell ref="E1621:E1623"/>
    <mergeCell ref="F1621:F1623"/>
    <mergeCell ref="D1626:D1627"/>
    <mergeCell ref="E1626:E1627"/>
    <mergeCell ref="F1626:F1627"/>
    <mergeCell ref="F1541:F1542"/>
    <mergeCell ref="D1635:D1636"/>
    <mergeCell ref="E1508:E1512"/>
    <mergeCell ref="B2258:B2262"/>
    <mergeCell ref="C2258:C2262"/>
    <mergeCell ref="C2253:C2257"/>
    <mergeCell ref="D2253:D2257"/>
    <mergeCell ref="A2258:A2262"/>
    <mergeCell ref="D2258:D2262"/>
    <mergeCell ref="E2180:E2182"/>
    <mergeCell ref="A2047:A2048"/>
    <mergeCell ref="B2047:B2048"/>
    <mergeCell ref="B1436:B1437"/>
    <mergeCell ref="C1436:C1437"/>
    <mergeCell ref="D1436:D1437"/>
    <mergeCell ref="E1436:E1437"/>
    <mergeCell ref="F1436:F1437"/>
    <mergeCell ref="A1467:A1471"/>
    <mergeCell ref="B1467:B1471"/>
    <mergeCell ref="C1467:C1471"/>
    <mergeCell ref="E1664:E1670"/>
    <mergeCell ref="C1647:C1649"/>
    <mergeCell ref="D1647:D1649"/>
    <mergeCell ref="E1647:E1649"/>
    <mergeCell ref="F1647:F1649"/>
    <mergeCell ref="D1438:D1441"/>
    <mergeCell ref="A1628:A1629"/>
    <mergeCell ref="F1534:F1540"/>
    <mergeCell ref="A1560:A1562"/>
    <mergeCell ref="A1546:A1548"/>
    <mergeCell ref="A1543:A1545"/>
    <mergeCell ref="B1543:B1545"/>
    <mergeCell ref="C1543:C1545"/>
    <mergeCell ref="D1543:D1545"/>
    <mergeCell ref="E1543:E1545"/>
    <mergeCell ref="G2435:G2436"/>
    <mergeCell ref="G2437:G2438"/>
    <mergeCell ref="E2238:E2242"/>
    <mergeCell ref="A2332:A2335"/>
    <mergeCell ref="G2339:G2340"/>
    <mergeCell ref="G2341:G2342"/>
    <mergeCell ref="B2336:B2342"/>
    <mergeCell ref="G2395:G2398"/>
    <mergeCell ref="A2100:A2101"/>
    <mergeCell ref="B1801:B1802"/>
    <mergeCell ref="A2408:A2410"/>
    <mergeCell ref="B2408:B2410"/>
    <mergeCell ref="C2408:C2410"/>
    <mergeCell ref="D2408:D2410"/>
    <mergeCell ref="G2399:G2402"/>
    <mergeCell ref="A2381:A2387"/>
    <mergeCell ref="B2381:B2387"/>
    <mergeCell ref="C2381:C2387"/>
    <mergeCell ref="F2408:F2410"/>
    <mergeCell ref="B2299:B2302"/>
    <mergeCell ref="A2395:A2398"/>
    <mergeCell ref="G2315:G2317"/>
    <mergeCell ref="G2318:G2320"/>
    <mergeCell ref="G2321:G2323"/>
    <mergeCell ref="A2299:A2302"/>
    <mergeCell ref="D2047:D2048"/>
    <mergeCell ref="E2047:E2048"/>
    <mergeCell ref="F2047:F2048"/>
    <mergeCell ref="B2343:B2349"/>
    <mergeCell ref="C2343:C2349"/>
    <mergeCell ref="D2343:D2349"/>
    <mergeCell ref="E2343:E2349"/>
    <mergeCell ref="B1418:B1426"/>
    <mergeCell ref="F2100:F2101"/>
    <mergeCell ref="G1384:G1385"/>
    <mergeCell ref="C1414:C1417"/>
    <mergeCell ref="D1414:D1417"/>
    <mergeCell ref="G2264:G2266"/>
    <mergeCell ref="F1401:F1409"/>
    <mergeCell ref="G2288:G2289"/>
    <mergeCell ref="C1447:C1450"/>
    <mergeCell ref="D1447:D1450"/>
    <mergeCell ref="E1447:E1450"/>
    <mergeCell ref="F1447:F1450"/>
    <mergeCell ref="A1447:A1450"/>
    <mergeCell ref="A1606:A1612"/>
    <mergeCell ref="B1606:B1612"/>
    <mergeCell ref="C1606:C1612"/>
    <mergeCell ref="G1724:G1725"/>
    <mergeCell ref="A1687:A1689"/>
    <mergeCell ref="B1687:B1689"/>
    <mergeCell ref="A1401:A1409"/>
    <mergeCell ref="B1401:B1409"/>
    <mergeCell ref="C1401:C1409"/>
    <mergeCell ref="D1401:D1409"/>
    <mergeCell ref="G1434:G1435"/>
    <mergeCell ref="D1427:D1435"/>
    <mergeCell ref="D1395:D1399"/>
    <mergeCell ref="E1395:E1399"/>
    <mergeCell ref="F2154:F2156"/>
    <mergeCell ref="A2167:A2169"/>
    <mergeCell ref="B2167:B2169"/>
    <mergeCell ref="C2228:C2232"/>
    <mergeCell ref="D2228:D2232"/>
    <mergeCell ref="F2553:F2555"/>
    <mergeCell ref="G2451:G2452"/>
    <mergeCell ref="C2445:C2447"/>
    <mergeCell ref="D2445:D2447"/>
    <mergeCell ref="G2666:G2667"/>
    <mergeCell ref="C2677:C2683"/>
    <mergeCell ref="D2677:D2683"/>
    <mergeCell ref="B2456:B2458"/>
    <mergeCell ref="B2448:B2452"/>
    <mergeCell ref="G2536:G2537"/>
    <mergeCell ref="G2538:G2539"/>
    <mergeCell ref="B2480:B2482"/>
    <mergeCell ref="C2480:C2482"/>
    <mergeCell ref="D2480:D2482"/>
    <mergeCell ref="E2480:E2482"/>
    <mergeCell ref="F2480:F2482"/>
    <mergeCell ref="G2511:G2512"/>
    <mergeCell ref="G2506:G2507"/>
    <mergeCell ref="D2516:D2518"/>
    <mergeCell ref="E2516:E2518"/>
    <mergeCell ref="F2519:F2521"/>
    <mergeCell ref="G2519:G2521"/>
    <mergeCell ref="G2508:G2509"/>
    <mergeCell ref="G2522:G2524"/>
    <mergeCell ref="D2492:D2494"/>
    <mergeCell ref="G2627:G2629"/>
    <mergeCell ref="G2500:G2501"/>
    <mergeCell ref="F2448:F2452"/>
    <mergeCell ref="G2449:G2450"/>
    <mergeCell ref="F2562:F2564"/>
    <mergeCell ref="G2562:G2564"/>
    <mergeCell ref="G2517:G2518"/>
    <mergeCell ref="G2652:G2653"/>
    <mergeCell ref="G2654:G2655"/>
    <mergeCell ref="D2691:D2697"/>
    <mergeCell ref="B2740:B2744"/>
    <mergeCell ref="C2661:C2667"/>
    <mergeCell ref="D2661:D2667"/>
    <mergeCell ref="E2661:E2667"/>
    <mergeCell ref="F2661:F2667"/>
    <mergeCell ref="G2711:G2712"/>
    <mergeCell ref="E2684:E2690"/>
    <mergeCell ref="F2684:F2690"/>
    <mergeCell ref="B2677:B2683"/>
    <mergeCell ref="D2768:D2770"/>
    <mergeCell ref="C2756:C2758"/>
    <mergeCell ref="D2756:D2758"/>
    <mergeCell ref="B2780:B2782"/>
    <mergeCell ref="C2780:C2782"/>
    <mergeCell ref="D2780:D2782"/>
    <mergeCell ref="E2780:E2782"/>
    <mergeCell ref="F2780:F2782"/>
    <mergeCell ref="G2780:G2782"/>
    <mergeCell ref="E2651:E2657"/>
    <mergeCell ref="D2684:D2690"/>
    <mergeCell ref="D2658:D2660"/>
    <mergeCell ref="E2658:E2660"/>
    <mergeCell ref="F2658:F2660"/>
    <mergeCell ref="C2651:C2657"/>
    <mergeCell ref="E2756:E2758"/>
    <mergeCell ref="G2664:G2665"/>
    <mergeCell ref="E2677:E2683"/>
    <mergeCell ref="F2677:F2683"/>
    <mergeCell ref="G2762:G2764"/>
    <mergeCell ref="F2500:F2501"/>
    <mergeCell ref="B2404:B2406"/>
    <mergeCell ref="E2411:E2412"/>
    <mergeCell ref="F2411:F2412"/>
    <mergeCell ref="F2510:F2512"/>
    <mergeCell ref="C2553:C2555"/>
    <mergeCell ref="D2553:D2555"/>
    <mergeCell ref="D2644:D2650"/>
    <mergeCell ref="E2644:E2650"/>
    <mergeCell ref="F2644:F2650"/>
    <mergeCell ref="B2434:B2438"/>
    <mergeCell ref="C2395:C2398"/>
    <mergeCell ref="D2453:D2455"/>
    <mergeCell ref="E2453:E2455"/>
    <mergeCell ref="F2453:F2455"/>
    <mergeCell ref="E2408:E2410"/>
    <mergeCell ref="D2411:D2412"/>
    <mergeCell ref="B2574:B2576"/>
    <mergeCell ref="C2574:C2576"/>
    <mergeCell ref="D2574:D2576"/>
    <mergeCell ref="E2574:E2576"/>
    <mergeCell ref="D2568:D2570"/>
    <mergeCell ref="E2568:E2570"/>
    <mergeCell ref="E2550:E2552"/>
    <mergeCell ref="B2522:B2524"/>
    <mergeCell ref="C2522:C2524"/>
    <mergeCell ref="D2522:D2524"/>
    <mergeCell ref="E2522:E2524"/>
    <mergeCell ref="E2510:E2512"/>
    <mergeCell ref="C2399:C2402"/>
    <mergeCell ref="D2503:D2509"/>
    <mergeCell ref="E2571:E2573"/>
    <mergeCell ref="D2510:D2512"/>
    <mergeCell ref="A2434:A2438"/>
    <mergeCell ref="B2395:B2398"/>
    <mergeCell ref="A2445:A2447"/>
    <mergeCell ref="B2445:B2447"/>
    <mergeCell ref="B2516:B2518"/>
    <mergeCell ref="C2516:C2518"/>
    <mergeCell ref="E2445:E2447"/>
    <mergeCell ref="E2456:E2458"/>
    <mergeCell ref="D2448:D2452"/>
    <mergeCell ref="A2489:C2489"/>
    <mergeCell ref="D2456:D2458"/>
    <mergeCell ref="E2434:E2438"/>
    <mergeCell ref="E2399:E2402"/>
    <mergeCell ref="A2399:A2402"/>
    <mergeCell ref="B2399:B2402"/>
    <mergeCell ref="A2411:A2412"/>
    <mergeCell ref="C2448:C2452"/>
    <mergeCell ref="C2510:C2512"/>
    <mergeCell ref="B2510:B2512"/>
    <mergeCell ref="A2472:A2475"/>
    <mergeCell ref="B2472:B2475"/>
    <mergeCell ref="C2472:C2475"/>
    <mergeCell ref="E2430:E2432"/>
    <mergeCell ref="E2500:E2501"/>
    <mergeCell ref="A2456:A2458"/>
    <mergeCell ref="C2411:C2412"/>
    <mergeCell ref="B2411:B2412"/>
    <mergeCell ref="E3267:E3269"/>
    <mergeCell ref="F3267:F3269"/>
    <mergeCell ref="F2516:F2518"/>
    <mergeCell ref="A2829:A2835"/>
    <mergeCell ref="B2829:B2835"/>
    <mergeCell ref="C2829:C2835"/>
    <mergeCell ref="D2829:D2835"/>
    <mergeCell ref="E2829:E2835"/>
    <mergeCell ref="F2829:F2835"/>
    <mergeCell ref="A3070:A3072"/>
    <mergeCell ref="B3070:B3072"/>
    <mergeCell ref="C3070:C3072"/>
    <mergeCell ref="D3070:D3072"/>
    <mergeCell ref="F2795:F2797"/>
    <mergeCell ref="B2854:B2856"/>
    <mergeCell ref="C2854:C2856"/>
    <mergeCell ref="D2854:D2856"/>
    <mergeCell ref="E2854:E2856"/>
    <mergeCell ref="A2519:A2521"/>
    <mergeCell ref="E2519:E2521"/>
    <mergeCell ref="A2899:A2901"/>
    <mergeCell ref="B2863:B2865"/>
    <mergeCell ref="D2651:D2657"/>
    <mergeCell ref="B2559:B2561"/>
    <mergeCell ref="F2740:F2744"/>
    <mergeCell ref="D2795:D2797"/>
    <mergeCell ref="F2768:F2770"/>
    <mergeCell ref="F2691:F2697"/>
    <mergeCell ref="C2519:C2521"/>
    <mergeCell ref="D2519:D2521"/>
    <mergeCell ref="B2644:B2650"/>
    <mergeCell ref="C2644:C2650"/>
    <mergeCell ref="A2740:A2744"/>
    <mergeCell ref="C2768:C2770"/>
    <mergeCell ref="A2780:A2782"/>
    <mergeCell ref="G2689:G2690"/>
    <mergeCell ref="G2680:G2681"/>
    <mergeCell ref="G2682:G2683"/>
    <mergeCell ref="G2685:G2686"/>
    <mergeCell ref="A2677:A2683"/>
    <mergeCell ref="G2834:G2835"/>
    <mergeCell ref="A2706:A2714"/>
    <mergeCell ref="E2863:E2865"/>
    <mergeCell ref="F2863:F2865"/>
    <mergeCell ref="A2745:A2749"/>
    <mergeCell ref="B2745:B2749"/>
    <mergeCell ref="C2745:C2749"/>
    <mergeCell ref="D2745:D2749"/>
    <mergeCell ref="E2745:E2749"/>
    <mergeCell ref="F2745:F2749"/>
    <mergeCell ref="G2745:G2749"/>
    <mergeCell ref="G2756:G2758"/>
    <mergeCell ref="B2777:B2779"/>
    <mergeCell ref="C2777:C2779"/>
    <mergeCell ref="D2777:D2779"/>
    <mergeCell ref="E2777:E2779"/>
    <mergeCell ref="F2777:F2779"/>
    <mergeCell ref="G2777:G2779"/>
    <mergeCell ref="C2765:C2767"/>
    <mergeCell ref="D2765:D2767"/>
    <mergeCell ref="B2759:B2761"/>
    <mergeCell ref="D2895:D2898"/>
    <mergeCell ref="E2895:E2898"/>
    <mergeCell ref="B2768:B2770"/>
    <mergeCell ref="D2771:D2773"/>
    <mergeCell ref="F2528:F2530"/>
    <mergeCell ref="G2768:G2770"/>
    <mergeCell ref="A2801:A2803"/>
    <mergeCell ref="E2801:E2803"/>
    <mergeCell ref="A2651:A2657"/>
    <mergeCell ref="A2644:A2650"/>
    <mergeCell ref="A2691:A2697"/>
    <mergeCell ref="G2737:G2738"/>
    <mergeCell ref="A2768:A2770"/>
    <mergeCell ref="A2863:A2865"/>
    <mergeCell ref="G2725:G2726"/>
    <mergeCell ref="G2727:G2728"/>
    <mergeCell ref="G2729:G2730"/>
    <mergeCell ref="G2731:G2732"/>
    <mergeCell ref="C2845:C2847"/>
    <mergeCell ref="B2857:B2859"/>
    <mergeCell ref="C2771:C2773"/>
    <mergeCell ref="C2795:C2797"/>
    <mergeCell ref="E2845:E2847"/>
    <mergeCell ref="F2845:F2847"/>
    <mergeCell ref="G2863:G2865"/>
    <mergeCell ref="D2706:D2714"/>
    <mergeCell ref="E2706:E2714"/>
    <mergeCell ref="F2706:F2714"/>
    <mergeCell ref="B2706:B2714"/>
    <mergeCell ref="C2706:C2714"/>
    <mergeCell ref="A2684:A2690"/>
    <mergeCell ref="C2691:C2697"/>
    <mergeCell ref="E2258:E2262"/>
    <mergeCell ref="D2128:D2132"/>
    <mergeCell ref="E2128:E2132"/>
    <mergeCell ref="E2125:E2127"/>
    <mergeCell ref="B2235:B2236"/>
    <mergeCell ref="D2303:D2306"/>
    <mergeCell ref="E2303:E2306"/>
    <mergeCell ref="C2222:C2223"/>
    <mergeCell ref="G2662:G2663"/>
    <mergeCell ref="F2651:F2657"/>
    <mergeCell ref="G2692:G2693"/>
    <mergeCell ref="G2694:G2695"/>
    <mergeCell ref="G2658:G2660"/>
    <mergeCell ref="G2687:G2688"/>
    <mergeCell ref="B2795:B2797"/>
    <mergeCell ref="B2684:B2690"/>
    <mergeCell ref="C2684:C2690"/>
    <mergeCell ref="C2658:C2660"/>
    <mergeCell ref="E2771:E2773"/>
    <mergeCell ref="G2740:G2744"/>
    <mergeCell ref="E2562:E2564"/>
    <mergeCell ref="C2442:C2444"/>
    <mergeCell ref="D2442:D2444"/>
    <mergeCell ref="E2442:E2444"/>
    <mergeCell ref="B2459:B2462"/>
    <mergeCell ref="C2459:C2462"/>
    <mergeCell ref="D2459:D2462"/>
    <mergeCell ref="E2459:E2462"/>
    <mergeCell ref="B2466:B2468"/>
    <mergeCell ref="C2466:C2468"/>
    <mergeCell ref="D2466:D2468"/>
    <mergeCell ref="E2466:E2468"/>
    <mergeCell ref="E2215:E2216"/>
    <mergeCell ref="F2215:F2216"/>
    <mergeCell ref="E2222:E2223"/>
    <mergeCell ref="F2222:F2223"/>
    <mergeCell ref="D2217:D2219"/>
    <mergeCell ref="E2217:E2219"/>
    <mergeCell ref="F2217:F2219"/>
    <mergeCell ref="D2177:D2179"/>
    <mergeCell ref="A2162:A2164"/>
    <mergeCell ref="E2177:E2179"/>
    <mergeCell ref="F2177:F2179"/>
    <mergeCell ref="A2658:A2660"/>
    <mergeCell ref="B2658:B2660"/>
    <mergeCell ref="B2651:B2657"/>
    <mergeCell ref="A2528:A2530"/>
    <mergeCell ref="D2571:D2573"/>
    <mergeCell ref="A2119:A2123"/>
    <mergeCell ref="B2119:B2123"/>
    <mergeCell ref="C2119:C2123"/>
    <mergeCell ref="A2307:A2313"/>
    <mergeCell ref="A2314:A2323"/>
    <mergeCell ref="B2283:B2284"/>
    <mergeCell ref="C2283:C2284"/>
    <mergeCell ref="D2283:D2284"/>
    <mergeCell ref="E2283:E2284"/>
    <mergeCell ref="E2245:E2249"/>
    <mergeCell ref="A2253:A2257"/>
    <mergeCell ref="B2253:B2257"/>
    <mergeCell ref="B2245:B2249"/>
    <mergeCell ref="C2245:C2249"/>
    <mergeCell ref="D2245:D2249"/>
    <mergeCell ref="A2281:A2282"/>
    <mergeCell ref="A2170:A2171"/>
    <mergeCell ref="A2183:A2185"/>
    <mergeCell ref="B2183:B2185"/>
    <mergeCell ref="E2114:E2115"/>
    <mergeCell ref="F2114:F2115"/>
    <mergeCell ref="D1926:D1928"/>
    <mergeCell ref="B1914:B1916"/>
    <mergeCell ref="A2097:A2099"/>
    <mergeCell ref="B2097:B2099"/>
    <mergeCell ref="C2097:C2099"/>
    <mergeCell ref="B2094:B2096"/>
    <mergeCell ref="C2094:C2096"/>
    <mergeCell ref="D2094:D2096"/>
    <mergeCell ref="E2094:E2096"/>
    <mergeCell ref="F2094:F2096"/>
    <mergeCell ref="D2015:D2017"/>
    <mergeCell ref="D2082:D2084"/>
    <mergeCell ref="E2082:E2084"/>
    <mergeCell ref="F2082:F2084"/>
    <mergeCell ref="A2144:A2146"/>
    <mergeCell ref="B2144:B2146"/>
    <mergeCell ref="C2144:C2146"/>
    <mergeCell ref="B2157:B2158"/>
    <mergeCell ref="A2165:A2166"/>
    <mergeCell ref="B2165:B2166"/>
    <mergeCell ref="C2165:C2166"/>
    <mergeCell ref="D2165:D2166"/>
    <mergeCell ref="E2165:E2166"/>
    <mergeCell ref="F2165:F2166"/>
    <mergeCell ref="A1414:A1417"/>
    <mergeCell ref="C1664:C1670"/>
    <mergeCell ref="E2015:E2017"/>
    <mergeCell ref="F2015:F2017"/>
    <mergeCell ref="A2094:A2096"/>
    <mergeCell ref="B2082:B2084"/>
    <mergeCell ref="F1692:F1693"/>
    <mergeCell ref="F1716:F1718"/>
    <mergeCell ref="E1671:E1672"/>
    <mergeCell ref="A1643:A1646"/>
    <mergeCell ref="C1832:C1834"/>
    <mergeCell ref="D1832:D1834"/>
    <mergeCell ref="E1832:E1834"/>
    <mergeCell ref="F1832:F1834"/>
    <mergeCell ref="C1829:C1831"/>
    <mergeCell ref="B1643:B1646"/>
    <mergeCell ref="G2607:G2608"/>
    <mergeCell ref="E2528:E2530"/>
    <mergeCell ref="G2297:G2298"/>
    <mergeCell ref="G2337:G2338"/>
    <mergeCell ref="D2381:D2387"/>
    <mergeCell ref="E2381:E2387"/>
    <mergeCell ref="F2381:F2387"/>
    <mergeCell ref="E2368:E2370"/>
    <mergeCell ref="F2368:F2370"/>
    <mergeCell ref="E2395:E2398"/>
    <mergeCell ref="F2395:F2398"/>
    <mergeCell ref="F2324:F2327"/>
    <mergeCell ref="C2299:C2302"/>
    <mergeCell ref="E2336:E2342"/>
    <mergeCell ref="F2285:F2291"/>
    <mergeCell ref="D2332:D2335"/>
    <mergeCell ref="G2532:G2533"/>
    <mergeCell ref="G2534:G2535"/>
    <mergeCell ref="G2551:G2552"/>
    <mergeCell ref="G2598:G2599"/>
    <mergeCell ref="G2600:G2601"/>
    <mergeCell ref="G2589:G2590"/>
    <mergeCell ref="G2545:G2546"/>
    <mergeCell ref="G2556:G2558"/>
    <mergeCell ref="C2356:C2359"/>
    <mergeCell ref="D2292:D2298"/>
    <mergeCell ref="E2292:E2298"/>
    <mergeCell ref="C2336:C2342"/>
    <mergeCell ref="E2332:E2335"/>
    <mergeCell ref="C2314:C2323"/>
    <mergeCell ref="A2128:A2132"/>
    <mergeCell ref="B2128:B2132"/>
    <mergeCell ref="E2235:E2236"/>
    <mergeCell ref="C2128:C2132"/>
    <mergeCell ref="D2404:D2406"/>
    <mergeCell ref="E2279:E2280"/>
    <mergeCell ref="D2371:D2375"/>
    <mergeCell ref="C2332:C2335"/>
    <mergeCell ref="A2500:A2501"/>
    <mergeCell ref="B2500:B2501"/>
    <mergeCell ref="B2238:B2242"/>
    <mergeCell ref="A2404:A2406"/>
    <mergeCell ref="C2500:C2501"/>
    <mergeCell ref="D2500:D2501"/>
    <mergeCell ref="G2248:G2249"/>
    <mergeCell ref="F2404:F2406"/>
    <mergeCell ref="D2222:D2223"/>
    <mergeCell ref="A2189:A2191"/>
    <mergeCell ref="D1237:D1252"/>
    <mergeCell ref="E1237:E1252"/>
    <mergeCell ref="A1271:A1273"/>
    <mergeCell ref="B1271:B1273"/>
    <mergeCell ref="A1277:A1278"/>
    <mergeCell ref="E1253:E1255"/>
    <mergeCell ref="A1286:A1289"/>
    <mergeCell ref="B1286:B1289"/>
    <mergeCell ref="A1256:A1258"/>
    <mergeCell ref="A477:A478"/>
    <mergeCell ref="B477:B478"/>
    <mergeCell ref="C477:C478"/>
    <mergeCell ref="E511:E515"/>
    <mergeCell ref="F477:F478"/>
    <mergeCell ref="B583:B585"/>
    <mergeCell ref="C583:C585"/>
    <mergeCell ref="D583:D585"/>
    <mergeCell ref="A1283:A1285"/>
    <mergeCell ref="C1271:C1273"/>
    <mergeCell ref="C1256:C1258"/>
    <mergeCell ref="A1262:A1263"/>
    <mergeCell ref="B1262:B1263"/>
    <mergeCell ref="F1262:F1263"/>
    <mergeCell ref="D1262:D1263"/>
    <mergeCell ref="E1262:E1263"/>
    <mergeCell ref="B1253:B1255"/>
    <mergeCell ref="D1256:D1258"/>
    <mergeCell ref="D1283:D1285"/>
    <mergeCell ref="E1283:E1285"/>
    <mergeCell ref="B1042:B1044"/>
    <mergeCell ref="C1042:C1044"/>
    <mergeCell ref="B1095:B1098"/>
    <mergeCell ref="A7:A11"/>
    <mergeCell ref="B7:B11"/>
    <mergeCell ref="C7:C11"/>
    <mergeCell ref="D7:D11"/>
    <mergeCell ref="E7:E11"/>
    <mergeCell ref="F7:F11"/>
    <mergeCell ref="G8:G9"/>
    <mergeCell ref="G10:G11"/>
    <mergeCell ref="B265:B273"/>
    <mergeCell ref="G274:G275"/>
    <mergeCell ref="F45:F49"/>
    <mergeCell ref="G257:G258"/>
    <mergeCell ref="A227:A229"/>
    <mergeCell ref="B227:B229"/>
    <mergeCell ref="C227:C229"/>
    <mergeCell ref="D227:D229"/>
    <mergeCell ref="E227:E229"/>
    <mergeCell ref="F227:F229"/>
    <mergeCell ref="C247:C249"/>
    <mergeCell ref="D247:D249"/>
    <mergeCell ref="E247:E249"/>
    <mergeCell ref="G185:G186"/>
    <mergeCell ref="G187:G188"/>
    <mergeCell ref="B189:B191"/>
    <mergeCell ref="A162:A165"/>
    <mergeCell ref="B62:B64"/>
    <mergeCell ref="C62:C64"/>
    <mergeCell ref="D62:D64"/>
    <mergeCell ref="E62:E64"/>
    <mergeCell ref="F62:F64"/>
    <mergeCell ref="G62:G64"/>
    <mergeCell ref="A65:A66"/>
    <mergeCell ref="D32:D33"/>
    <mergeCell ref="E32:E33"/>
    <mergeCell ref="B1962:B1968"/>
    <mergeCell ref="D1993:D1999"/>
    <mergeCell ref="A1993:A1999"/>
    <mergeCell ref="F2000:F2002"/>
    <mergeCell ref="A2012:A2014"/>
    <mergeCell ref="F2135:F2139"/>
    <mergeCell ref="D1959:D1961"/>
    <mergeCell ref="E1959:E1961"/>
    <mergeCell ref="G1922:G1923"/>
    <mergeCell ref="F1962:F1968"/>
    <mergeCell ref="A1948:A1952"/>
    <mergeCell ref="C1451:C1455"/>
    <mergeCell ref="D1451:D1455"/>
    <mergeCell ref="E1451:E1455"/>
    <mergeCell ref="G2012:G2014"/>
    <mergeCell ref="G1829:G1831"/>
    <mergeCell ref="G1736:G1740"/>
    <mergeCell ref="E1215:E1217"/>
    <mergeCell ref="F2012:F2014"/>
    <mergeCell ref="D58:D60"/>
    <mergeCell ref="E58:E60"/>
    <mergeCell ref="A45:A49"/>
    <mergeCell ref="F373:F375"/>
    <mergeCell ref="E1066:E1070"/>
    <mergeCell ref="F1066:F1070"/>
    <mergeCell ref="E1438:E1441"/>
    <mergeCell ref="F1438:F1441"/>
    <mergeCell ref="F1618:F1620"/>
    <mergeCell ref="E1829:E1831"/>
    <mergeCell ref="C1438:C1441"/>
    <mergeCell ref="F1664:F1670"/>
    <mergeCell ref="D1664:D1670"/>
    <mergeCell ref="D1829:D1831"/>
    <mergeCell ref="C1696:C1698"/>
    <mergeCell ref="C1699:C1700"/>
    <mergeCell ref="G1722:G1723"/>
    <mergeCell ref="D1599:D1600"/>
    <mergeCell ref="A1541:A1542"/>
    <mergeCell ref="F1549:F1551"/>
    <mergeCell ref="G1549:G1551"/>
    <mergeCell ref="A1552:A1553"/>
    <mergeCell ref="B1552:B1553"/>
    <mergeCell ref="C1552:C1553"/>
    <mergeCell ref="D1552:D1553"/>
    <mergeCell ref="E1552:E1553"/>
    <mergeCell ref="C1590:C1596"/>
    <mergeCell ref="D1590:D1596"/>
    <mergeCell ref="A1581:A1587"/>
    <mergeCell ref="G1591:G1592"/>
    <mergeCell ref="G1593:G1594"/>
    <mergeCell ref="G1595:G1596"/>
    <mergeCell ref="G1582:G1583"/>
    <mergeCell ref="G1584:G1585"/>
    <mergeCell ref="E1554:E1555"/>
    <mergeCell ref="F1554:F1555"/>
    <mergeCell ref="F1543:F1545"/>
    <mergeCell ref="A1556:A1557"/>
    <mergeCell ref="B1556:B1557"/>
    <mergeCell ref="C1556:C1557"/>
    <mergeCell ref="D1556:D1557"/>
    <mergeCell ref="E1556:E1557"/>
    <mergeCell ref="G1688:G1689"/>
    <mergeCell ref="G1481:G1483"/>
    <mergeCell ref="C1513:C1519"/>
    <mergeCell ref="C1581:C1587"/>
    <mergeCell ref="D1581:D1587"/>
    <mergeCell ref="F1565:F1566"/>
    <mergeCell ref="B1534:B1540"/>
    <mergeCell ref="C1534:C1540"/>
    <mergeCell ref="D1534:D1540"/>
    <mergeCell ref="E1534:E1540"/>
    <mergeCell ref="F1581:F1587"/>
    <mergeCell ref="D1513:D1519"/>
    <mergeCell ref="E1513:E1519"/>
    <mergeCell ref="G1537:G1540"/>
    <mergeCell ref="B1541:B1542"/>
    <mergeCell ref="C1541:C1542"/>
    <mergeCell ref="F1508:F1512"/>
    <mergeCell ref="G1578:G1580"/>
    <mergeCell ref="F1499:F1506"/>
    <mergeCell ref="B1499:B1506"/>
    <mergeCell ref="C1499:C1506"/>
    <mergeCell ref="D1499:D1506"/>
    <mergeCell ref="E1499:E1506"/>
    <mergeCell ref="B1484:B1486"/>
    <mergeCell ref="C1484:C1486"/>
    <mergeCell ref="D1484:D1486"/>
    <mergeCell ref="E1484:E1486"/>
    <mergeCell ref="G1543:G1545"/>
    <mergeCell ref="B1546:B1548"/>
    <mergeCell ref="C1546:C1548"/>
    <mergeCell ref="D1546:D1548"/>
    <mergeCell ref="E1546:E1548"/>
    <mergeCell ref="F1546:F1548"/>
    <mergeCell ref="C3283:K3283"/>
    <mergeCell ref="A1200:A1204"/>
    <mergeCell ref="G1125:G1127"/>
    <mergeCell ref="E1200:E1204"/>
    <mergeCell ref="D1200:D1204"/>
    <mergeCell ref="C1200:C1204"/>
    <mergeCell ref="F1200:F1204"/>
    <mergeCell ref="C2279:C2280"/>
    <mergeCell ref="A1481:A1483"/>
    <mergeCell ref="B1481:B1483"/>
    <mergeCell ref="C1481:C1483"/>
    <mergeCell ref="D1527:D1533"/>
    <mergeCell ref="E1527:E1533"/>
    <mergeCell ref="F1527:F1533"/>
    <mergeCell ref="A1438:A1441"/>
    <mergeCell ref="B1438:B1441"/>
    <mergeCell ref="D1764:D1766"/>
    <mergeCell ref="G1530:G1533"/>
    <mergeCell ref="E1764:E1766"/>
    <mergeCell ref="A1527:A1533"/>
    <mergeCell ref="B1527:B1533"/>
    <mergeCell ref="G1436:G1437"/>
    <mergeCell ref="C1578:C1580"/>
    <mergeCell ref="D1578:D1580"/>
    <mergeCell ref="E1578:E1580"/>
    <mergeCell ref="A1694:A1695"/>
    <mergeCell ref="F2771:F2773"/>
    <mergeCell ref="F1753:F1757"/>
    <mergeCell ref="C1780:C1792"/>
    <mergeCell ref="B1710:B1712"/>
    <mergeCell ref="A1696:A1698"/>
    <mergeCell ref="B1696:B1698"/>
    <mergeCell ref="E1467:E1471"/>
    <mergeCell ref="F1467:F1471"/>
    <mergeCell ref="D1481:D1483"/>
    <mergeCell ref="E1481:E1483"/>
    <mergeCell ref="F1481:F1483"/>
    <mergeCell ref="F1456:F1459"/>
    <mergeCell ref="C3282:K3282"/>
    <mergeCell ref="B1549:B1551"/>
    <mergeCell ref="C1549:C1551"/>
    <mergeCell ref="D1549:D1551"/>
    <mergeCell ref="E1549:E1551"/>
    <mergeCell ref="G1764:G1766"/>
    <mergeCell ref="F1771:F1779"/>
    <mergeCell ref="B1818:B1820"/>
    <mergeCell ref="G1667:G1668"/>
    <mergeCell ref="F1801:F1802"/>
    <mergeCell ref="G1665:G1666"/>
    <mergeCell ref="G1628:G1629"/>
    <mergeCell ref="F1513:F1519"/>
    <mergeCell ref="C1520:C1526"/>
    <mergeCell ref="D1520:D1526"/>
    <mergeCell ref="B1456:B1459"/>
    <mergeCell ref="G1787:G1788"/>
    <mergeCell ref="G1789:G1790"/>
    <mergeCell ref="B1464:B1466"/>
    <mergeCell ref="C1464:C1466"/>
    <mergeCell ref="G1464:G1466"/>
    <mergeCell ref="F1484:F1486"/>
    <mergeCell ref="G1484:G1486"/>
    <mergeCell ref="E1558:E1559"/>
    <mergeCell ref="G1574:G1575"/>
    <mergeCell ref="G1508:G1512"/>
    <mergeCell ref="C3281:K3281"/>
    <mergeCell ref="B2279:B2280"/>
    <mergeCell ref="B1414:B1417"/>
    <mergeCell ref="E1427:E1435"/>
    <mergeCell ref="F1489:F1491"/>
    <mergeCell ref="G1233:G1234"/>
    <mergeCell ref="E1492:E1498"/>
    <mergeCell ref="F1492:F1498"/>
    <mergeCell ref="A1499:A1506"/>
    <mergeCell ref="A1107:A1109"/>
    <mergeCell ref="A1049:A1051"/>
    <mergeCell ref="G1077:G1079"/>
    <mergeCell ref="C1066:C1070"/>
    <mergeCell ref="F1099:F1102"/>
    <mergeCell ref="B1460:B1463"/>
    <mergeCell ref="C1460:C1463"/>
    <mergeCell ref="E1064:E1065"/>
    <mergeCell ref="D1125:D1127"/>
    <mergeCell ref="F1125:F1127"/>
    <mergeCell ref="F1057:F1059"/>
    <mergeCell ref="G1057:G1059"/>
    <mergeCell ref="G1160:G1161"/>
    <mergeCell ref="G1181:G1183"/>
    <mergeCell ref="G1184:G1185"/>
    <mergeCell ref="G1187:G1188"/>
    <mergeCell ref="G1189:G1190"/>
    <mergeCell ref="F1237:F1252"/>
    <mergeCell ref="A1074:A1076"/>
    <mergeCell ref="E1460:E1463"/>
    <mergeCell ref="C1527:C1533"/>
    <mergeCell ref="G1528:G1529"/>
    <mergeCell ref="E1581:E1587"/>
    <mergeCell ref="F2281:F2282"/>
    <mergeCell ref="A2328:A2331"/>
    <mergeCell ref="B2328:B2331"/>
    <mergeCell ref="C2328:C2331"/>
    <mergeCell ref="G2384:G2385"/>
    <mergeCell ref="G2386:G2387"/>
    <mergeCell ref="G2295:G2296"/>
    <mergeCell ref="A2303:A2306"/>
    <mergeCell ref="G2293:G2294"/>
    <mergeCell ref="E2324:E2327"/>
    <mergeCell ref="D2314:D2323"/>
    <mergeCell ref="G2404:G2406"/>
    <mergeCell ref="B2281:B2282"/>
    <mergeCell ref="B2264:B2266"/>
    <mergeCell ref="C2264:C2266"/>
    <mergeCell ref="D2264:D2266"/>
    <mergeCell ref="G2312:G2313"/>
    <mergeCell ref="C2324:C2327"/>
    <mergeCell ref="D2324:D2327"/>
    <mergeCell ref="F2343:F2349"/>
    <mergeCell ref="F2279:F2280"/>
    <mergeCell ref="B2307:B2313"/>
    <mergeCell ref="C2307:C2313"/>
    <mergeCell ref="E2307:E2313"/>
    <mergeCell ref="F2307:F2313"/>
    <mergeCell ref="D2299:D2302"/>
    <mergeCell ref="E2299:E2302"/>
    <mergeCell ref="F2332:F2335"/>
    <mergeCell ref="F2303:F2306"/>
    <mergeCell ref="E2360:E2362"/>
    <mergeCell ref="A2366:A2367"/>
    <mergeCell ref="A2371:A2375"/>
    <mergeCell ref="A1:K1"/>
    <mergeCell ref="C3280:K3280"/>
    <mergeCell ref="G3267:G3269"/>
    <mergeCell ref="G50:G52"/>
    <mergeCell ref="E50:E52"/>
    <mergeCell ref="A50:A52"/>
    <mergeCell ref="A354:A357"/>
    <mergeCell ref="B354:B357"/>
    <mergeCell ref="C354:C357"/>
    <mergeCell ref="F1107:F1109"/>
    <mergeCell ref="G1081:G1083"/>
    <mergeCell ref="E1081:E1083"/>
    <mergeCell ref="G1107:G1109"/>
    <mergeCell ref="E1032:E1034"/>
    <mergeCell ref="F1032:F1034"/>
    <mergeCell ref="G1033:G1034"/>
    <mergeCell ref="G1074:G1076"/>
    <mergeCell ref="F1081:F1083"/>
    <mergeCell ref="E1045:E1047"/>
    <mergeCell ref="D1045:D1047"/>
    <mergeCell ref="G1748:G1750"/>
    <mergeCell ref="B1581:B1587"/>
    <mergeCell ref="A1671:A1672"/>
    <mergeCell ref="A379:A382"/>
    <mergeCell ref="G259:G260"/>
    <mergeCell ref="G261:G262"/>
    <mergeCell ref="F58:F60"/>
    <mergeCell ref="F1460:F1463"/>
    <mergeCell ref="F1451:F1455"/>
    <mergeCell ref="G1428:G1429"/>
    <mergeCell ref="F1464:F1466"/>
    <mergeCell ref="C1456:C1459"/>
    <mergeCell ref="D174:D176"/>
    <mergeCell ref="A166:A170"/>
    <mergeCell ref="B166:B170"/>
    <mergeCell ref="C166:C170"/>
    <mergeCell ref="E148:E150"/>
    <mergeCell ref="E544:E546"/>
    <mergeCell ref="F544:F546"/>
    <mergeCell ref="G544:G546"/>
    <mergeCell ref="A541:A543"/>
    <mergeCell ref="C541:C543"/>
    <mergeCell ref="D541:D543"/>
    <mergeCell ref="G541:G543"/>
    <mergeCell ref="A536:A540"/>
    <mergeCell ref="B536:B540"/>
    <mergeCell ref="C536:C540"/>
    <mergeCell ref="D536:D540"/>
    <mergeCell ref="E536:E540"/>
    <mergeCell ref="G537:G538"/>
    <mergeCell ref="D477:D478"/>
    <mergeCell ref="A423:A431"/>
    <mergeCell ref="A501:A503"/>
    <mergeCell ref="F511:F515"/>
    <mergeCell ref="C501:C503"/>
    <mergeCell ref="A504:A510"/>
    <mergeCell ref="B504:B510"/>
    <mergeCell ref="C504:C510"/>
    <mergeCell ref="D504:D510"/>
    <mergeCell ref="E504:E510"/>
    <mergeCell ref="F504:F510"/>
    <mergeCell ref="A449:A450"/>
    <mergeCell ref="A411:A415"/>
    <mergeCell ref="F360:F362"/>
    <mergeCell ref="F555:F557"/>
    <mergeCell ref="G555:G557"/>
    <mergeCell ref="A558:A560"/>
    <mergeCell ref="B558:B560"/>
    <mergeCell ref="C558:C560"/>
    <mergeCell ref="B580:B582"/>
    <mergeCell ref="C580:C582"/>
    <mergeCell ref="A564:A566"/>
    <mergeCell ref="B564:B566"/>
    <mergeCell ref="G577:G579"/>
    <mergeCell ref="G580:G582"/>
    <mergeCell ref="E561:E563"/>
    <mergeCell ref="F561:F563"/>
    <mergeCell ref="C561:C563"/>
    <mergeCell ref="E558:E560"/>
    <mergeCell ref="F558:F560"/>
    <mergeCell ref="A1451:A1455"/>
    <mergeCell ref="F1427:F1435"/>
    <mergeCell ref="E1401:E1409"/>
    <mergeCell ref="F1052:F1056"/>
    <mergeCell ref="E1325:E1328"/>
    <mergeCell ref="A1215:A1217"/>
    <mergeCell ref="B1215:B1217"/>
    <mergeCell ref="C1215:C1217"/>
    <mergeCell ref="C1410:C1413"/>
    <mergeCell ref="D1410:D1413"/>
    <mergeCell ref="E1410:E1413"/>
    <mergeCell ref="B1395:B1399"/>
    <mergeCell ref="F1366:F1372"/>
    <mergeCell ref="A1237:A1252"/>
    <mergeCell ref="B1237:B1252"/>
    <mergeCell ref="C1237:C1252"/>
    <mergeCell ref="A492:A500"/>
    <mergeCell ref="B492:B500"/>
    <mergeCell ref="C492:C500"/>
    <mergeCell ref="D526:D535"/>
    <mergeCell ref="D600:D615"/>
    <mergeCell ref="E600:E615"/>
    <mergeCell ref="F600:F615"/>
    <mergeCell ref="G601:G603"/>
    <mergeCell ref="G604:G606"/>
    <mergeCell ref="G607:G609"/>
    <mergeCell ref="F734:F738"/>
    <mergeCell ref="E684:E686"/>
    <mergeCell ref="F684:F686"/>
    <mergeCell ref="G684:G686"/>
    <mergeCell ref="A687:A689"/>
    <mergeCell ref="B687:B689"/>
    <mergeCell ref="C687:C689"/>
    <mergeCell ref="D687:D689"/>
    <mergeCell ref="E687:E689"/>
    <mergeCell ref="F687:F689"/>
    <mergeCell ref="G687:G689"/>
    <mergeCell ref="B622:B624"/>
    <mergeCell ref="C622:C624"/>
    <mergeCell ref="D622:D624"/>
    <mergeCell ref="E622:E624"/>
    <mergeCell ref="F622:F624"/>
    <mergeCell ref="F649:F657"/>
    <mergeCell ref="G668:G671"/>
    <mergeCell ref="G679:G680"/>
    <mergeCell ref="B693:B697"/>
    <mergeCell ref="C693:C697"/>
    <mergeCell ref="D693:D697"/>
    <mergeCell ref="A616:A618"/>
    <mergeCell ref="B616:B618"/>
    <mergeCell ref="A644:A648"/>
    <mergeCell ref="B722:B730"/>
    <mergeCell ref="C616:C618"/>
    <mergeCell ref="D616:D618"/>
    <mergeCell ref="G616:G618"/>
    <mergeCell ref="F719:F721"/>
    <mergeCell ref="A779:A781"/>
    <mergeCell ref="A819:A822"/>
    <mergeCell ref="B819:B822"/>
    <mergeCell ref="D711:D713"/>
    <mergeCell ref="F708:F710"/>
    <mergeCell ref="A744:A746"/>
    <mergeCell ref="B744:B746"/>
    <mergeCell ref="C744:C746"/>
    <mergeCell ref="D744:D746"/>
    <mergeCell ref="E744:E746"/>
    <mergeCell ref="F744:F746"/>
    <mergeCell ref="A775:A776"/>
    <mergeCell ref="B775:B776"/>
    <mergeCell ref="A719:A721"/>
    <mergeCell ref="F793:F811"/>
    <mergeCell ref="E819:E822"/>
    <mergeCell ref="E722:E730"/>
    <mergeCell ref="F722:F730"/>
    <mergeCell ref="F782:F784"/>
    <mergeCell ref="A815:A818"/>
    <mergeCell ref="B815:B818"/>
    <mergeCell ref="A622:A624"/>
    <mergeCell ref="G619:G621"/>
    <mergeCell ref="E616:E618"/>
    <mergeCell ref="A1052:A1056"/>
    <mergeCell ref="B1052:B1056"/>
    <mergeCell ref="C1052:C1056"/>
    <mergeCell ref="D1052:D1056"/>
    <mergeCell ref="E1052:E1056"/>
    <mergeCell ref="G1060:G1062"/>
    <mergeCell ref="G1251:G1252"/>
    <mergeCell ref="G1339:G1340"/>
    <mergeCell ref="G1341:G1342"/>
    <mergeCell ref="G1343:G1344"/>
    <mergeCell ref="F1305:F1308"/>
    <mergeCell ref="F929:F930"/>
    <mergeCell ref="A1227:A1229"/>
    <mergeCell ref="B1227:B1229"/>
    <mergeCell ref="C1227:C1229"/>
    <mergeCell ref="C955:C957"/>
    <mergeCell ref="D955:D957"/>
    <mergeCell ref="E955:E957"/>
    <mergeCell ref="F955:F957"/>
    <mergeCell ref="F1215:F1217"/>
    <mergeCell ref="D1215:D1217"/>
    <mergeCell ref="D1259:D1261"/>
    <mergeCell ref="E1259:E1261"/>
    <mergeCell ref="A1281:A1282"/>
    <mergeCell ref="B1281:B1282"/>
    <mergeCell ref="A1274:A1276"/>
    <mergeCell ref="E1286:E1289"/>
    <mergeCell ref="B1336:B1344"/>
    <mergeCell ref="C1336:C1344"/>
    <mergeCell ref="A951:A953"/>
    <mergeCell ref="B951:B953"/>
    <mergeCell ref="F939:F940"/>
    <mergeCell ref="A1456:A1459"/>
    <mergeCell ref="E1489:E1491"/>
    <mergeCell ref="B1451:B1455"/>
    <mergeCell ref="A1336:A1344"/>
    <mergeCell ref="A1492:A1498"/>
    <mergeCell ref="B1492:B1498"/>
    <mergeCell ref="C1492:C1498"/>
    <mergeCell ref="D1460:D1463"/>
    <mergeCell ref="C1710:C1712"/>
    <mergeCell ref="D1710:D1712"/>
    <mergeCell ref="A1305:A1308"/>
    <mergeCell ref="B1305:B1308"/>
    <mergeCell ref="C1305:C1308"/>
    <mergeCell ref="D1305:D1308"/>
    <mergeCell ref="E1305:E1308"/>
    <mergeCell ref="A1309:A1316"/>
    <mergeCell ref="B1309:B1316"/>
    <mergeCell ref="C1309:C1316"/>
    <mergeCell ref="E1696:E1698"/>
    <mergeCell ref="E1565:E1566"/>
    <mergeCell ref="A1567:A1569"/>
    <mergeCell ref="B1567:B1569"/>
    <mergeCell ref="C1567:C1569"/>
    <mergeCell ref="D1567:D1569"/>
    <mergeCell ref="E1567:E1569"/>
    <mergeCell ref="A1513:A1519"/>
    <mergeCell ref="B1513:B1519"/>
    <mergeCell ref="E1590:E1596"/>
    <mergeCell ref="D1541:D1542"/>
    <mergeCell ref="E1541:E1542"/>
    <mergeCell ref="A1647:A1649"/>
    <mergeCell ref="E1606:E1612"/>
    <mergeCell ref="D1467:D1471"/>
    <mergeCell ref="A1534:A1540"/>
    <mergeCell ref="A1565:A1566"/>
    <mergeCell ref="A1520:A1526"/>
    <mergeCell ref="B1520:B1526"/>
    <mergeCell ref="G1567:G1569"/>
    <mergeCell ref="G1743:G1744"/>
    <mergeCell ref="A1736:A1744"/>
    <mergeCell ref="D1309:D1316"/>
    <mergeCell ref="A1489:A1491"/>
    <mergeCell ref="B1489:B1491"/>
    <mergeCell ref="C1489:C1491"/>
    <mergeCell ref="D1489:D1491"/>
    <mergeCell ref="D929:D930"/>
    <mergeCell ref="A868:A870"/>
    <mergeCell ref="B884:B885"/>
    <mergeCell ref="C884:C885"/>
    <mergeCell ref="A929:A930"/>
    <mergeCell ref="B929:B930"/>
    <mergeCell ref="B1027:B1031"/>
    <mergeCell ref="C1027:C1031"/>
    <mergeCell ref="A1039:A1041"/>
    <mergeCell ref="B1039:B1041"/>
    <mergeCell ref="C1039:C1041"/>
    <mergeCell ref="A1578:A1580"/>
    <mergeCell ref="B1628:B1629"/>
    <mergeCell ref="B1736:B1744"/>
    <mergeCell ref="G1692:G1693"/>
    <mergeCell ref="A1618:A1620"/>
    <mergeCell ref="D941:D943"/>
    <mergeCell ref="E941:E943"/>
    <mergeCell ref="F941:F943"/>
    <mergeCell ref="A1713:A1715"/>
    <mergeCell ref="B1713:B1715"/>
    <mergeCell ref="A1057:A1059"/>
    <mergeCell ref="A1726:A1728"/>
    <mergeCell ref="B1726:B1728"/>
    <mergeCell ref="C1726:C1728"/>
    <mergeCell ref="D1726:D1728"/>
    <mergeCell ref="E1726:E1728"/>
    <mergeCell ref="F1726:F1728"/>
    <mergeCell ref="G1741:G1742"/>
    <mergeCell ref="A1771:A1779"/>
    <mergeCell ref="B1771:B1779"/>
    <mergeCell ref="C1771:C1779"/>
    <mergeCell ref="D1771:D1779"/>
    <mergeCell ref="E1771:E1779"/>
    <mergeCell ref="B1560:B1562"/>
    <mergeCell ref="C1560:C1562"/>
    <mergeCell ref="D1560:D1562"/>
    <mergeCell ref="E1560:E1562"/>
    <mergeCell ref="F1560:F1562"/>
    <mergeCell ref="G1560:G1562"/>
    <mergeCell ref="A1764:A1766"/>
    <mergeCell ref="A1745:A1747"/>
    <mergeCell ref="A1748:A1750"/>
    <mergeCell ref="B1764:B1766"/>
    <mergeCell ref="C1764:C1766"/>
    <mergeCell ref="B1578:B1580"/>
    <mergeCell ref="G1419:G1420"/>
    <mergeCell ref="G1402:G1403"/>
    <mergeCell ref="G1404:G1405"/>
    <mergeCell ref="G1406:G1407"/>
    <mergeCell ref="G1380:G1382"/>
    <mergeCell ref="G2253:G2257"/>
    <mergeCell ref="E2314:E2323"/>
    <mergeCell ref="F2314:F2323"/>
    <mergeCell ref="A2269:A2271"/>
    <mergeCell ref="B2269:B2271"/>
    <mergeCell ref="C2269:C2271"/>
    <mergeCell ref="D2269:D2271"/>
    <mergeCell ref="E2269:E2271"/>
    <mergeCell ref="F2269:F2271"/>
    <mergeCell ref="D2281:D2282"/>
    <mergeCell ref="E2281:E2282"/>
    <mergeCell ref="B2292:B2298"/>
    <mergeCell ref="C2292:C2298"/>
    <mergeCell ref="F2299:F2302"/>
    <mergeCell ref="F2283:F2284"/>
    <mergeCell ref="F2245:F2249"/>
    <mergeCell ref="G2290:G2291"/>
    <mergeCell ref="G2286:G2287"/>
    <mergeCell ref="G2258:G2262"/>
    <mergeCell ref="G2246:G2247"/>
    <mergeCell ref="A2292:A2298"/>
    <mergeCell ref="E2264:E2266"/>
    <mergeCell ref="B2314:B2323"/>
    <mergeCell ref="G2308:G2309"/>
    <mergeCell ref="G2310:G2311"/>
    <mergeCell ref="F2292:F2298"/>
    <mergeCell ref="F2258:F2262"/>
    <mergeCell ref="C2285:C2291"/>
    <mergeCell ref="D2285:D2291"/>
    <mergeCell ref="E2285:E2291"/>
    <mergeCell ref="A2283:A2284"/>
    <mergeCell ref="C2281:C2282"/>
    <mergeCell ref="A2224:A2226"/>
    <mergeCell ref="B2224:B2226"/>
    <mergeCell ref="C2224:C2226"/>
    <mergeCell ref="A2245:A2249"/>
    <mergeCell ref="A2279:A2280"/>
    <mergeCell ref="A2264:A2266"/>
    <mergeCell ref="F2264:F2266"/>
    <mergeCell ref="B2275:B2277"/>
    <mergeCell ref="C2275:C2277"/>
    <mergeCell ref="D2275:D2277"/>
    <mergeCell ref="E2275:E2277"/>
    <mergeCell ref="E2253:E2257"/>
    <mergeCell ref="F2235:F2236"/>
    <mergeCell ref="C2183:C2185"/>
    <mergeCell ref="D2183:D2185"/>
    <mergeCell ref="E2183:E2185"/>
    <mergeCell ref="F2183:F2185"/>
    <mergeCell ref="A2215:A2216"/>
    <mergeCell ref="A2238:A2242"/>
    <mergeCell ref="F2238:F2242"/>
    <mergeCell ref="C2238:C2242"/>
    <mergeCell ref="D2279:D2280"/>
    <mergeCell ref="A2235:A2236"/>
    <mergeCell ref="B2199:B2201"/>
    <mergeCell ref="A2199:A2201"/>
    <mergeCell ref="C2199:C2201"/>
    <mergeCell ref="D2199:D2201"/>
    <mergeCell ref="E2199:E2201"/>
    <mergeCell ref="F2199:F2201"/>
    <mergeCell ref="A2192:A2194"/>
    <mergeCell ref="B2192:B2194"/>
    <mergeCell ref="C2192:C2194"/>
    <mergeCell ref="A2525:A2527"/>
    <mergeCell ref="B2525:B2527"/>
    <mergeCell ref="C2525:C2527"/>
    <mergeCell ref="D2525:D2527"/>
    <mergeCell ref="E2525:E2527"/>
    <mergeCell ref="F2525:F2527"/>
    <mergeCell ref="C2571:C2573"/>
    <mergeCell ref="A2724:A2738"/>
    <mergeCell ref="C2162:C2164"/>
    <mergeCell ref="D2162:D2164"/>
    <mergeCell ref="E2162:E2164"/>
    <mergeCell ref="F2162:F2164"/>
    <mergeCell ref="B2162:B2164"/>
    <mergeCell ref="F2213:F2214"/>
    <mergeCell ref="D2224:D2226"/>
    <mergeCell ref="E2224:E2226"/>
    <mergeCell ref="F2224:F2226"/>
    <mergeCell ref="B2189:B2191"/>
    <mergeCell ref="C2189:C2191"/>
    <mergeCell ref="D2189:D2191"/>
    <mergeCell ref="E2189:E2191"/>
    <mergeCell ref="F2189:F2191"/>
    <mergeCell ref="B2186:B2188"/>
    <mergeCell ref="C2186:C2188"/>
    <mergeCell ref="D2186:D2188"/>
    <mergeCell ref="E2186:E2188"/>
    <mergeCell ref="F2186:F2188"/>
    <mergeCell ref="F2197:F2198"/>
    <mergeCell ref="E2213:E2214"/>
    <mergeCell ref="B2215:B2216"/>
    <mergeCell ref="C2215:C2216"/>
    <mergeCell ref="D2215:D2216"/>
    <mergeCell ref="E2472:E2475"/>
    <mergeCell ref="F2472:F2475"/>
    <mergeCell ref="A2324:A2327"/>
    <mergeCell ref="B2324:B2327"/>
    <mergeCell ref="B2332:B2335"/>
    <mergeCell ref="A2448:A2452"/>
    <mergeCell ref="A2453:A2455"/>
    <mergeCell ref="D2395:D2398"/>
    <mergeCell ref="C2366:C2367"/>
    <mergeCell ref="E2356:E2359"/>
    <mergeCell ref="F2356:F2359"/>
    <mergeCell ref="D2328:D2331"/>
    <mergeCell ref="E2328:E2331"/>
    <mergeCell ref="A2336:A2342"/>
    <mergeCell ref="A2343:A2349"/>
    <mergeCell ref="D2356:D2359"/>
    <mergeCell ref="B2356:B2359"/>
    <mergeCell ref="F2430:F2432"/>
    <mergeCell ref="A2423:A2426"/>
    <mergeCell ref="B2423:B2426"/>
    <mergeCell ref="C2423:C2426"/>
    <mergeCell ref="D2423:D2426"/>
    <mergeCell ref="E2423:E2426"/>
    <mergeCell ref="F2423:F2426"/>
    <mergeCell ref="A2459:A2462"/>
    <mergeCell ref="A2466:A2468"/>
    <mergeCell ref="F2466:F2468"/>
    <mergeCell ref="F2445:F2447"/>
    <mergeCell ref="F2442:F2444"/>
    <mergeCell ref="F2459:F2462"/>
    <mergeCell ref="F2463:F2465"/>
    <mergeCell ref="F2434:F2438"/>
    <mergeCell ref="G625:G627"/>
    <mergeCell ref="G1535:G1536"/>
    <mergeCell ref="F958:F960"/>
    <mergeCell ref="B2724:B2738"/>
    <mergeCell ref="C2724:C2738"/>
    <mergeCell ref="D2724:D2738"/>
    <mergeCell ref="E2724:E2738"/>
    <mergeCell ref="F2724:F2738"/>
    <mergeCell ref="G130:G132"/>
    <mergeCell ref="G133:G135"/>
    <mergeCell ref="G1523:G1526"/>
    <mergeCell ref="G1565:G1566"/>
    <mergeCell ref="G1618:G1620"/>
    <mergeCell ref="G177:G179"/>
    <mergeCell ref="G1367:G1368"/>
    <mergeCell ref="G1369:G1370"/>
    <mergeCell ref="G1371:G1372"/>
    <mergeCell ref="G244:G246"/>
    <mergeCell ref="G727:G728"/>
    <mergeCell ref="G240:G241"/>
    <mergeCell ref="D166:D170"/>
    <mergeCell ref="E166:E170"/>
    <mergeCell ref="F166:F170"/>
    <mergeCell ref="G167:G168"/>
    <mergeCell ref="G169:G170"/>
    <mergeCell ref="G174:G176"/>
    <mergeCell ref="E290:E292"/>
    <mergeCell ref="F290:F292"/>
    <mergeCell ref="G290:G292"/>
    <mergeCell ref="D309:D311"/>
    <mergeCell ref="E309:E311"/>
    <mergeCell ref="D2472:D2475"/>
    <mergeCell ref="G939:G940"/>
    <mergeCell ref="G1359:G1362"/>
    <mergeCell ref="G424:G425"/>
    <mergeCell ref="G412:G413"/>
    <mergeCell ref="G417:G419"/>
    <mergeCell ref="G1064:G1065"/>
    <mergeCell ref="G286:G287"/>
    <mergeCell ref="G189:G191"/>
    <mergeCell ref="G473:G474"/>
    <mergeCell ref="G442:G443"/>
    <mergeCell ref="G769:G772"/>
    <mergeCell ref="G767:G768"/>
    <mergeCell ref="G797:G799"/>
    <mergeCell ref="G313:G315"/>
    <mergeCell ref="G610:G612"/>
    <mergeCell ref="G613:G615"/>
    <mergeCell ref="G979:G984"/>
    <mergeCell ref="G1165:G1166"/>
    <mergeCell ref="G1244:G1245"/>
    <mergeCell ref="G1247:G1248"/>
    <mergeCell ref="G1249:G1250"/>
    <mergeCell ref="G628:G630"/>
    <mergeCell ref="G659:G660"/>
    <mergeCell ref="G661:G662"/>
    <mergeCell ref="G946:G950"/>
    <mergeCell ref="G247:G249"/>
    <mergeCell ref="G218:G219"/>
    <mergeCell ref="G220:G221"/>
    <mergeCell ref="G222:G223"/>
    <mergeCell ref="G316:G318"/>
    <mergeCell ref="G319:G321"/>
    <mergeCell ref="G452:G453"/>
    <mergeCell ref="A3086:A3088"/>
    <mergeCell ref="B3086:B3088"/>
    <mergeCell ref="G2645:G2646"/>
    <mergeCell ref="G2372:G2373"/>
    <mergeCell ref="G322:G324"/>
    <mergeCell ref="G469:G470"/>
    <mergeCell ref="G471:G472"/>
    <mergeCell ref="G306:G308"/>
    <mergeCell ref="G1197:G1198"/>
    <mergeCell ref="G433:G434"/>
    <mergeCell ref="G435:G436"/>
    <mergeCell ref="F2860:F2862"/>
    <mergeCell ref="G2860:G2862"/>
    <mergeCell ref="G293:G294"/>
    <mergeCell ref="F2228:F2232"/>
    <mergeCell ref="D2940:D2946"/>
    <mergeCell ref="E2940:E2946"/>
    <mergeCell ref="F3015:F3017"/>
    <mergeCell ref="G3015:G3017"/>
    <mergeCell ref="F312:F324"/>
    <mergeCell ref="E303:E305"/>
    <mergeCell ref="D312:D324"/>
    <mergeCell ref="F482:F491"/>
    <mergeCell ref="G483:G485"/>
    <mergeCell ref="G486:G488"/>
    <mergeCell ref="G489:G491"/>
    <mergeCell ref="D460:D464"/>
    <mergeCell ref="E477:E478"/>
    <mergeCell ref="E929:E930"/>
    <mergeCell ref="G650:G651"/>
    <mergeCell ref="E706:E707"/>
    <mergeCell ref="F706:F707"/>
    <mergeCell ref="A3051:C3051"/>
    <mergeCell ref="D2983:D2985"/>
    <mergeCell ref="E2983:E2985"/>
    <mergeCell ref="A2950:A2952"/>
    <mergeCell ref="G2983:G2985"/>
    <mergeCell ref="A2937:A2939"/>
    <mergeCell ref="B2937:B2939"/>
    <mergeCell ref="F2977:F2979"/>
    <mergeCell ref="G2977:G2979"/>
    <mergeCell ref="E3056:E3060"/>
    <mergeCell ref="F3056:F3060"/>
    <mergeCell ref="G3057:G3058"/>
    <mergeCell ref="G3059:G3060"/>
    <mergeCell ref="A2996:A2998"/>
    <mergeCell ref="B2996:B2998"/>
    <mergeCell ref="C2996:C2998"/>
    <mergeCell ref="D2996:D2998"/>
    <mergeCell ref="E2996:E2998"/>
    <mergeCell ref="F2996:F2998"/>
    <mergeCell ref="G2996:G2998"/>
    <mergeCell ref="B3015:B3017"/>
    <mergeCell ref="C3015:C3017"/>
    <mergeCell ref="G3047:G3048"/>
    <mergeCell ref="A3049:A3050"/>
    <mergeCell ref="B3049:B3050"/>
    <mergeCell ref="C3049:C3050"/>
    <mergeCell ref="D3049:D3050"/>
    <mergeCell ref="E3049:E3050"/>
    <mergeCell ref="A3056:A3060"/>
    <mergeCell ref="B3056:B3060"/>
    <mergeCell ref="C3056:C3060"/>
    <mergeCell ref="D3056:D3060"/>
    <mergeCell ref="A2845:A2847"/>
    <mergeCell ref="B2922:B2924"/>
    <mergeCell ref="C2922:C2924"/>
    <mergeCell ref="D2922:D2924"/>
    <mergeCell ref="B2860:B2862"/>
    <mergeCell ref="C2860:C2862"/>
    <mergeCell ref="D708:D710"/>
    <mergeCell ref="E708:E710"/>
    <mergeCell ref="C711:C713"/>
    <mergeCell ref="D3135:D3141"/>
    <mergeCell ref="E3135:E3141"/>
    <mergeCell ref="F3135:F3141"/>
    <mergeCell ref="D1022:D1026"/>
    <mergeCell ref="A2756:A2758"/>
    <mergeCell ref="B2756:B2758"/>
    <mergeCell ref="A2947:A2949"/>
    <mergeCell ref="B2947:B2949"/>
    <mergeCell ref="C2947:C2949"/>
    <mergeCell ref="D2947:D2949"/>
    <mergeCell ref="E2947:E2949"/>
    <mergeCell ref="F2947:F2949"/>
    <mergeCell ref="F2940:F2946"/>
    <mergeCell ref="F2157:F2158"/>
    <mergeCell ref="F2756:F2758"/>
    <mergeCell ref="B2303:B2306"/>
    <mergeCell ref="C2303:C2306"/>
    <mergeCell ref="E2740:E2744"/>
    <mergeCell ref="A2275:A2277"/>
    <mergeCell ref="A2285:A2291"/>
    <mergeCell ref="B2285:B2291"/>
    <mergeCell ref="D2977:D2979"/>
    <mergeCell ref="E2977:E2979"/>
    <mergeCell ref="C24:C26"/>
    <mergeCell ref="D24:D26"/>
    <mergeCell ref="E24:E26"/>
    <mergeCell ref="F24:F26"/>
    <mergeCell ref="G24:G26"/>
    <mergeCell ref="A30:A31"/>
    <mergeCell ref="B30:B31"/>
    <mergeCell ref="C30:C31"/>
    <mergeCell ref="D30:D31"/>
    <mergeCell ref="E30:E31"/>
    <mergeCell ref="F30:F31"/>
    <mergeCell ref="A32:A33"/>
    <mergeCell ref="B32:B33"/>
    <mergeCell ref="C32:C33"/>
    <mergeCell ref="A53:A57"/>
    <mergeCell ref="B53:B57"/>
    <mergeCell ref="C53:C57"/>
    <mergeCell ref="D53:D57"/>
    <mergeCell ref="E53:E57"/>
    <mergeCell ref="F53:F57"/>
    <mergeCell ref="G54:G55"/>
    <mergeCell ref="G56:G57"/>
    <mergeCell ref="A42:A43"/>
    <mergeCell ref="B42:B43"/>
    <mergeCell ref="C42:C43"/>
    <mergeCell ref="D42:D43"/>
    <mergeCell ref="E42:E43"/>
    <mergeCell ref="F42:F43"/>
    <mergeCell ref="G42:G43"/>
    <mergeCell ref="B50:B52"/>
    <mergeCell ref="B45:B49"/>
    <mergeCell ref="C45:C49"/>
    <mergeCell ref="D45:D49"/>
    <mergeCell ref="E45:E49"/>
    <mergeCell ref="A113:A125"/>
    <mergeCell ref="B113:B125"/>
    <mergeCell ref="C113:C125"/>
    <mergeCell ref="D113:D125"/>
    <mergeCell ref="E113:E125"/>
    <mergeCell ref="F113:F125"/>
    <mergeCell ref="G114:G116"/>
    <mergeCell ref="G117:G119"/>
    <mergeCell ref="G120:G122"/>
    <mergeCell ref="G123:G125"/>
    <mergeCell ref="A67:A68"/>
    <mergeCell ref="B67:B68"/>
    <mergeCell ref="C67:C68"/>
    <mergeCell ref="D67:D68"/>
    <mergeCell ref="E67:E68"/>
    <mergeCell ref="F67:F68"/>
    <mergeCell ref="D50:D52"/>
    <mergeCell ref="C50:C52"/>
    <mergeCell ref="F50:F52"/>
    <mergeCell ref="B58:B60"/>
    <mergeCell ref="A62:A64"/>
    <mergeCell ref="A94:A112"/>
    <mergeCell ref="G70:G72"/>
    <mergeCell ref="G46:G47"/>
    <mergeCell ref="G48:G49"/>
    <mergeCell ref="G110:G112"/>
    <mergeCell ref="C58:C60"/>
    <mergeCell ref="A76:A82"/>
    <mergeCell ref="A58:A60"/>
    <mergeCell ref="G95:G97"/>
    <mergeCell ref="A192:A201"/>
    <mergeCell ref="B192:B201"/>
    <mergeCell ref="C192:C201"/>
    <mergeCell ref="G171:G173"/>
    <mergeCell ref="G156:G157"/>
    <mergeCell ref="G180:G181"/>
    <mergeCell ref="A148:A150"/>
    <mergeCell ref="B148:B150"/>
    <mergeCell ref="C148:C150"/>
    <mergeCell ref="D148:D150"/>
    <mergeCell ref="G152:G153"/>
    <mergeCell ref="E151:E159"/>
    <mergeCell ref="F151:F159"/>
    <mergeCell ref="A180:A181"/>
    <mergeCell ref="D171:D173"/>
    <mergeCell ref="E171:E173"/>
    <mergeCell ref="F171:F173"/>
    <mergeCell ref="D162:D165"/>
    <mergeCell ref="G196:G198"/>
    <mergeCell ref="G199:G201"/>
    <mergeCell ref="C189:C191"/>
    <mergeCell ref="D189:D191"/>
    <mergeCell ref="E189:E191"/>
    <mergeCell ref="F189:F191"/>
    <mergeCell ref="E180:E181"/>
    <mergeCell ref="B162:B165"/>
    <mergeCell ref="G163:G165"/>
    <mergeCell ref="G193:G195"/>
    <mergeCell ref="C162:C165"/>
    <mergeCell ref="A171:A173"/>
    <mergeCell ref="E177:E179"/>
    <mergeCell ref="F177:F179"/>
    <mergeCell ref="G564:G566"/>
    <mergeCell ref="A569:A573"/>
    <mergeCell ref="B569:B573"/>
    <mergeCell ref="C569:C573"/>
    <mergeCell ref="D569:D573"/>
    <mergeCell ref="E569:E573"/>
    <mergeCell ref="F569:F573"/>
    <mergeCell ref="G570:G571"/>
    <mergeCell ref="G572:G573"/>
    <mergeCell ref="F586:F588"/>
    <mergeCell ref="F526:F535"/>
    <mergeCell ref="C574:C576"/>
    <mergeCell ref="D574:D576"/>
    <mergeCell ref="E574:E576"/>
    <mergeCell ref="F574:F576"/>
    <mergeCell ref="G574:G576"/>
    <mergeCell ref="A555:A557"/>
    <mergeCell ref="G586:G588"/>
    <mergeCell ref="D586:D588"/>
    <mergeCell ref="C550:C554"/>
    <mergeCell ref="D550:D554"/>
    <mergeCell ref="D567:D568"/>
    <mergeCell ref="A574:A576"/>
    <mergeCell ref="A567:A568"/>
    <mergeCell ref="B567:B568"/>
    <mergeCell ref="C567:C568"/>
    <mergeCell ref="B577:B579"/>
    <mergeCell ref="A550:A554"/>
    <mergeCell ref="B550:B554"/>
    <mergeCell ref="C577:C579"/>
    <mergeCell ref="D577:D579"/>
    <mergeCell ref="E577:E579"/>
    <mergeCell ref="B946:B950"/>
    <mergeCell ref="B944:B945"/>
    <mergeCell ref="C944:C945"/>
    <mergeCell ref="C845:C848"/>
    <mergeCell ref="D845:D848"/>
    <mergeCell ref="G845:G848"/>
    <mergeCell ref="C564:C566"/>
    <mergeCell ref="A843:A844"/>
    <mergeCell ref="B843:B844"/>
    <mergeCell ref="C843:C844"/>
    <mergeCell ref="D843:D844"/>
    <mergeCell ref="E843:E844"/>
    <mergeCell ref="A845:A848"/>
    <mergeCell ref="B845:B848"/>
    <mergeCell ref="E845:E848"/>
    <mergeCell ref="G654:G655"/>
    <mergeCell ref="F845:F848"/>
    <mergeCell ref="B831:B832"/>
    <mergeCell ref="C831:C832"/>
    <mergeCell ref="A782:A784"/>
    <mergeCell ref="G791:G792"/>
    <mergeCell ref="G756:G758"/>
    <mergeCell ref="C775:C776"/>
    <mergeCell ref="D775:D776"/>
    <mergeCell ref="E775:E776"/>
    <mergeCell ref="F775:F776"/>
    <mergeCell ref="G775:G776"/>
    <mergeCell ref="A787:A788"/>
    <mergeCell ref="G638:G640"/>
    <mergeCell ref="G641:G643"/>
    <mergeCell ref="F690:F692"/>
    <mergeCell ref="A592:A594"/>
    <mergeCell ref="B963:B965"/>
    <mergeCell ref="C963:C965"/>
    <mergeCell ref="D963:D965"/>
    <mergeCell ref="E963:E965"/>
    <mergeCell ref="F963:F965"/>
    <mergeCell ref="A961:A962"/>
    <mergeCell ref="B961:B962"/>
    <mergeCell ref="A937:A938"/>
    <mergeCell ref="B937:B938"/>
    <mergeCell ref="C937:C938"/>
    <mergeCell ref="D937:D938"/>
    <mergeCell ref="E937:E938"/>
    <mergeCell ref="F937:F938"/>
    <mergeCell ref="G937:G938"/>
    <mergeCell ref="D933:D935"/>
    <mergeCell ref="E933:E935"/>
    <mergeCell ref="F933:F935"/>
    <mergeCell ref="G933:G935"/>
    <mergeCell ref="C933:C935"/>
    <mergeCell ref="D939:D940"/>
    <mergeCell ref="E939:E940"/>
    <mergeCell ref="B939:B940"/>
    <mergeCell ref="C939:C940"/>
    <mergeCell ref="C951:C953"/>
    <mergeCell ref="D951:D953"/>
    <mergeCell ref="E951:E953"/>
    <mergeCell ref="F951:F953"/>
    <mergeCell ref="G951:G953"/>
    <mergeCell ref="C946:C950"/>
    <mergeCell ref="D946:D950"/>
    <mergeCell ref="B958:B960"/>
    <mergeCell ref="A946:A950"/>
    <mergeCell ref="C958:C960"/>
    <mergeCell ref="D958:D960"/>
    <mergeCell ref="A973:A974"/>
    <mergeCell ref="B973:B974"/>
    <mergeCell ref="C973:C974"/>
    <mergeCell ref="D973:D974"/>
    <mergeCell ref="E973:E974"/>
    <mergeCell ref="F973:F974"/>
    <mergeCell ref="A975:A977"/>
    <mergeCell ref="B975:B977"/>
    <mergeCell ref="C975:C977"/>
    <mergeCell ref="D975:D977"/>
    <mergeCell ref="E975:E977"/>
    <mergeCell ref="F975:F977"/>
    <mergeCell ref="A985:A986"/>
    <mergeCell ref="B985:B986"/>
    <mergeCell ref="C985:C986"/>
    <mergeCell ref="D985:D986"/>
    <mergeCell ref="E985:E986"/>
    <mergeCell ref="A978:A984"/>
    <mergeCell ref="B978:B984"/>
    <mergeCell ref="C978:C984"/>
    <mergeCell ref="F978:F984"/>
    <mergeCell ref="A966:A968"/>
    <mergeCell ref="B966:B968"/>
    <mergeCell ref="C966:C968"/>
    <mergeCell ref="D966:D968"/>
    <mergeCell ref="E966:E968"/>
    <mergeCell ref="F966:F968"/>
    <mergeCell ref="D961:D962"/>
    <mergeCell ref="E961:E962"/>
    <mergeCell ref="A963:A965"/>
    <mergeCell ref="C987:C988"/>
    <mergeCell ref="E997:E998"/>
    <mergeCell ref="D997:D998"/>
    <mergeCell ref="E995:E996"/>
    <mergeCell ref="F995:F996"/>
    <mergeCell ref="G990:G991"/>
    <mergeCell ref="D992:D994"/>
    <mergeCell ref="A989:A991"/>
    <mergeCell ref="B989:B991"/>
    <mergeCell ref="C989:C991"/>
    <mergeCell ref="D989:D991"/>
    <mergeCell ref="A992:A994"/>
    <mergeCell ref="B992:B994"/>
    <mergeCell ref="E989:E991"/>
    <mergeCell ref="F989:F991"/>
    <mergeCell ref="D995:D996"/>
    <mergeCell ref="C997:C998"/>
    <mergeCell ref="D999:D1000"/>
    <mergeCell ref="G992:G994"/>
    <mergeCell ref="G995:G996"/>
    <mergeCell ref="G997:G998"/>
    <mergeCell ref="G999:G1000"/>
    <mergeCell ref="F992:F994"/>
    <mergeCell ref="B997:B998"/>
    <mergeCell ref="A997:A998"/>
    <mergeCell ref="A995:A996"/>
    <mergeCell ref="B995:B996"/>
    <mergeCell ref="C995:C996"/>
    <mergeCell ref="A1035:A1037"/>
    <mergeCell ref="B1035:B1037"/>
    <mergeCell ref="C1035:C1037"/>
    <mergeCell ref="D1035:D1037"/>
    <mergeCell ref="E1035:E1037"/>
    <mergeCell ref="F1035:F1037"/>
    <mergeCell ref="A1003:A1004"/>
    <mergeCell ref="B1003:B1004"/>
    <mergeCell ref="C1003:C1004"/>
    <mergeCell ref="D1003:D1004"/>
    <mergeCell ref="E1003:E1004"/>
    <mergeCell ref="F1003:F1004"/>
    <mergeCell ref="G1003:G1004"/>
    <mergeCell ref="G1028:G1029"/>
    <mergeCell ref="G1030:G1031"/>
    <mergeCell ref="E1027:E1031"/>
    <mergeCell ref="A1032:A1034"/>
    <mergeCell ref="B1032:B1034"/>
    <mergeCell ref="A1011:A1012"/>
    <mergeCell ref="B1011:B1012"/>
    <mergeCell ref="C1011:C1012"/>
    <mergeCell ref="A1009:A1010"/>
    <mergeCell ref="G1025:G1026"/>
    <mergeCell ref="A1045:A1047"/>
    <mergeCell ref="B1049:B1051"/>
    <mergeCell ref="A1022:A1026"/>
    <mergeCell ref="G1036:G1037"/>
    <mergeCell ref="G1042:G1044"/>
    <mergeCell ref="D1011:D1012"/>
    <mergeCell ref="F1007:F1008"/>
    <mergeCell ref="D1039:D1041"/>
    <mergeCell ref="E1039:E1041"/>
    <mergeCell ref="E1022:E1026"/>
    <mergeCell ref="F1022:F1026"/>
    <mergeCell ref="A849:A851"/>
    <mergeCell ref="B849:B851"/>
    <mergeCell ref="C849:C851"/>
    <mergeCell ref="D849:D851"/>
    <mergeCell ref="E849:E851"/>
    <mergeCell ref="F849:F851"/>
    <mergeCell ref="A874:A883"/>
    <mergeCell ref="B874:B883"/>
    <mergeCell ref="C874:C883"/>
    <mergeCell ref="D874:D883"/>
    <mergeCell ref="E874:E883"/>
    <mergeCell ref="F874:F883"/>
    <mergeCell ref="D931:D932"/>
    <mergeCell ref="F900:F911"/>
    <mergeCell ref="C929:C930"/>
    <mergeCell ref="G941:G943"/>
    <mergeCell ref="B941:B943"/>
    <mergeCell ref="C941:C943"/>
    <mergeCell ref="G1011:G1012"/>
    <mergeCell ref="A1001:A1002"/>
    <mergeCell ref="B1001:B1002"/>
    <mergeCell ref="C1001:C1002"/>
    <mergeCell ref="D1001:D1002"/>
    <mergeCell ref="E1001:E1002"/>
    <mergeCell ref="F1001:F1002"/>
    <mergeCell ref="G1001:G1002"/>
    <mergeCell ref="F997:F998"/>
    <mergeCell ref="B1009:B1010"/>
    <mergeCell ref="A1005:A1006"/>
    <mergeCell ref="B1005:B1006"/>
    <mergeCell ref="A12:A13"/>
    <mergeCell ref="B12:B13"/>
    <mergeCell ref="C12:C13"/>
    <mergeCell ref="D12:D13"/>
    <mergeCell ref="E12:E13"/>
    <mergeCell ref="F12:F13"/>
    <mergeCell ref="G12:G13"/>
    <mergeCell ref="A14:A16"/>
    <mergeCell ref="B14:B16"/>
    <mergeCell ref="C14:C16"/>
    <mergeCell ref="D14:D16"/>
    <mergeCell ref="E14:E16"/>
    <mergeCell ref="F14:F16"/>
    <mergeCell ref="G14:G16"/>
    <mergeCell ref="F239:F243"/>
    <mergeCell ref="B126:B144"/>
    <mergeCell ref="G158:G159"/>
    <mergeCell ref="B76:B82"/>
    <mergeCell ref="C76:C82"/>
    <mergeCell ref="E208:E212"/>
    <mergeCell ref="F208:F212"/>
    <mergeCell ref="A1016:A1017"/>
    <mergeCell ref="B1016:B1017"/>
    <mergeCell ref="A987:A988"/>
    <mergeCell ref="A969:A971"/>
    <mergeCell ref="B969:B971"/>
    <mergeCell ref="C969:C971"/>
    <mergeCell ref="D969:D971"/>
    <mergeCell ref="E969:E971"/>
    <mergeCell ref="F969:F971"/>
    <mergeCell ref="G985:G986"/>
    <mergeCell ref="F985:F986"/>
    <mergeCell ref="B987:B988"/>
    <mergeCell ref="A451:A459"/>
    <mergeCell ref="B451:B459"/>
    <mergeCell ref="G1005:G1006"/>
    <mergeCell ref="A516:A520"/>
    <mergeCell ref="B516:B520"/>
    <mergeCell ref="C516:C520"/>
    <mergeCell ref="D516:D520"/>
    <mergeCell ref="A479:A481"/>
    <mergeCell ref="B479:B481"/>
    <mergeCell ref="C479:C481"/>
    <mergeCell ref="D479:D481"/>
    <mergeCell ref="C451:C459"/>
    <mergeCell ref="D451:D459"/>
    <mergeCell ref="A511:A515"/>
    <mergeCell ref="B511:B515"/>
    <mergeCell ref="C511:C515"/>
    <mergeCell ref="D511:D515"/>
    <mergeCell ref="F468:F476"/>
    <mergeCell ref="E451:E459"/>
    <mergeCell ref="E460:E464"/>
    <mergeCell ref="B3089:B3091"/>
    <mergeCell ref="C3089:C3091"/>
    <mergeCell ref="D3089:D3091"/>
    <mergeCell ref="E3089:E3091"/>
    <mergeCell ref="F3089:F3091"/>
    <mergeCell ref="A3081:A3085"/>
    <mergeCell ref="B3081:B3085"/>
    <mergeCell ref="C3081:C3085"/>
    <mergeCell ref="D3081:D3085"/>
    <mergeCell ref="E3081:E3085"/>
    <mergeCell ref="F3081:F3085"/>
    <mergeCell ref="G3082:G3083"/>
    <mergeCell ref="G3084:G3085"/>
    <mergeCell ref="A2147:A2151"/>
    <mergeCell ref="B2147:B2151"/>
    <mergeCell ref="C2147:C2151"/>
    <mergeCell ref="D2860:D2862"/>
    <mergeCell ref="E2860:E2862"/>
    <mergeCell ref="G2155:G2156"/>
    <mergeCell ref="A2157:A2158"/>
    <mergeCell ref="C2157:C2158"/>
    <mergeCell ref="D2157:D2158"/>
    <mergeCell ref="E2157:E2158"/>
    <mergeCell ref="B2152:B2153"/>
    <mergeCell ref="C2152:C2153"/>
    <mergeCell ref="D2152:D2153"/>
    <mergeCell ref="G2148:G2149"/>
    <mergeCell ref="G2168:G2169"/>
    <mergeCell ref="G2177:G2179"/>
    <mergeCell ref="E2170:E2171"/>
    <mergeCell ref="A2186:A2188"/>
    <mergeCell ref="E2691:E2697"/>
    <mergeCell ref="B2141:B2143"/>
    <mergeCell ref="C2141:C2143"/>
    <mergeCell ref="D2141:D2143"/>
    <mergeCell ref="E2141:E2143"/>
    <mergeCell ref="F2141:F2143"/>
    <mergeCell ref="B1837:B1841"/>
    <mergeCell ref="C1837:C1841"/>
    <mergeCell ref="D1837:D1841"/>
    <mergeCell ref="E1837:E1841"/>
    <mergeCell ref="F1837:F1841"/>
    <mergeCell ref="A1864:A1867"/>
    <mergeCell ref="E2119:E2123"/>
    <mergeCell ref="F2119:F2123"/>
    <mergeCell ref="G2119:G2123"/>
    <mergeCell ref="C2125:C2127"/>
    <mergeCell ref="G1917:G1919"/>
    <mergeCell ref="A2018:A2020"/>
    <mergeCell ref="B2018:B2020"/>
    <mergeCell ref="C2018:C2020"/>
    <mergeCell ref="D2018:D2020"/>
    <mergeCell ref="E2018:E2020"/>
    <mergeCell ref="F2018:F2020"/>
    <mergeCell ref="G2018:G2020"/>
    <mergeCell ref="E1993:E1999"/>
    <mergeCell ref="F1993:F1999"/>
    <mergeCell ref="D1969:D1971"/>
    <mergeCell ref="F2103:F2105"/>
    <mergeCell ref="A2106:A2108"/>
    <mergeCell ref="B2106:B2108"/>
    <mergeCell ref="B1993:B1999"/>
    <mergeCell ref="C1993:C1999"/>
    <mergeCell ref="G1848:G1849"/>
    <mergeCell ref="G2131:G2132"/>
    <mergeCell ref="E2152:E2153"/>
    <mergeCell ref="E2147:E2151"/>
    <mergeCell ref="F2147:F2151"/>
    <mergeCell ref="D2144:D2146"/>
    <mergeCell ref="E2144:E2146"/>
    <mergeCell ref="F2144:F2146"/>
    <mergeCell ref="G2150:G2151"/>
    <mergeCell ref="G2136:G2137"/>
    <mergeCell ref="E1969:E1971"/>
    <mergeCell ref="F1969:F1971"/>
    <mergeCell ref="G1969:G1971"/>
    <mergeCell ref="D2135:D2139"/>
    <mergeCell ref="D2119:D2123"/>
    <mergeCell ref="D2125:D2127"/>
    <mergeCell ref="D2147:D2151"/>
    <mergeCell ref="D2106:D2108"/>
    <mergeCell ref="G2095:G2096"/>
    <mergeCell ref="G2098:G2099"/>
    <mergeCell ref="G2129:G2130"/>
    <mergeCell ref="E2089:E2090"/>
    <mergeCell ref="F2089:F2090"/>
    <mergeCell ref="G2089:G2090"/>
    <mergeCell ref="E2135:E2139"/>
    <mergeCell ref="D2097:D2099"/>
    <mergeCell ref="E2097:E2099"/>
    <mergeCell ref="F2097:F2099"/>
    <mergeCell ref="G2145:G2146"/>
    <mergeCell ref="G2138:G2139"/>
    <mergeCell ref="G2080:G2081"/>
    <mergeCell ref="G2056:G2057"/>
    <mergeCell ref="G2039:G2040"/>
    <mergeCell ref="B2085:B2088"/>
    <mergeCell ref="C2085:C2088"/>
    <mergeCell ref="D2085:D2088"/>
    <mergeCell ref="E2085:E2088"/>
    <mergeCell ref="F2085:F2088"/>
    <mergeCell ref="A2089:A2090"/>
    <mergeCell ref="B2089:B2090"/>
    <mergeCell ref="C2089:C2090"/>
    <mergeCell ref="D2089:D2090"/>
    <mergeCell ref="F1922:F1923"/>
    <mergeCell ref="A2103:A2105"/>
    <mergeCell ref="B2103:B2105"/>
    <mergeCell ref="C2103:C2105"/>
    <mergeCell ref="D2103:D2105"/>
    <mergeCell ref="E2103:E2105"/>
    <mergeCell ref="A2036:A2046"/>
    <mergeCell ref="B2036:B2046"/>
    <mergeCell ref="C2036:C2046"/>
    <mergeCell ref="D2036:D2046"/>
    <mergeCell ref="E2036:E2046"/>
    <mergeCell ref="F2036:F2046"/>
    <mergeCell ref="A2049:A2071"/>
    <mergeCell ref="A2021:A2035"/>
    <mergeCell ref="B2021:B2035"/>
    <mergeCell ref="C2021:C2035"/>
    <mergeCell ref="D2021:D2035"/>
    <mergeCell ref="E2021:E2035"/>
    <mergeCell ref="A2082:A2084"/>
    <mergeCell ref="B2077:B2081"/>
    <mergeCell ref="C2077:C2081"/>
    <mergeCell ref="D2077:D2081"/>
    <mergeCell ref="C2082:C2084"/>
    <mergeCell ref="E1906:E1907"/>
    <mergeCell ref="C2109:C2113"/>
    <mergeCell ref="G2126:G2127"/>
    <mergeCell ref="C1948:C1952"/>
    <mergeCell ref="C2106:C2108"/>
    <mergeCell ref="A1917:A1919"/>
    <mergeCell ref="B1917:B1919"/>
    <mergeCell ref="B1926:B1928"/>
    <mergeCell ref="C1926:C1928"/>
    <mergeCell ref="G1671:G1672"/>
    <mergeCell ref="G1805:G1807"/>
    <mergeCell ref="B2109:B2113"/>
    <mergeCell ref="D1948:D1952"/>
    <mergeCell ref="C1962:C1968"/>
    <mergeCell ref="A2125:A2127"/>
    <mergeCell ref="B2125:B2127"/>
    <mergeCell ref="G2106:G2108"/>
    <mergeCell ref="G2114:G2115"/>
    <mergeCell ref="F2106:F2108"/>
    <mergeCell ref="D2109:D2113"/>
    <mergeCell ref="A2109:A2113"/>
    <mergeCell ref="A1859:A1863"/>
    <mergeCell ref="D1859:D1863"/>
    <mergeCell ref="G1959:G1961"/>
    <mergeCell ref="E2109:E2113"/>
    <mergeCell ref="F2109:F2113"/>
    <mergeCell ref="G2109:G2113"/>
    <mergeCell ref="A1753:A1757"/>
    <mergeCell ref="A2085:A2088"/>
    <mergeCell ref="B1934:B1937"/>
    <mergeCell ref="C1934:C1937"/>
    <mergeCell ref="B1826:B1828"/>
    <mergeCell ref="D1492:D1498"/>
    <mergeCell ref="C1713:C1715"/>
    <mergeCell ref="D1713:D1715"/>
    <mergeCell ref="G1793:G1795"/>
    <mergeCell ref="G1846:G1847"/>
    <mergeCell ref="G1713:G1715"/>
    <mergeCell ref="G1840:G1841"/>
    <mergeCell ref="B1859:B1863"/>
    <mergeCell ref="C1859:C1863"/>
    <mergeCell ref="G1727:G1728"/>
    <mergeCell ref="B1731:B1732"/>
    <mergeCell ref="C1731:C1732"/>
    <mergeCell ref="D1731:D1732"/>
    <mergeCell ref="E1731:E1732"/>
    <mergeCell ref="F1731:F1732"/>
    <mergeCell ref="G1731:G1732"/>
    <mergeCell ref="G1756:G1757"/>
    <mergeCell ref="G1827:G1828"/>
    <mergeCell ref="G1694:G1695"/>
    <mergeCell ref="E1520:E1526"/>
    <mergeCell ref="F1520:F1526"/>
    <mergeCell ref="G1521:G1522"/>
    <mergeCell ref="G1514:G1515"/>
    <mergeCell ref="G1516:G1519"/>
    <mergeCell ref="F1567:F1569"/>
    <mergeCell ref="F1671:F1672"/>
    <mergeCell ref="G1669:G1670"/>
    <mergeCell ref="F1713:F1715"/>
    <mergeCell ref="E1713:E1715"/>
    <mergeCell ref="C1618:C1620"/>
    <mergeCell ref="D1618:D1620"/>
    <mergeCell ref="G1733:G1735"/>
    <mergeCell ref="G1337:G1338"/>
    <mergeCell ref="G1493:G1494"/>
    <mergeCell ref="G1495:G1496"/>
    <mergeCell ref="G1497:G1498"/>
    <mergeCell ref="C1845:C1853"/>
    <mergeCell ref="D1845:D1853"/>
    <mergeCell ref="E1845:E1853"/>
    <mergeCell ref="A1842:A1844"/>
    <mergeCell ref="B1842:B1844"/>
    <mergeCell ref="C1818:C1820"/>
    <mergeCell ref="D1818:D1820"/>
    <mergeCell ref="E1818:E1820"/>
    <mergeCell ref="F1818:F1820"/>
    <mergeCell ref="A1837:A1841"/>
    <mergeCell ref="G1391:G1392"/>
    <mergeCell ref="G1716:G1718"/>
    <mergeCell ref="G1430:G1431"/>
    <mergeCell ref="C1736:C1744"/>
    <mergeCell ref="D1736:D1744"/>
    <mergeCell ref="E1736:E1744"/>
    <mergeCell ref="F1736:F1744"/>
    <mergeCell ref="F1767:F1770"/>
    <mergeCell ref="G1838:G1839"/>
    <mergeCell ref="B1753:B1757"/>
    <mergeCell ref="C1753:C1757"/>
    <mergeCell ref="D1753:D1757"/>
    <mergeCell ref="E1753:E1757"/>
    <mergeCell ref="G1772:G1773"/>
    <mergeCell ref="G1774:G1775"/>
    <mergeCell ref="G1776:G1777"/>
    <mergeCell ref="G1778:G1779"/>
    <mergeCell ref="G1754:G1755"/>
    <mergeCell ref="B2135:B2139"/>
    <mergeCell ref="C2135:C2139"/>
    <mergeCell ref="F2152:F2153"/>
    <mergeCell ref="D2154:D2156"/>
    <mergeCell ref="E2154:E2156"/>
    <mergeCell ref="G2162:G2164"/>
    <mergeCell ref="F2170:F2171"/>
    <mergeCell ref="A2172:A2176"/>
    <mergeCell ref="B2172:B2176"/>
    <mergeCell ref="C2172:C2176"/>
    <mergeCell ref="D2172:D2176"/>
    <mergeCell ref="E2172:E2176"/>
    <mergeCell ref="F2172:F2176"/>
    <mergeCell ref="G2172:G2176"/>
    <mergeCell ref="C2167:C2169"/>
    <mergeCell ref="D2167:D2169"/>
    <mergeCell ref="E2167:E2169"/>
    <mergeCell ref="A2135:A2139"/>
    <mergeCell ref="B2170:B2171"/>
    <mergeCell ref="C2170:C2171"/>
    <mergeCell ref="D2170:D2171"/>
    <mergeCell ref="A2152:A2153"/>
    <mergeCell ref="A2154:A2156"/>
    <mergeCell ref="B2154:B2156"/>
    <mergeCell ref="C2154:C2156"/>
    <mergeCell ref="A2159:A2161"/>
    <mergeCell ref="B2159:B2161"/>
    <mergeCell ref="C2159:C2161"/>
    <mergeCell ref="D2159:D2161"/>
    <mergeCell ref="E2159:E2161"/>
    <mergeCell ref="F2159:F2161"/>
    <mergeCell ref="A2141:A2143"/>
    <mergeCell ref="G2602:G2603"/>
    <mergeCell ref="B2604:B2610"/>
    <mergeCell ref="C2604:C2610"/>
    <mergeCell ref="D2604:D2610"/>
    <mergeCell ref="E2604:E2610"/>
    <mergeCell ref="F2604:F2610"/>
    <mergeCell ref="C2983:C2985"/>
    <mergeCell ref="G2609:G2610"/>
    <mergeCell ref="A2762:A2764"/>
    <mergeCell ref="B2762:B2764"/>
    <mergeCell ref="C2762:C2764"/>
    <mergeCell ref="D2762:D2764"/>
    <mergeCell ref="E2762:E2764"/>
    <mergeCell ref="F2922:F2924"/>
    <mergeCell ref="G2922:G2924"/>
    <mergeCell ref="B2899:B2901"/>
    <mergeCell ref="C2899:C2901"/>
    <mergeCell ref="D2899:D2901"/>
    <mergeCell ref="B2691:B2697"/>
    <mergeCell ref="G2943:G2946"/>
    <mergeCell ref="A2854:A2856"/>
    <mergeCell ref="F2892:F2894"/>
    <mergeCell ref="G2892:G2894"/>
    <mergeCell ref="A2895:A2898"/>
    <mergeCell ref="A2783:A2785"/>
    <mergeCell ref="B2783:B2785"/>
    <mergeCell ref="C2783:C2785"/>
    <mergeCell ref="D2783:D2785"/>
    <mergeCell ref="A2765:A2767"/>
    <mergeCell ref="B2765:B2767"/>
    <mergeCell ref="G2854:G2856"/>
    <mergeCell ref="F2801:F2803"/>
    <mergeCell ref="F2204:F2206"/>
    <mergeCell ref="E348:E349"/>
    <mergeCell ref="E306:E308"/>
    <mergeCell ref="F293:F294"/>
    <mergeCell ref="F348:F349"/>
    <mergeCell ref="G348:G349"/>
    <mergeCell ref="E366:E372"/>
    <mergeCell ref="F366:F372"/>
    <mergeCell ref="G354:G357"/>
    <mergeCell ref="A350:A351"/>
    <mergeCell ref="B350:B351"/>
    <mergeCell ref="C350:C351"/>
    <mergeCell ref="C465:C467"/>
    <mergeCell ref="D401:D404"/>
    <mergeCell ref="G266:G267"/>
    <mergeCell ref="G2733:G2734"/>
    <mergeCell ref="B2197:B2198"/>
    <mergeCell ref="C2197:C2198"/>
    <mergeCell ref="D2197:D2198"/>
    <mergeCell ref="E2197:E2198"/>
    <mergeCell ref="G2205:G2206"/>
    <mergeCell ref="A2207:A2209"/>
    <mergeCell ref="B2207:B2209"/>
    <mergeCell ref="C2207:C2209"/>
    <mergeCell ref="D2207:D2209"/>
    <mergeCell ref="E2207:E2209"/>
    <mergeCell ref="F2207:F2209"/>
    <mergeCell ref="G2207:G2209"/>
    <mergeCell ref="A2213:A2214"/>
    <mergeCell ref="B2213:B2214"/>
    <mergeCell ref="C2213:C2214"/>
    <mergeCell ref="G288:G289"/>
    <mergeCell ref="G2480:G2482"/>
    <mergeCell ref="A224:A226"/>
    <mergeCell ref="B224:B226"/>
    <mergeCell ref="A265:A273"/>
    <mergeCell ref="C265:C273"/>
    <mergeCell ref="D265:D273"/>
    <mergeCell ref="D224:D226"/>
    <mergeCell ref="A202:A204"/>
    <mergeCell ref="B202:B204"/>
    <mergeCell ref="G224:G226"/>
    <mergeCell ref="D205:D207"/>
    <mergeCell ref="E205:E207"/>
    <mergeCell ref="A239:A243"/>
    <mergeCell ref="B239:B243"/>
    <mergeCell ref="C239:C243"/>
    <mergeCell ref="B213:B223"/>
    <mergeCell ref="C213:C223"/>
    <mergeCell ref="B208:B212"/>
    <mergeCell ref="C208:C212"/>
    <mergeCell ref="D208:D212"/>
    <mergeCell ref="G236:G238"/>
    <mergeCell ref="G350:G351"/>
    <mergeCell ref="A352:A353"/>
    <mergeCell ref="B352:B353"/>
    <mergeCell ref="C352:C353"/>
    <mergeCell ref="D352:D353"/>
    <mergeCell ref="E352:E353"/>
    <mergeCell ref="F352:F353"/>
    <mergeCell ref="G352:G353"/>
    <mergeCell ref="F295:F298"/>
    <mergeCell ref="G214:G215"/>
    <mergeCell ref="G216:G217"/>
    <mergeCell ref="A126:A144"/>
    <mergeCell ref="A250:A254"/>
    <mergeCell ref="B250:B254"/>
    <mergeCell ref="C250:C254"/>
    <mergeCell ref="D250:D254"/>
    <mergeCell ref="G2199:G2201"/>
    <mergeCell ref="G2220:G2221"/>
    <mergeCell ref="C2202:C2203"/>
    <mergeCell ref="D94:D112"/>
    <mergeCell ref="E224:E226"/>
    <mergeCell ref="F224:F226"/>
    <mergeCell ref="G263:G264"/>
    <mergeCell ref="G242:G243"/>
    <mergeCell ref="D230:D232"/>
    <mergeCell ref="E230:E232"/>
    <mergeCell ref="F230:F232"/>
    <mergeCell ref="A160:A161"/>
    <mergeCell ref="B160:B161"/>
    <mergeCell ref="C160:C161"/>
    <mergeCell ref="D160:D161"/>
    <mergeCell ref="E160:E161"/>
    <mergeCell ref="F160:F161"/>
    <mergeCell ref="B94:B112"/>
    <mergeCell ref="C94:C112"/>
    <mergeCell ref="E94:E112"/>
    <mergeCell ref="F94:F112"/>
    <mergeCell ref="A236:A238"/>
    <mergeCell ref="B236:B238"/>
    <mergeCell ref="C236:C238"/>
    <mergeCell ref="E236:E238"/>
    <mergeCell ref="F236:F238"/>
    <mergeCell ref="D236:D238"/>
    <mergeCell ref="D239:D243"/>
    <mergeCell ref="E239:E243"/>
    <mergeCell ref="E281:E289"/>
    <mergeCell ref="E274:E275"/>
    <mergeCell ref="G253:G254"/>
    <mergeCell ref="G251:G252"/>
    <mergeCell ref="G282:G283"/>
    <mergeCell ref="G284:G285"/>
    <mergeCell ref="E265:E273"/>
    <mergeCell ref="G227:G229"/>
    <mergeCell ref="F233:F235"/>
    <mergeCell ref="G233:G235"/>
    <mergeCell ref="G268:G269"/>
    <mergeCell ref="G270:G271"/>
    <mergeCell ref="G272:G273"/>
    <mergeCell ref="F250:F254"/>
    <mergeCell ref="F281:F289"/>
    <mergeCell ref="E233:E235"/>
    <mergeCell ref="G437:G438"/>
    <mergeCell ref="G439:G440"/>
    <mergeCell ref="F383:F385"/>
    <mergeCell ref="G383:G385"/>
    <mergeCell ref="D441:D445"/>
    <mergeCell ref="D411:D415"/>
    <mergeCell ref="E411:E415"/>
    <mergeCell ref="C409:C410"/>
    <mergeCell ref="D409:D410"/>
    <mergeCell ref="D446:D448"/>
    <mergeCell ref="F386:F387"/>
    <mergeCell ref="B295:B298"/>
    <mergeCell ref="C295:C298"/>
    <mergeCell ref="A386:A387"/>
    <mergeCell ref="G326:G328"/>
    <mergeCell ref="G329:G331"/>
    <mergeCell ref="G332:G334"/>
    <mergeCell ref="G335:G337"/>
    <mergeCell ref="G338:G340"/>
    <mergeCell ref="G341:G343"/>
    <mergeCell ref="G344:G346"/>
    <mergeCell ref="A366:A372"/>
    <mergeCell ref="C366:C372"/>
    <mergeCell ref="D366:D372"/>
    <mergeCell ref="B379:B382"/>
    <mergeCell ref="B386:B387"/>
    <mergeCell ref="C386:C387"/>
    <mergeCell ref="D386:D387"/>
    <mergeCell ref="E386:E387"/>
    <mergeCell ref="G391:G393"/>
    <mergeCell ref="G398:G400"/>
    <mergeCell ref="F325:F346"/>
    <mergeCell ref="F299:F302"/>
    <mergeCell ref="F309:F311"/>
    <mergeCell ref="B306:B308"/>
    <mergeCell ref="C306:C308"/>
    <mergeCell ref="B446:B448"/>
    <mergeCell ref="C446:C448"/>
    <mergeCell ref="A446:A448"/>
    <mergeCell ref="C423:C431"/>
    <mergeCell ref="B432:B440"/>
    <mergeCell ref="G1294:G1296"/>
    <mergeCell ref="G1783:G1784"/>
    <mergeCell ref="G1785:G1786"/>
    <mergeCell ref="G1432:G1433"/>
    <mergeCell ref="G1408:G1409"/>
    <mergeCell ref="E550:E554"/>
    <mergeCell ref="F550:F554"/>
    <mergeCell ref="E698:E700"/>
    <mergeCell ref="F698:F700"/>
    <mergeCell ref="E468:E476"/>
    <mergeCell ref="F460:F464"/>
    <mergeCell ref="E516:E520"/>
    <mergeCell ref="F516:F520"/>
    <mergeCell ref="E479:E481"/>
    <mergeCell ref="F479:F481"/>
    <mergeCell ref="G477:G478"/>
    <mergeCell ref="F580:F582"/>
    <mergeCell ref="E567:E568"/>
    <mergeCell ref="F567:F568"/>
    <mergeCell ref="E586:E588"/>
    <mergeCell ref="G592:G594"/>
    <mergeCell ref="G635:G637"/>
    <mergeCell ref="G367:G369"/>
    <mergeCell ref="F703:F705"/>
    <mergeCell ref="F693:F697"/>
    <mergeCell ref="E1232:E1234"/>
    <mergeCell ref="F1232:F1234"/>
    <mergeCell ref="E3052:E3054"/>
    <mergeCell ref="F3052:F3054"/>
    <mergeCell ref="G3052:G3054"/>
    <mergeCell ref="F3109:F3111"/>
    <mergeCell ref="G2678:G2679"/>
    <mergeCell ref="G2647:G2648"/>
    <mergeCell ref="G2649:G2650"/>
    <mergeCell ref="F3106:F3108"/>
    <mergeCell ref="G3106:G3108"/>
    <mergeCell ref="E2774:E2776"/>
    <mergeCell ref="F2774:F2776"/>
    <mergeCell ref="G2774:G2776"/>
    <mergeCell ref="E2759:E2761"/>
    <mergeCell ref="F2759:F2761"/>
    <mergeCell ref="G2759:G2761"/>
    <mergeCell ref="G2830:G2831"/>
    <mergeCell ref="G2832:G2833"/>
    <mergeCell ref="E2851:E2853"/>
    <mergeCell ref="F2851:F2853"/>
    <mergeCell ref="G2851:G2853"/>
    <mergeCell ref="G2735:G2736"/>
    <mergeCell ref="E2783:E2785"/>
    <mergeCell ref="F2783:F2785"/>
    <mergeCell ref="G2783:G2785"/>
    <mergeCell ref="E2765:E2767"/>
    <mergeCell ref="F2765:F2767"/>
    <mergeCell ref="G2766:G2767"/>
    <mergeCell ref="E2810:E2812"/>
    <mergeCell ref="G2888:G2889"/>
    <mergeCell ref="G2696:G2697"/>
    <mergeCell ref="A3109:A3111"/>
    <mergeCell ref="B3109:B3111"/>
    <mergeCell ref="C3109:C3111"/>
    <mergeCell ref="D3109:D3111"/>
    <mergeCell ref="G3110:G3111"/>
    <mergeCell ref="A3092:A3094"/>
    <mergeCell ref="B3092:B3094"/>
    <mergeCell ref="B3095:B3097"/>
    <mergeCell ref="C3095:C3097"/>
    <mergeCell ref="D3095:D3097"/>
    <mergeCell ref="E3095:E3097"/>
    <mergeCell ref="F3095:F3097"/>
    <mergeCell ref="A3135:A3141"/>
    <mergeCell ref="A3098:A3100"/>
    <mergeCell ref="B3098:B3100"/>
    <mergeCell ref="C3098:C3100"/>
    <mergeCell ref="D3098:D3100"/>
    <mergeCell ref="E3098:E3100"/>
    <mergeCell ref="F3098:F3100"/>
    <mergeCell ref="D3117:D3119"/>
    <mergeCell ref="E3117:E3119"/>
    <mergeCell ref="F3117:F3119"/>
    <mergeCell ref="G3136:G3138"/>
    <mergeCell ref="A3124:A3125"/>
    <mergeCell ref="B3124:B3125"/>
    <mergeCell ref="C3124:C3125"/>
    <mergeCell ref="D3124:D3125"/>
    <mergeCell ref="E3124:E3125"/>
    <mergeCell ref="A2857:A2859"/>
    <mergeCell ref="A3089:A3091"/>
    <mergeCell ref="C3169:C3173"/>
    <mergeCell ref="D3169:D3173"/>
    <mergeCell ref="E3169:E3173"/>
    <mergeCell ref="F3169:F3173"/>
    <mergeCell ref="A3159:A3163"/>
    <mergeCell ref="B3159:B3163"/>
    <mergeCell ref="A3131:A3133"/>
    <mergeCell ref="B3131:B3133"/>
    <mergeCell ref="C3131:C3133"/>
    <mergeCell ref="G3170:G3173"/>
    <mergeCell ref="A3120:A3122"/>
    <mergeCell ref="B3120:B3122"/>
    <mergeCell ref="C3120:C3122"/>
    <mergeCell ref="D3120:D3122"/>
    <mergeCell ref="E3120:E3122"/>
    <mergeCell ref="F3120:F3122"/>
    <mergeCell ref="G3121:G3122"/>
    <mergeCell ref="A3126:A3127"/>
    <mergeCell ref="B3126:B3127"/>
    <mergeCell ref="C3126:C3127"/>
    <mergeCell ref="D3126:D3127"/>
    <mergeCell ref="E3126:E3127"/>
    <mergeCell ref="F3126:F3127"/>
    <mergeCell ref="A3128:A3130"/>
    <mergeCell ref="B3128:B3130"/>
    <mergeCell ref="F3150:F3152"/>
    <mergeCell ref="C3128:C3130"/>
    <mergeCell ref="D3128:D3130"/>
    <mergeCell ref="E3143:E3145"/>
    <mergeCell ref="G3162:G3163"/>
    <mergeCell ref="E3131:E3133"/>
    <mergeCell ref="F3131:F3133"/>
    <mergeCell ref="D358:D359"/>
    <mergeCell ref="E358:E359"/>
    <mergeCell ref="F358:F359"/>
    <mergeCell ref="G358:G359"/>
    <mergeCell ref="A398:A400"/>
    <mergeCell ref="F441:F445"/>
    <mergeCell ref="D465:D467"/>
    <mergeCell ref="E465:E467"/>
    <mergeCell ref="F465:F467"/>
    <mergeCell ref="B465:B467"/>
    <mergeCell ref="B468:B476"/>
    <mergeCell ref="C468:C476"/>
    <mergeCell ref="D468:D476"/>
    <mergeCell ref="B391:B393"/>
    <mergeCell ref="E449:E450"/>
    <mergeCell ref="F449:F450"/>
    <mergeCell ref="G449:G450"/>
    <mergeCell ref="B449:B450"/>
    <mergeCell ref="C449:C450"/>
    <mergeCell ref="D449:D450"/>
    <mergeCell ref="C391:C393"/>
    <mergeCell ref="D391:D393"/>
    <mergeCell ref="E391:E393"/>
    <mergeCell ref="F391:F393"/>
    <mergeCell ref="C401:C404"/>
    <mergeCell ref="B388:B390"/>
    <mergeCell ref="C388:C390"/>
    <mergeCell ref="B394:B397"/>
    <mergeCell ref="C394:C397"/>
    <mergeCell ref="C432:C440"/>
    <mergeCell ref="G360:G362"/>
    <mergeCell ref="G370:G372"/>
    <mergeCell ref="B521:B523"/>
    <mergeCell ref="C521:C523"/>
    <mergeCell ref="D521:D523"/>
    <mergeCell ref="E521:E523"/>
    <mergeCell ref="F521:F523"/>
    <mergeCell ref="A524:A525"/>
    <mergeCell ref="B524:B525"/>
    <mergeCell ref="C524:C525"/>
    <mergeCell ref="D524:D525"/>
    <mergeCell ref="E524:E525"/>
    <mergeCell ref="F524:F525"/>
    <mergeCell ref="D555:D557"/>
    <mergeCell ref="E555:E557"/>
    <mergeCell ref="G558:G560"/>
    <mergeCell ref="A561:A563"/>
    <mergeCell ref="C526:C535"/>
    <mergeCell ref="E526:E535"/>
    <mergeCell ref="A526:A535"/>
    <mergeCell ref="B526:B535"/>
    <mergeCell ref="C555:C557"/>
    <mergeCell ref="F536:F540"/>
    <mergeCell ref="D547:D549"/>
    <mergeCell ref="E547:E549"/>
    <mergeCell ref="B541:B543"/>
    <mergeCell ref="B561:B563"/>
    <mergeCell ref="D558:D560"/>
    <mergeCell ref="A521:A523"/>
    <mergeCell ref="G561:G563"/>
    <mergeCell ref="G527:G529"/>
    <mergeCell ref="G530:G532"/>
    <mergeCell ref="G533:G535"/>
    <mergeCell ref="D561:D563"/>
    <mergeCell ref="A583:A585"/>
    <mergeCell ref="D564:D566"/>
    <mergeCell ref="E564:E566"/>
    <mergeCell ref="F564:F566"/>
    <mergeCell ref="A580:A582"/>
    <mergeCell ref="D589:D591"/>
    <mergeCell ref="E589:E591"/>
    <mergeCell ref="A597:A599"/>
    <mergeCell ref="B597:B599"/>
    <mergeCell ref="C597:C599"/>
    <mergeCell ref="D597:D599"/>
    <mergeCell ref="E597:E599"/>
    <mergeCell ref="F597:F599"/>
    <mergeCell ref="F592:F594"/>
    <mergeCell ref="A595:A596"/>
    <mergeCell ref="B595:B596"/>
    <mergeCell ref="C595:C596"/>
    <mergeCell ref="D595:D596"/>
    <mergeCell ref="E595:E596"/>
    <mergeCell ref="F595:F596"/>
    <mergeCell ref="A577:A579"/>
    <mergeCell ref="B592:B594"/>
    <mergeCell ref="C592:C594"/>
    <mergeCell ref="D592:D594"/>
    <mergeCell ref="E592:E594"/>
    <mergeCell ref="F577:F579"/>
    <mergeCell ref="D580:D582"/>
    <mergeCell ref="E580:E582"/>
    <mergeCell ref="A625:A627"/>
    <mergeCell ref="B625:B627"/>
    <mergeCell ref="C625:C627"/>
    <mergeCell ref="D625:D627"/>
    <mergeCell ref="E625:E627"/>
    <mergeCell ref="A634:A643"/>
    <mergeCell ref="B634:B643"/>
    <mergeCell ref="C634:C643"/>
    <mergeCell ref="D634:D643"/>
    <mergeCell ref="E634:E643"/>
    <mergeCell ref="F634:F643"/>
    <mergeCell ref="F625:F627"/>
    <mergeCell ref="A631:A633"/>
    <mergeCell ref="B631:B633"/>
    <mergeCell ref="C631:C633"/>
    <mergeCell ref="D631:D633"/>
    <mergeCell ref="E631:E633"/>
    <mergeCell ref="F631:F633"/>
    <mergeCell ref="D628:D630"/>
    <mergeCell ref="E628:E630"/>
    <mergeCell ref="F628:F630"/>
    <mergeCell ref="D658:D667"/>
    <mergeCell ref="E658:E667"/>
    <mergeCell ref="F658:F667"/>
    <mergeCell ref="G656:G657"/>
    <mergeCell ref="B644:B648"/>
    <mergeCell ref="C644:C648"/>
    <mergeCell ref="D644:D648"/>
    <mergeCell ref="E644:E648"/>
    <mergeCell ref="F644:F648"/>
    <mergeCell ref="G652:G653"/>
    <mergeCell ref="D649:D657"/>
    <mergeCell ref="A672:A680"/>
    <mergeCell ref="B672:B680"/>
    <mergeCell ref="C672:C680"/>
    <mergeCell ref="D672:D680"/>
    <mergeCell ref="E672:E680"/>
    <mergeCell ref="F672:F680"/>
    <mergeCell ref="G675:G676"/>
    <mergeCell ref="G677:G678"/>
    <mergeCell ref="C668:C671"/>
    <mergeCell ref="D668:D671"/>
    <mergeCell ref="A658:A667"/>
    <mergeCell ref="B658:B667"/>
    <mergeCell ref="C658:C667"/>
    <mergeCell ref="G694:G695"/>
    <mergeCell ref="G696:G697"/>
    <mergeCell ref="D690:D692"/>
    <mergeCell ref="A698:A700"/>
    <mergeCell ref="B698:B700"/>
    <mergeCell ref="C698:C700"/>
    <mergeCell ref="D698:D700"/>
    <mergeCell ref="A731:A733"/>
    <mergeCell ref="B731:B733"/>
    <mergeCell ref="C731:C733"/>
    <mergeCell ref="D731:D733"/>
    <mergeCell ref="E731:E733"/>
    <mergeCell ref="F731:F733"/>
    <mergeCell ref="G708:G710"/>
    <mergeCell ref="B708:B710"/>
    <mergeCell ref="C708:C710"/>
    <mergeCell ref="E711:E713"/>
    <mergeCell ref="G716:G718"/>
    <mergeCell ref="G723:G724"/>
    <mergeCell ref="A716:A718"/>
    <mergeCell ref="B716:B718"/>
    <mergeCell ref="C716:C718"/>
    <mergeCell ref="D716:D718"/>
    <mergeCell ref="E716:E718"/>
    <mergeCell ref="F716:F718"/>
    <mergeCell ref="G714:G715"/>
    <mergeCell ref="A711:A713"/>
    <mergeCell ref="C701:C702"/>
    <mergeCell ref="D701:D702"/>
    <mergeCell ref="E701:E702"/>
    <mergeCell ref="F701:F702"/>
    <mergeCell ref="C706:C707"/>
    <mergeCell ref="G782:G784"/>
    <mergeCell ref="G759:G761"/>
    <mergeCell ref="F753:F755"/>
    <mergeCell ref="G753:G755"/>
    <mergeCell ref="A756:A758"/>
    <mergeCell ref="B756:B758"/>
    <mergeCell ref="C756:C758"/>
    <mergeCell ref="D756:D758"/>
    <mergeCell ref="E756:E758"/>
    <mergeCell ref="F756:F758"/>
    <mergeCell ref="B753:B755"/>
    <mergeCell ref="E762:E763"/>
    <mergeCell ref="F762:F763"/>
    <mergeCell ref="G762:G763"/>
    <mergeCell ref="A764:A765"/>
    <mergeCell ref="B764:B765"/>
    <mergeCell ref="C764:C765"/>
    <mergeCell ref="D764:D765"/>
    <mergeCell ref="E764:E765"/>
    <mergeCell ref="F764:F765"/>
    <mergeCell ref="G764:G765"/>
    <mergeCell ref="C753:C755"/>
    <mergeCell ref="D753:D755"/>
    <mergeCell ref="E753:E755"/>
    <mergeCell ref="A762:A763"/>
    <mergeCell ref="B762:B763"/>
    <mergeCell ref="E782:E784"/>
    <mergeCell ref="D762:D763"/>
    <mergeCell ref="D779:D781"/>
    <mergeCell ref="D793:D811"/>
    <mergeCell ref="G806:G808"/>
    <mergeCell ref="G809:G811"/>
    <mergeCell ref="A823:A825"/>
    <mergeCell ref="B823:B825"/>
    <mergeCell ref="C823:C825"/>
    <mergeCell ref="G835:G838"/>
    <mergeCell ref="B835:B838"/>
    <mergeCell ref="C835:C838"/>
    <mergeCell ref="C750:C752"/>
    <mergeCell ref="D750:D752"/>
    <mergeCell ref="E750:E752"/>
    <mergeCell ref="F750:F752"/>
    <mergeCell ref="A759:A761"/>
    <mergeCell ref="A777:A778"/>
    <mergeCell ref="B777:B778"/>
    <mergeCell ref="C777:C778"/>
    <mergeCell ref="D777:D778"/>
    <mergeCell ref="E777:E778"/>
    <mergeCell ref="F777:F778"/>
    <mergeCell ref="G777:G778"/>
    <mergeCell ref="A785:A786"/>
    <mergeCell ref="B785:B786"/>
    <mergeCell ref="C785:C786"/>
    <mergeCell ref="D785:D786"/>
    <mergeCell ref="E785:E786"/>
    <mergeCell ref="F785:F786"/>
    <mergeCell ref="E779:E781"/>
    <mergeCell ref="G779:G781"/>
    <mergeCell ref="B782:B784"/>
    <mergeCell ref="C782:C784"/>
    <mergeCell ref="D782:D784"/>
    <mergeCell ref="A852:A854"/>
    <mergeCell ref="B852:B854"/>
    <mergeCell ref="C852:C854"/>
    <mergeCell ref="D852:D854"/>
    <mergeCell ref="E852:E854"/>
    <mergeCell ref="F852:F854"/>
    <mergeCell ref="A860:A862"/>
    <mergeCell ref="B860:B862"/>
    <mergeCell ref="C860:C862"/>
    <mergeCell ref="F787:F788"/>
    <mergeCell ref="C815:C818"/>
    <mergeCell ref="D815:D818"/>
    <mergeCell ref="G794:G796"/>
    <mergeCell ref="D787:D788"/>
    <mergeCell ref="E787:E788"/>
    <mergeCell ref="A812:A814"/>
    <mergeCell ref="B812:B814"/>
    <mergeCell ref="C812:C814"/>
    <mergeCell ref="D812:D814"/>
    <mergeCell ref="E812:E814"/>
    <mergeCell ref="F812:F814"/>
    <mergeCell ref="D819:D822"/>
    <mergeCell ref="G789:G790"/>
    <mergeCell ref="F833:F834"/>
    <mergeCell ref="G833:G834"/>
    <mergeCell ref="A835:A838"/>
    <mergeCell ref="A826:A828"/>
    <mergeCell ref="B826:B828"/>
    <mergeCell ref="C826:C828"/>
    <mergeCell ref="D826:D828"/>
    <mergeCell ref="E826:E828"/>
    <mergeCell ref="F826:F828"/>
    <mergeCell ref="A829:A830"/>
    <mergeCell ref="B829:B830"/>
    <mergeCell ref="C829:C830"/>
    <mergeCell ref="D829:D830"/>
    <mergeCell ref="E829:E830"/>
    <mergeCell ref="F829:F830"/>
    <mergeCell ref="A839:A842"/>
    <mergeCell ref="B839:B842"/>
    <mergeCell ref="C839:C842"/>
    <mergeCell ref="D839:D842"/>
    <mergeCell ref="E839:E842"/>
    <mergeCell ref="F839:F842"/>
    <mergeCell ref="A831:A832"/>
    <mergeCell ref="A833:A834"/>
    <mergeCell ref="B833:B834"/>
    <mergeCell ref="C833:C834"/>
    <mergeCell ref="D833:D834"/>
    <mergeCell ref="E833:E834"/>
    <mergeCell ref="D835:D838"/>
    <mergeCell ref="E835:E838"/>
    <mergeCell ref="F835:F838"/>
    <mergeCell ref="D860:D862"/>
    <mergeCell ref="E860:E862"/>
    <mergeCell ref="F860:F862"/>
    <mergeCell ref="B868:B870"/>
    <mergeCell ref="C868:C870"/>
    <mergeCell ref="D868:D870"/>
    <mergeCell ref="E868:E870"/>
    <mergeCell ref="F868:F870"/>
    <mergeCell ref="A894:A899"/>
    <mergeCell ref="B894:B899"/>
    <mergeCell ref="C894:C899"/>
    <mergeCell ref="D894:D899"/>
    <mergeCell ref="E894:E899"/>
    <mergeCell ref="F894:F899"/>
    <mergeCell ref="A900:A911"/>
    <mergeCell ref="B900:B911"/>
    <mergeCell ref="C900:C911"/>
    <mergeCell ref="D900:D911"/>
    <mergeCell ref="E900:E911"/>
    <mergeCell ref="A886:A893"/>
    <mergeCell ref="B886:B893"/>
    <mergeCell ref="C886:C893"/>
    <mergeCell ref="D886:D893"/>
    <mergeCell ref="E886:E893"/>
    <mergeCell ref="F886:F893"/>
    <mergeCell ref="A884:A885"/>
    <mergeCell ref="C865:C867"/>
    <mergeCell ref="D865:D867"/>
    <mergeCell ref="E865:E867"/>
    <mergeCell ref="E884:E885"/>
    <mergeCell ref="F884:F885"/>
    <mergeCell ref="A865:A867"/>
    <mergeCell ref="A925:A927"/>
    <mergeCell ref="B925:B927"/>
    <mergeCell ref="C925:C927"/>
    <mergeCell ref="D925:D927"/>
    <mergeCell ref="E925:E927"/>
    <mergeCell ref="F925:F927"/>
    <mergeCell ref="A912:A921"/>
    <mergeCell ref="B912:B921"/>
    <mergeCell ref="C912:C921"/>
    <mergeCell ref="D912:D921"/>
    <mergeCell ref="E912:E921"/>
    <mergeCell ref="F912:F921"/>
    <mergeCell ref="G913:G915"/>
    <mergeCell ref="G916:G918"/>
    <mergeCell ref="G919:G921"/>
    <mergeCell ref="A922:A924"/>
    <mergeCell ref="B922:B924"/>
    <mergeCell ref="C922:C924"/>
    <mergeCell ref="D922:D924"/>
    <mergeCell ref="E922:E924"/>
    <mergeCell ref="F922:F924"/>
    <mergeCell ref="A1758:A1761"/>
    <mergeCell ref="B1758:B1761"/>
    <mergeCell ref="C1758:C1761"/>
    <mergeCell ref="D1758:D1761"/>
    <mergeCell ref="E1758:E1761"/>
    <mergeCell ref="F1758:F1761"/>
    <mergeCell ref="A1767:A1770"/>
    <mergeCell ref="B1767:B1770"/>
    <mergeCell ref="C1767:C1770"/>
    <mergeCell ref="D1767:D1770"/>
    <mergeCell ref="E1767:E1770"/>
    <mergeCell ref="B1762:B1763"/>
    <mergeCell ref="C1762:C1763"/>
    <mergeCell ref="D1762:D1763"/>
    <mergeCell ref="E1762:E1763"/>
    <mergeCell ref="F1762:F1763"/>
    <mergeCell ref="G1762:G1763"/>
    <mergeCell ref="A1762:A1763"/>
    <mergeCell ref="A1805:A1812"/>
    <mergeCell ref="B1805:B1812"/>
    <mergeCell ref="C1805:C1812"/>
    <mergeCell ref="D1805:D1812"/>
    <mergeCell ref="E1805:E1812"/>
    <mergeCell ref="F1805:F1812"/>
    <mergeCell ref="A1813:A1817"/>
    <mergeCell ref="B1813:B1817"/>
    <mergeCell ref="C1813:C1817"/>
    <mergeCell ref="D1813:D1817"/>
    <mergeCell ref="E1813:E1817"/>
    <mergeCell ref="F1813:F1817"/>
    <mergeCell ref="E1821:E1825"/>
    <mergeCell ref="F1821:F1825"/>
    <mergeCell ref="G1822:G1823"/>
    <mergeCell ref="G1824:G1825"/>
    <mergeCell ref="A1826:A1828"/>
    <mergeCell ref="C1826:C1828"/>
    <mergeCell ref="F1826:F1828"/>
    <mergeCell ref="A1845:A1853"/>
    <mergeCell ref="B1845:B1853"/>
    <mergeCell ref="G1850:G1851"/>
    <mergeCell ref="A1868:A1870"/>
    <mergeCell ref="B1868:B1870"/>
    <mergeCell ref="C1868:C1870"/>
    <mergeCell ref="D1868:D1870"/>
    <mergeCell ref="E1868:E1870"/>
    <mergeCell ref="F1868:F1870"/>
    <mergeCell ref="E1859:E1863"/>
    <mergeCell ref="F1859:F1863"/>
    <mergeCell ref="C1842:C1844"/>
    <mergeCell ref="D1842:D1844"/>
    <mergeCell ref="E1842:E1844"/>
    <mergeCell ref="F1842:F1844"/>
    <mergeCell ref="E1856:E1858"/>
    <mergeCell ref="F1856:F1858"/>
    <mergeCell ref="G1860:G1861"/>
    <mergeCell ref="G1862:G1863"/>
    <mergeCell ref="A1856:A1858"/>
    <mergeCell ref="B1856:B1858"/>
    <mergeCell ref="G1842:G1844"/>
    <mergeCell ref="C1856:C1858"/>
    <mergeCell ref="D1856:D1858"/>
    <mergeCell ref="G1856:G1858"/>
    <mergeCell ref="G1852:G1853"/>
    <mergeCell ref="B1864:B1867"/>
    <mergeCell ref="C1864:C1867"/>
    <mergeCell ref="D1864:D1867"/>
    <mergeCell ref="E1864:E1867"/>
    <mergeCell ref="F1864:F1867"/>
    <mergeCell ref="A1876:A1878"/>
    <mergeCell ref="B1876:B1878"/>
    <mergeCell ref="C1876:C1878"/>
    <mergeCell ref="D1876:D1878"/>
    <mergeCell ref="E1876:E1878"/>
    <mergeCell ref="F1876:F1878"/>
    <mergeCell ref="G1876:G1878"/>
    <mergeCell ref="A1871:A1875"/>
    <mergeCell ref="B1871:B1875"/>
    <mergeCell ref="C1871:C1875"/>
    <mergeCell ref="D1871:D1875"/>
    <mergeCell ref="E1871:E1875"/>
    <mergeCell ref="F1871:F1875"/>
    <mergeCell ref="A1879:A1881"/>
    <mergeCell ref="B1879:B1881"/>
    <mergeCell ref="C1879:C1881"/>
    <mergeCell ref="D1879:D1881"/>
    <mergeCell ref="E1879:E1881"/>
    <mergeCell ref="F1879:F1881"/>
    <mergeCell ref="G1879:G1881"/>
    <mergeCell ref="G1893:G1895"/>
    <mergeCell ref="A1882:A1883"/>
    <mergeCell ref="B1882:B1883"/>
    <mergeCell ref="C1882:C1883"/>
    <mergeCell ref="D1882:D1883"/>
    <mergeCell ref="E1882:E1883"/>
    <mergeCell ref="F1882:F1883"/>
    <mergeCell ref="G1882:G1883"/>
    <mergeCell ref="A1884:A1885"/>
    <mergeCell ref="B1884:B1885"/>
    <mergeCell ref="C1884:C1885"/>
    <mergeCell ref="D1884:D1885"/>
    <mergeCell ref="E1884:E1885"/>
    <mergeCell ref="F1884:F1885"/>
    <mergeCell ref="G1884:G1885"/>
    <mergeCell ref="A1886:A1887"/>
    <mergeCell ref="B1886:B1887"/>
    <mergeCell ref="C1886:C1887"/>
    <mergeCell ref="D1886:D1887"/>
    <mergeCell ref="E1886:E1887"/>
    <mergeCell ref="F1886:F1887"/>
    <mergeCell ref="G1886:G1887"/>
    <mergeCell ref="E1898:E1899"/>
    <mergeCell ref="F1898:F1899"/>
    <mergeCell ref="G1898:G1899"/>
    <mergeCell ref="A1900:A1901"/>
    <mergeCell ref="B1900:B1901"/>
    <mergeCell ref="C1900:C1901"/>
    <mergeCell ref="D1900:D1901"/>
    <mergeCell ref="E1900:E1901"/>
    <mergeCell ref="F1900:F1901"/>
    <mergeCell ref="G1900:G1901"/>
    <mergeCell ref="F1914:F1916"/>
    <mergeCell ref="D1906:D1907"/>
    <mergeCell ref="A1888:A1890"/>
    <mergeCell ref="B1888:B1890"/>
    <mergeCell ref="C1888:C1890"/>
    <mergeCell ref="D1888:D1890"/>
    <mergeCell ref="E1888:E1890"/>
    <mergeCell ref="F1888:F1890"/>
    <mergeCell ref="G1888:G1890"/>
    <mergeCell ref="A1891:A1892"/>
    <mergeCell ref="B1891:B1892"/>
    <mergeCell ref="C1891:C1892"/>
    <mergeCell ref="D1891:D1892"/>
    <mergeCell ref="E1891:E1892"/>
    <mergeCell ref="F1891:F1892"/>
    <mergeCell ref="G1891:G1892"/>
    <mergeCell ref="A1893:A1895"/>
    <mergeCell ref="B1893:B1895"/>
    <mergeCell ref="C1893:C1895"/>
    <mergeCell ref="D1893:D1895"/>
    <mergeCell ref="E1893:E1895"/>
    <mergeCell ref="F1893:F1895"/>
    <mergeCell ref="G2064:G2065"/>
    <mergeCell ref="G2066:G2067"/>
    <mergeCell ref="G2068:G2069"/>
    <mergeCell ref="G2070:G2071"/>
    <mergeCell ref="D2049:D2071"/>
    <mergeCell ref="E2049:E2071"/>
    <mergeCell ref="F2049:F2071"/>
    <mergeCell ref="G2050:G2051"/>
    <mergeCell ref="G2052:G2053"/>
    <mergeCell ref="G2054:G2055"/>
    <mergeCell ref="A1902:A1903"/>
    <mergeCell ref="B1902:B1903"/>
    <mergeCell ref="C1902:C1903"/>
    <mergeCell ref="D1902:D1903"/>
    <mergeCell ref="E1902:E1903"/>
    <mergeCell ref="F1902:F1903"/>
    <mergeCell ref="G1902:G1903"/>
    <mergeCell ref="A1904:A1905"/>
    <mergeCell ref="B1904:B1905"/>
    <mergeCell ref="C1904:C1905"/>
    <mergeCell ref="D1904:D1905"/>
    <mergeCell ref="E1904:E1905"/>
    <mergeCell ref="F1904:F1905"/>
    <mergeCell ref="G1904:G1905"/>
    <mergeCell ref="A1926:A1928"/>
    <mergeCell ref="A1929:A1933"/>
    <mergeCell ref="B1929:B1933"/>
    <mergeCell ref="C1929:C1933"/>
    <mergeCell ref="D1929:D1933"/>
    <mergeCell ref="E1929:E1933"/>
    <mergeCell ref="F1929:F1933"/>
    <mergeCell ref="A1924:A1925"/>
    <mergeCell ref="G2058:G2059"/>
    <mergeCell ref="G2047:G2048"/>
    <mergeCell ref="E2486:E2488"/>
    <mergeCell ref="F2486:F2488"/>
    <mergeCell ref="G2486:G2488"/>
    <mergeCell ref="A2463:A2465"/>
    <mergeCell ref="B2463:B2465"/>
    <mergeCell ref="C2463:C2465"/>
    <mergeCell ref="D2463:D2465"/>
    <mergeCell ref="E2463:E2465"/>
    <mergeCell ref="G1930:G1931"/>
    <mergeCell ref="G1932:G1933"/>
    <mergeCell ref="G2022:G2023"/>
    <mergeCell ref="G2024:G2025"/>
    <mergeCell ref="G2026:G2027"/>
    <mergeCell ref="G2028:G2029"/>
    <mergeCell ref="D1920:D1921"/>
    <mergeCell ref="E1920:E1921"/>
    <mergeCell ref="F1920:F1921"/>
    <mergeCell ref="G1948:G1952"/>
    <mergeCell ref="E2077:E2081"/>
    <mergeCell ref="F2077:F2081"/>
    <mergeCell ref="G2078:G2079"/>
    <mergeCell ref="A2072:A2076"/>
    <mergeCell ref="B2072:B2076"/>
    <mergeCell ref="C2072:C2076"/>
    <mergeCell ref="D2072:D2076"/>
    <mergeCell ref="E2072:E2076"/>
    <mergeCell ref="F2072:F2076"/>
    <mergeCell ref="G2037:G2038"/>
    <mergeCell ref="G2060:G2061"/>
    <mergeCell ref="G2062:G2063"/>
    <mergeCell ref="A2091:A2092"/>
    <mergeCell ref="B2091:B2092"/>
    <mergeCell ref="C2091:C2092"/>
    <mergeCell ref="D2091:D2092"/>
    <mergeCell ref="E2091:E2092"/>
    <mergeCell ref="F2091:F2092"/>
    <mergeCell ref="G2091:G2092"/>
    <mergeCell ref="G2103:G2105"/>
    <mergeCell ref="A2753:A2755"/>
    <mergeCell ref="B2753:B2755"/>
    <mergeCell ref="C2753:C2755"/>
    <mergeCell ref="D2753:D2755"/>
    <mergeCell ref="E2753:E2755"/>
    <mergeCell ref="F2753:F2755"/>
    <mergeCell ref="G2753:G2755"/>
    <mergeCell ref="G2445:G2447"/>
    <mergeCell ref="G2453:G2455"/>
    <mergeCell ref="G2456:G2458"/>
    <mergeCell ref="G2466:G2468"/>
    <mergeCell ref="G2224:G2226"/>
    <mergeCell ref="B2442:B2444"/>
    <mergeCell ref="G2529:G2530"/>
    <mergeCell ref="G2183:G2185"/>
    <mergeCell ref="E2106:E2108"/>
    <mergeCell ref="G2639:G2640"/>
    <mergeCell ref="D2202:D2203"/>
    <mergeCell ref="E2202:E2203"/>
    <mergeCell ref="F2202:F2203"/>
    <mergeCell ref="A2204:A2206"/>
    <mergeCell ref="B2204:B2206"/>
    <mergeCell ref="C2204:C2206"/>
    <mergeCell ref="D2204:D2206"/>
    <mergeCell ref="B2789:B2791"/>
    <mergeCell ref="C2789:C2791"/>
    <mergeCell ref="D2789:D2791"/>
    <mergeCell ref="E2789:E2791"/>
    <mergeCell ref="F2789:F2791"/>
    <mergeCell ref="G2789:G2791"/>
    <mergeCell ref="A2792:A2794"/>
    <mergeCell ref="B2792:B2794"/>
    <mergeCell ref="C2792:C2794"/>
    <mergeCell ref="D2792:D2794"/>
    <mergeCell ref="E2792:E2794"/>
    <mergeCell ref="F2792:F2794"/>
    <mergeCell ref="G2792:G2794"/>
    <mergeCell ref="A2789:A2791"/>
    <mergeCell ref="A2807:A2809"/>
    <mergeCell ref="B2807:B2809"/>
    <mergeCell ref="C2807:C2809"/>
    <mergeCell ref="D2807:D2809"/>
    <mergeCell ref="E2807:E2809"/>
    <mergeCell ref="F2807:F2809"/>
    <mergeCell ref="G2807:G2809"/>
    <mergeCell ref="D2798:D2800"/>
    <mergeCell ref="E2798:E2800"/>
    <mergeCell ref="F2798:F2800"/>
    <mergeCell ref="E2795:E2797"/>
    <mergeCell ref="B2801:B2803"/>
    <mergeCell ref="C2801:C2803"/>
    <mergeCell ref="D2801:D2803"/>
    <mergeCell ref="G2795:G2797"/>
    <mergeCell ref="A2798:A2800"/>
    <mergeCell ref="G2801:G2803"/>
    <mergeCell ref="B2798:B2800"/>
    <mergeCell ref="C2798:C2800"/>
    <mergeCell ref="A2795:A2797"/>
    <mergeCell ref="A2813:A2815"/>
    <mergeCell ref="B2813:B2815"/>
    <mergeCell ref="C2813:C2815"/>
    <mergeCell ref="D2813:D2815"/>
    <mergeCell ref="E2813:E2815"/>
    <mergeCell ref="F2813:F2815"/>
    <mergeCell ref="G2813:G2815"/>
    <mergeCell ref="A2816:A2818"/>
    <mergeCell ref="B2816:B2818"/>
    <mergeCell ref="C2816:C2818"/>
    <mergeCell ref="D2816:D2818"/>
    <mergeCell ref="E2816:E2818"/>
    <mergeCell ref="F2816:F2818"/>
    <mergeCell ref="G2816:G2818"/>
    <mergeCell ref="A2819:A2821"/>
    <mergeCell ref="B2819:B2821"/>
    <mergeCell ref="C2819:C2821"/>
    <mergeCell ref="D2819:D2821"/>
    <mergeCell ref="E2819:E2821"/>
    <mergeCell ref="F2819:F2821"/>
    <mergeCell ref="G2819:G2821"/>
    <mergeCell ref="F2810:F2812"/>
    <mergeCell ref="G2810:G2812"/>
    <mergeCell ref="B2822:B2828"/>
    <mergeCell ref="C2822:C2828"/>
    <mergeCell ref="D2822:D2828"/>
    <mergeCell ref="E2822:E2828"/>
    <mergeCell ref="F2822:F2828"/>
    <mergeCell ref="G2823:G2824"/>
    <mergeCell ref="G2825:G2826"/>
    <mergeCell ref="G2827:G2828"/>
    <mergeCell ref="A2836:A2844"/>
    <mergeCell ref="B2836:B2844"/>
    <mergeCell ref="C2836:C2844"/>
    <mergeCell ref="D2836:D2844"/>
    <mergeCell ref="E2836:E2844"/>
    <mergeCell ref="F2836:F2844"/>
    <mergeCell ref="A2869:A2871"/>
    <mergeCell ref="B2869:B2871"/>
    <mergeCell ref="C2869:C2871"/>
    <mergeCell ref="D2869:D2871"/>
    <mergeCell ref="E2869:E2871"/>
    <mergeCell ref="F2869:F2871"/>
    <mergeCell ref="G2869:G2871"/>
    <mergeCell ref="C2857:C2859"/>
    <mergeCell ref="D2857:D2859"/>
    <mergeCell ref="E2857:E2859"/>
    <mergeCell ref="F2857:F2859"/>
    <mergeCell ref="D2845:D2847"/>
    <mergeCell ref="G2845:G2847"/>
    <mergeCell ref="F2854:F2856"/>
    <mergeCell ref="G2837:G2838"/>
    <mergeCell ref="G2839:G2840"/>
    <mergeCell ref="G2841:G2842"/>
    <mergeCell ref="G2843:G2844"/>
    <mergeCell ref="A2851:A2853"/>
    <mergeCell ref="B2851:B2853"/>
    <mergeCell ref="C2851:C2853"/>
    <mergeCell ref="D2851:D2853"/>
    <mergeCell ref="B2845:B2847"/>
    <mergeCell ref="A2875:A2881"/>
    <mergeCell ref="B2875:B2881"/>
    <mergeCell ref="C2875:C2881"/>
    <mergeCell ref="D2875:D2881"/>
    <mergeCell ref="E2875:E2881"/>
    <mergeCell ref="F2875:F2881"/>
    <mergeCell ref="G2876:G2877"/>
    <mergeCell ref="G2878:G2879"/>
    <mergeCell ref="G2880:G2881"/>
    <mergeCell ref="A2905:A2915"/>
    <mergeCell ref="B2905:B2915"/>
    <mergeCell ref="C2905:C2915"/>
    <mergeCell ref="D2905:D2915"/>
    <mergeCell ref="E2905:E2915"/>
    <mergeCell ref="F2905:F2915"/>
    <mergeCell ref="G2906:G2907"/>
    <mergeCell ref="G2908:G2909"/>
    <mergeCell ref="G2910:G2911"/>
    <mergeCell ref="G2912:G2913"/>
    <mergeCell ref="G2914:G2915"/>
    <mergeCell ref="A2885:A2891"/>
    <mergeCell ref="B2885:B2891"/>
    <mergeCell ref="C2885:C2891"/>
    <mergeCell ref="D2885:D2891"/>
    <mergeCell ref="E2885:E2891"/>
    <mergeCell ref="F2885:F2891"/>
    <mergeCell ref="G2886:G2887"/>
    <mergeCell ref="G2890:G2891"/>
    <mergeCell ref="A2902:A2904"/>
    <mergeCell ref="B2902:B2904"/>
    <mergeCell ref="C2902:C2904"/>
    <mergeCell ref="D2902:D2904"/>
    <mergeCell ref="E2902:E2904"/>
    <mergeCell ref="F2902:F2904"/>
    <mergeCell ref="G2902:G2904"/>
    <mergeCell ref="A2925:A2931"/>
    <mergeCell ref="B2925:B2931"/>
    <mergeCell ref="C2925:C2931"/>
    <mergeCell ref="D2925:D2931"/>
    <mergeCell ref="E2925:E2931"/>
    <mergeCell ref="F2925:F2931"/>
    <mergeCell ref="C2892:C2894"/>
    <mergeCell ref="D2892:D2894"/>
    <mergeCell ref="E2892:E2894"/>
    <mergeCell ref="E2922:E2924"/>
    <mergeCell ref="E2899:E2901"/>
    <mergeCell ref="F2899:F2901"/>
    <mergeCell ref="G2899:G2901"/>
    <mergeCell ref="A2892:A2894"/>
    <mergeCell ref="B2892:B2894"/>
    <mergeCell ref="A2916:A2918"/>
    <mergeCell ref="B2916:B2918"/>
    <mergeCell ref="D2916:D2918"/>
    <mergeCell ref="E2916:E2918"/>
    <mergeCell ref="G2926:G2927"/>
    <mergeCell ref="G2928:G2929"/>
    <mergeCell ref="G2930:G2931"/>
    <mergeCell ref="B2895:B2898"/>
    <mergeCell ref="C2895:C2898"/>
    <mergeCell ref="C2937:C2939"/>
    <mergeCell ref="D2937:D2939"/>
    <mergeCell ref="E2937:E2939"/>
    <mergeCell ref="B2950:B2952"/>
    <mergeCell ref="C2950:C2952"/>
    <mergeCell ref="D2950:D2952"/>
    <mergeCell ref="E2950:E2952"/>
    <mergeCell ref="F2950:F2952"/>
    <mergeCell ref="G2950:G2952"/>
    <mergeCell ref="A2953:A2955"/>
    <mergeCell ref="B2953:B2955"/>
    <mergeCell ref="C2953:C2955"/>
    <mergeCell ref="D2953:D2955"/>
    <mergeCell ref="E2953:E2955"/>
    <mergeCell ref="F2953:F2955"/>
    <mergeCell ref="G2953:G2955"/>
    <mergeCell ref="A2956:A2958"/>
    <mergeCell ref="B2956:B2958"/>
    <mergeCell ref="C2956:C2958"/>
    <mergeCell ref="D2956:D2958"/>
    <mergeCell ref="E2956:E2958"/>
    <mergeCell ref="F2956:F2958"/>
    <mergeCell ref="G2956:G2958"/>
    <mergeCell ref="G2947:G2949"/>
    <mergeCell ref="G2937:G2939"/>
    <mergeCell ref="G2941:G2942"/>
    <mergeCell ref="A2940:A2946"/>
    <mergeCell ref="A2959:A2961"/>
    <mergeCell ref="B2959:B2961"/>
    <mergeCell ref="C2959:C2961"/>
    <mergeCell ref="D2959:D2961"/>
    <mergeCell ref="E2959:E2961"/>
    <mergeCell ref="F2959:F2961"/>
    <mergeCell ref="G2959:G2961"/>
    <mergeCell ref="A2962:A2964"/>
    <mergeCell ref="B2962:B2964"/>
    <mergeCell ref="C2962:C2964"/>
    <mergeCell ref="D2962:D2964"/>
    <mergeCell ref="E2962:E2964"/>
    <mergeCell ref="F2962:F2964"/>
    <mergeCell ref="G2962:G2964"/>
    <mergeCell ref="A2965:A2967"/>
    <mergeCell ref="B2965:B2967"/>
    <mergeCell ref="C2965:C2967"/>
    <mergeCell ref="D2965:D2967"/>
    <mergeCell ref="E2965:E2967"/>
    <mergeCell ref="F2965:F2967"/>
    <mergeCell ref="G2965:G2967"/>
    <mergeCell ref="G2968:G2970"/>
    <mergeCell ref="A2971:A2973"/>
    <mergeCell ref="B2971:B2973"/>
    <mergeCell ref="C2971:C2973"/>
    <mergeCell ref="D2971:D2973"/>
    <mergeCell ref="E2971:E2973"/>
    <mergeCell ref="F2971:F2973"/>
    <mergeCell ref="G2971:G2973"/>
    <mergeCell ref="A2989:A2995"/>
    <mergeCell ref="B2989:B2995"/>
    <mergeCell ref="C2989:C2995"/>
    <mergeCell ref="D2989:D2995"/>
    <mergeCell ref="E2989:E2995"/>
    <mergeCell ref="F2989:F2995"/>
    <mergeCell ref="G2990:G2991"/>
    <mergeCell ref="G2992:G2993"/>
    <mergeCell ref="G2994:G2995"/>
    <mergeCell ref="A2974:A2976"/>
    <mergeCell ref="B2974:B2976"/>
    <mergeCell ref="C2974:C2976"/>
    <mergeCell ref="D2974:D2976"/>
    <mergeCell ref="E2974:E2976"/>
    <mergeCell ref="F2974:F2976"/>
    <mergeCell ref="G2974:G2976"/>
    <mergeCell ref="A2980:A2982"/>
    <mergeCell ref="B2980:B2982"/>
    <mergeCell ref="A3039:A3041"/>
    <mergeCell ref="B3039:B3041"/>
    <mergeCell ref="C3039:C3041"/>
    <mergeCell ref="D3039:D3041"/>
    <mergeCell ref="E3039:E3041"/>
    <mergeCell ref="F3039:F3041"/>
    <mergeCell ref="G3039:G3041"/>
    <mergeCell ref="A2999:A3011"/>
    <mergeCell ref="B2999:B3011"/>
    <mergeCell ref="C2999:C3011"/>
    <mergeCell ref="D2999:D3011"/>
    <mergeCell ref="E2999:E3011"/>
    <mergeCell ref="F2999:F3011"/>
    <mergeCell ref="G3000:G3001"/>
    <mergeCell ref="G3002:G3003"/>
    <mergeCell ref="G3004:G3005"/>
    <mergeCell ref="G3006:G3007"/>
    <mergeCell ref="G3008:G3009"/>
    <mergeCell ref="G3010:G3011"/>
    <mergeCell ref="A3027:A3031"/>
    <mergeCell ref="B3027:B3031"/>
    <mergeCell ref="C3027:C3031"/>
    <mergeCell ref="D3027:D3031"/>
    <mergeCell ref="E3027:E3031"/>
    <mergeCell ref="A3015:A3017"/>
    <mergeCell ref="D3015:D3017"/>
    <mergeCell ref="E3015:E3017"/>
    <mergeCell ref="A3012:A3014"/>
    <mergeCell ref="B3012:B3014"/>
    <mergeCell ref="C3012:C3014"/>
    <mergeCell ref="D3012:D3014"/>
    <mergeCell ref="E3012:E3014"/>
    <mergeCell ref="G3030:G3031"/>
    <mergeCell ref="A2986:A2988"/>
    <mergeCell ref="B2986:B2988"/>
    <mergeCell ref="C2986:C2988"/>
    <mergeCell ref="D2986:D2988"/>
    <mergeCell ref="E2986:E2988"/>
    <mergeCell ref="F2986:F2988"/>
    <mergeCell ref="G2986:G2988"/>
    <mergeCell ref="A2439:A2441"/>
    <mergeCell ref="B2439:B2441"/>
    <mergeCell ref="C2439:C2441"/>
    <mergeCell ref="D2439:D2441"/>
    <mergeCell ref="E2439:E2441"/>
    <mergeCell ref="F2439:F2441"/>
    <mergeCell ref="A2442:A2444"/>
    <mergeCell ref="B2486:B2488"/>
    <mergeCell ref="C2486:C2488"/>
    <mergeCell ref="D2486:D2488"/>
    <mergeCell ref="C2980:C2982"/>
    <mergeCell ref="D2980:D2982"/>
    <mergeCell ref="E2980:E2982"/>
    <mergeCell ref="F2980:F2982"/>
    <mergeCell ref="G2981:G2982"/>
    <mergeCell ref="C2977:C2979"/>
    <mergeCell ref="A2977:A2979"/>
    <mergeCell ref="B2977:B2979"/>
    <mergeCell ref="A2968:A2970"/>
    <mergeCell ref="B2968:B2970"/>
    <mergeCell ref="C2968:C2970"/>
    <mergeCell ref="D2968:D2970"/>
    <mergeCell ref="E2968:E2970"/>
    <mergeCell ref="F2968:F2970"/>
    <mergeCell ref="A1673:A1681"/>
    <mergeCell ref="B1673:B1681"/>
    <mergeCell ref="C1673:C1681"/>
    <mergeCell ref="D1673:D1681"/>
    <mergeCell ref="E1673:E1681"/>
    <mergeCell ref="F1673:F1681"/>
    <mergeCell ref="G1674:G1675"/>
    <mergeCell ref="D1938:D1942"/>
    <mergeCell ref="E1938:E1942"/>
    <mergeCell ref="G1939:G1940"/>
    <mergeCell ref="G1941:G1942"/>
    <mergeCell ref="A1934:A1937"/>
    <mergeCell ref="A1906:A1907"/>
    <mergeCell ref="B1906:B1907"/>
    <mergeCell ref="C1906:C1907"/>
    <mergeCell ref="G1906:G1907"/>
    <mergeCell ref="D1934:D1937"/>
    <mergeCell ref="E1934:E1937"/>
    <mergeCell ref="C1924:C1925"/>
    <mergeCell ref="D1924:D1925"/>
    <mergeCell ref="E1924:E1925"/>
    <mergeCell ref="F1924:F1925"/>
    <mergeCell ref="G1924:G1925"/>
    <mergeCell ref="C1914:C1916"/>
    <mergeCell ref="D1914:D1916"/>
    <mergeCell ref="E1914:E1916"/>
    <mergeCell ref="A1914:A1916"/>
    <mergeCell ref="A1896:A1897"/>
    <mergeCell ref="B1896:B1897"/>
    <mergeCell ref="C1896:C1897"/>
    <mergeCell ref="D1896:D1897"/>
    <mergeCell ref="E1896:E1897"/>
    <mergeCell ref="B1924:B1925"/>
    <mergeCell ref="G1803:G1804"/>
    <mergeCell ref="G1797:G1798"/>
    <mergeCell ref="G1799:G1800"/>
    <mergeCell ref="A3042:A3044"/>
    <mergeCell ref="B3042:B3044"/>
    <mergeCell ref="C3042:C3044"/>
    <mergeCell ref="D3042:D3044"/>
    <mergeCell ref="E3042:E3044"/>
    <mergeCell ref="F3042:F3044"/>
    <mergeCell ref="G3042:G3044"/>
    <mergeCell ref="A1956:A1958"/>
    <mergeCell ref="B1956:B1958"/>
    <mergeCell ref="C1956:C1958"/>
    <mergeCell ref="D1956:D1958"/>
    <mergeCell ref="E1956:E1958"/>
    <mergeCell ref="F1956:F1958"/>
    <mergeCell ref="G1956:G1958"/>
    <mergeCell ref="F3027:F3031"/>
    <mergeCell ref="G3028:G3029"/>
    <mergeCell ref="A3032:A3038"/>
    <mergeCell ref="B3032:B3038"/>
    <mergeCell ref="C3032:C3038"/>
    <mergeCell ref="G2073:G2074"/>
    <mergeCell ref="G2075:G2076"/>
    <mergeCell ref="A2077:A2081"/>
    <mergeCell ref="D3032:D3038"/>
    <mergeCell ref="E3032:E3038"/>
    <mergeCell ref="F3032:F3038"/>
    <mergeCell ref="G3033:G3034"/>
    <mergeCell ref="G3035:G3036"/>
    <mergeCell ref="G3037:G3038"/>
    <mergeCell ref="B1908:B1910"/>
    <mergeCell ref="C1908:C1910"/>
    <mergeCell ref="D1908:D1910"/>
    <mergeCell ref="E1908:E1910"/>
    <mergeCell ref="F1908:F1910"/>
    <mergeCell ref="G1909:G1910"/>
    <mergeCell ref="A1920:A1921"/>
    <mergeCell ref="B1920:B1921"/>
    <mergeCell ref="C1920:C1921"/>
    <mergeCell ref="D1780:D1792"/>
    <mergeCell ref="E1780:E1792"/>
    <mergeCell ref="F1780:F1792"/>
    <mergeCell ref="G1781:G1782"/>
    <mergeCell ref="A1796:A1800"/>
    <mergeCell ref="B1796:B1800"/>
    <mergeCell ref="C1796:C1800"/>
    <mergeCell ref="D1796:D1800"/>
    <mergeCell ref="E1796:E1800"/>
    <mergeCell ref="F1796:F1800"/>
    <mergeCell ref="G1819:G1820"/>
    <mergeCell ref="A1803:A1804"/>
    <mergeCell ref="B1803:B1804"/>
    <mergeCell ref="C1803:C1804"/>
    <mergeCell ref="D1803:D1804"/>
    <mergeCell ref="E1803:E1804"/>
    <mergeCell ref="F1803:F1804"/>
    <mergeCell ref="F1896:F1897"/>
    <mergeCell ref="G1896:G1897"/>
    <mergeCell ref="A1898:A1899"/>
    <mergeCell ref="B1898:B1899"/>
    <mergeCell ref="C1898:C1899"/>
    <mergeCell ref="D1898:D1899"/>
    <mergeCell ref="G1791:G1792"/>
    <mergeCell ref="A1780:A1792"/>
    <mergeCell ref="B1780:B1792"/>
    <mergeCell ref="A1793:A1795"/>
    <mergeCell ref="G1872:G1873"/>
    <mergeCell ref="G1874:G1875"/>
    <mergeCell ref="A1911:A1913"/>
    <mergeCell ref="B1911:B1913"/>
    <mergeCell ref="C1911:C1913"/>
    <mergeCell ref="D1911:D1913"/>
    <mergeCell ref="E1911:E1913"/>
    <mergeCell ref="F1911:F1913"/>
    <mergeCell ref="G1912:G1913"/>
    <mergeCell ref="A1972:A1978"/>
    <mergeCell ref="B1972:B1978"/>
    <mergeCell ref="C1972:C1978"/>
    <mergeCell ref="D1972:D1978"/>
    <mergeCell ref="E1972:E1978"/>
    <mergeCell ref="F1972:F1978"/>
    <mergeCell ref="F1938:F1942"/>
    <mergeCell ref="A1945:A1947"/>
    <mergeCell ref="B1945:B1947"/>
    <mergeCell ref="C1945:C1947"/>
    <mergeCell ref="D1945:D1947"/>
    <mergeCell ref="E1945:E1947"/>
    <mergeCell ref="F1945:F1947"/>
    <mergeCell ref="D1962:D1968"/>
    <mergeCell ref="G1946:G1947"/>
    <mergeCell ref="F1906:F1907"/>
    <mergeCell ref="C1953:C1955"/>
    <mergeCell ref="F1934:F1937"/>
    <mergeCell ref="A1908:A1910"/>
    <mergeCell ref="G1963:G1964"/>
    <mergeCell ref="G1965:G1968"/>
    <mergeCell ref="D2003:D2004"/>
    <mergeCell ref="E2003:E2004"/>
    <mergeCell ref="F2003:F2004"/>
    <mergeCell ref="G2003:G2004"/>
    <mergeCell ref="F2021:F2035"/>
    <mergeCell ref="D2000:D2002"/>
    <mergeCell ref="A2005:A2009"/>
    <mergeCell ref="B2005:B2009"/>
    <mergeCell ref="C2005:C2009"/>
    <mergeCell ref="D2005:D2009"/>
    <mergeCell ref="E2005:E2009"/>
    <mergeCell ref="G2041:G2042"/>
    <mergeCell ref="G2030:G2031"/>
    <mergeCell ref="G2032:G2033"/>
    <mergeCell ref="G2034:G2035"/>
    <mergeCell ref="E1167:E1168"/>
    <mergeCell ref="F1167:F1168"/>
    <mergeCell ref="G1167:G1168"/>
    <mergeCell ref="A1191:A1192"/>
    <mergeCell ref="B1191:B1192"/>
    <mergeCell ref="C1191:C1192"/>
    <mergeCell ref="D1191:D1192"/>
    <mergeCell ref="E1191:E1192"/>
    <mergeCell ref="F1191:F1192"/>
    <mergeCell ref="G1191:G1192"/>
    <mergeCell ref="A1186:A1190"/>
    <mergeCell ref="A1177:A1180"/>
    <mergeCell ref="G1172:G1176"/>
    <mergeCell ref="F1169:F1171"/>
    <mergeCell ref="G1169:G1171"/>
    <mergeCell ref="A1279:A1280"/>
    <mergeCell ref="B1279:B1280"/>
    <mergeCell ref="C1279:C1280"/>
    <mergeCell ref="D1279:D1280"/>
    <mergeCell ref="E1279:E1280"/>
    <mergeCell ref="F1279:F1280"/>
    <mergeCell ref="A1224:A1226"/>
    <mergeCell ref="B1230:B1231"/>
    <mergeCell ref="C1253:C1255"/>
    <mergeCell ref="F1253:F1255"/>
    <mergeCell ref="B1220:B1221"/>
    <mergeCell ref="A1232:A1234"/>
    <mergeCell ref="B1232:B1234"/>
    <mergeCell ref="C1232:C1234"/>
    <mergeCell ref="D1232:D1234"/>
    <mergeCell ref="D1264:D1266"/>
    <mergeCell ref="E1264:E1266"/>
    <mergeCell ref="G1313:G1314"/>
    <mergeCell ref="G1315:G1316"/>
    <mergeCell ref="G1393:G1394"/>
    <mergeCell ref="A1388:A1394"/>
    <mergeCell ref="A2476:A2479"/>
    <mergeCell ref="B2476:B2479"/>
    <mergeCell ref="C2476:C2479"/>
    <mergeCell ref="D2476:D2479"/>
    <mergeCell ref="E2476:E2479"/>
    <mergeCell ref="F2476:F2479"/>
    <mergeCell ref="F2456:F2458"/>
    <mergeCell ref="B2453:B2455"/>
    <mergeCell ref="C2453:C2455"/>
    <mergeCell ref="A1938:A1942"/>
    <mergeCell ref="B1938:B1942"/>
    <mergeCell ref="C1938:C1942"/>
    <mergeCell ref="G1989:G1990"/>
    <mergeCell ref="G1991:G1992"/>
    <mergeCell ref="B2000:B2002"/>
    <mergeCell ref="C2000:C2002"/>
    <mergeCell ref="B2049:B2071"/>
    <mergeCell ref="C2049:C2071"/>
    <mergeCell ref="G2420:G2422"/>
    <mergeCell ref="G2251:G2252"/>
    <mergeCell ref="D2430:D2432"/>
    <mergeCell ref="A1979:A1985"/>
    <mergeCell ref="B1979:B1985"/>
    <mergeCell ref="C1979:C1985"/>
    <mergeCell ref="D1979:D1985"/>
    <mergeCell ref="E1979:E1985"/>
    <mergeCell ref="F1979:F1985"/>
    <mergeCell ref="G2015:G2017"/>
    <mergeCell ref="C1220:C1221"/>
    <mergeCell ref="A1205:A1206"/>
    <mergeCell ref="B1205:B1206"/>
    <mergeCell ref="C1205:C1206"/>
    <mergeCell ref="D1205:D1206"/>
    <mergeCell ref="E1205:E1206"/>
    <mergeCell ref="F1205:F1206"/>
    <mergeCell ref="G1205:G1206"/>
    <mergeCell ref="A1290:A1291"/>
    <mergeCell ref="B1290:B1291"/>
    <mergeCell ref="C1290:C1291"/>
    <mergeCell ref="D1290:D1291"/>
    <mergeCell ref="E1290:E1291"/>
    <mergeCell ref="F1290:F1291"/>
    <mergeCell ref="G1475:G1476"/>
    <mergeCell ref="G2496:G2498"/>
    <mergeCell ref="A1218:A1219"/>
    <mergeCell ref="B1218:B1219"/>
    <mergeCell ref="C1218:C1219"/>
    <mergeCell ref="D1218:D1219"/>
    <mergeCell ref="E1218:E1219"/>
    <mergeCell ref="F1218:F1219"/>
    <mergeCell ref="A2490:A2491"/>
    <mergeCell ref="B2490:B2491"/>
    <mergeCell ref="C2490:C2491"/>
    <mergeCell ref="D2490:D2491"/>
    <mergeCell ref="E2490:E2491"/>
    <mergeCell ref="F2490:F2491"/>
    <mergeCell ref="G2490:G2491"/>
    <mergeCell ref="E1988:E1992"/>
    <mergeCell ref="F1988:F1992"/>
    <mergeCell ref="E1962:E1968"/>
    <mergeCell ref="B1388:B1394"/>
    <mergeCell ref="C1388:C1394"/>
    <mergeCell ref="D1388:D1394"/>
    <mergeCell ref="E1388:E1394"/>
    <mergeCell ref="F1388:F1394"/>
    <mergeCell ref="A2513:A2515"/>
    <mergeCell ref="B2513:B2515"/>
    <mergeCell ref="C2513:C2515"/>
    <mergeCell ref="D2513:D2515"/>
    <mergeCell ref="E2513:E2515"/>
    <mergeCell ref="F2513:F2515"/>
    <mergeCell ref="A2417:A2419"/>
    <mergeCell ref="B2417:B2419"/>
    <mergeCell ref="C2417:C2419"/>
    <mergeCell ref="A2251:A2252"/>
    <mergeCell ref="B2251:B2252"/>
    <mergeCell ref="C2251:C2252"/>
    <mergeCell ref="D2251:D2252"/>
    <mergeCell ref="E2251:E2252"/>
    <mergeCell ref="F2251:F2252"/>
    <mergeCell ref="A2350:A2351"/>
    <mergeCell ref="B2350:B2351"/>
    <mergeCell ref="C2350:C2351"/>
    <mergeCell ref="A2430:A2432"/>
    <mergeCell ref="B2430:B2432"/>
    <mergeCell ref="C2430:C2432"/>
    <mergeCell ref="A2469:A2471"/>
    <mergeCell ref="B2469:B2471"/>
    <mergeCell ref="C2469:C2471"/>
    <mergeCell ref="D2469:D2471"/>
    <mergeCell ref="E2469:E2471"/>
    <mergeCell ref="F2469:F2471"/>
    <mergeCell ref="E1464:E1466"/>
    <mergeCell ref="A1472:A1480"/>
    <mergeCell ref="B1472:B1480"/>
    <mergeCell ref="C1472:C1480"/>
    <mergeCell ref="D1472:D1480"/>
    <mergeCell ref="E1472:E1480"/>
    <mergeCell ref="F1472:F1480"/>
    <mergeCell ref="G1473:G1474"/>
    <mergeCell ref="A2116:A2118"/>
    <mergeCell ref="B2116:B2118"/>
    <mergeCell ref="C2116:C2118"/>
    <mergeCell ref="D2116:D2118"/>
    <mergeCell ref="E2116:E2118"/>
    <mergeCell ref="F2116:F2118"/>
    <mergeCell ref="G2116:G2118"/>
    <mergeCell ref="B2015:B2017"/>
    <mergeCell ref="C2015:C2017"/>
    <mergeCell ref="F1959:F1961"/>
    <mergeCell ref="B2012:B2014"/>
    <mergeCell ref="C2012:C2014"/>
    <mergeCell ref="D2012:D2014"/>
    <mergeCell ref="E2012:E2014"/>
    <mergeCell ref="A1962:A1968"/>
    <mergeCell ref="B1953:B1955"/>
    <mergeCell ref="A1988:A1992"/>
    <mergeCell ref="B1988:B1992"/>
    <mergeCell ref="C1988:C1992"/>
    <mergeCell ref="D1988:D1992"/>
    <mergeCell ref="G2043:G2044"/>
    <mergeCell ref="G2045:G2046"/>
    <mergeCell ref="G1982:G1983"/>
    <mergeCell ref="G1984:G1985"/>
    <mergeCell ref="C2559:C2561"/>
    <mergeCell ref="D2559:D2561"/>
    <mergeCell ref="E2559:E2561"/>
    <mergeCell ref="F2559:F2561"/>
    <mergeCell ref="G2559:G2561"/>
    <mergeCell ref="A2571:A2573"/>
    <mergeCell ref="B2571:B2573"/>
    <mergeCell ref="A2480:A2482"/>
    <mergeCell ref="A2486:A2488"/>
    <mergeCell ref="A2272:A2274"/>
    <mergeCell ref="B2272:B2274"/>
    <mergeCell ref="A2562:A2564"/>
    <mergeCell ref="B2562:B2564"/>
    <mergeCell ref="C2562:C2564"/>
    <mergeCell ref="D2562:D2564"/>
    <mergeCell ref="A2217:A2219"/>
    <mergeCell ref="B2217:B2219"/>
    <mergeCell ref="G2514:G2515"/>
    <mergeCell ref="C2217:C2219"/>
    <mergeCell ref="A2420:A2422"/>
    <mergeCell ref="B2420:B2422"/>
    <mergeCell ref="C2420:C2422"/>
    <mergeCell ref="D2420:D2422"/>
    <mergeCell ref="E2420:E2422"/>
    <mergeCell ref="F2420:F2422"/>
    <mergeCell ref="A2483:A2485"/>
    <mergeCell ref="B2483:B2485"/>
    <mergeCell ref="C2483:C2485"/>
    <mergeCell ref="D2483:D2485"/>
    <mergeCell ref="E2483:E2485"/>
    <mergeCell ref="F2483:F2485"/>
    <mergeCell ref="G2469:G2471"/>
    <mergeCell ref="B2698:B2699"/>
    <mergeCell ref="C2698:C2699"/>
    <mergeCell ref="D2698:D2699"/>
    <mergeCell ref="E2698:E2699"/>
    <mergeCell ref="F2698:F2699"/>
    <mergeCell ref="A2700:A2702"/>
    <mergeCell ref="B2700:B2702"/>
    <mergeCell ref="C2700:C2702"/>
    <mergeCell ref="F2571:F2573"/>
    <mergeCell ref="G2572:G2573"/>
    <mergeCell ref="F2574:F2576"/>
    <mergeCell ref="F2568:F2570"/>
    <mergeCell ref="G2605:G2606"/>
    <mergeCell ref="F2636:F2642"/>
    <mergeCell ref="B2636:B2642"/>
    <mergeCell ref="C2636:C2642"/>
    <mergeCell ref="G2641:G2642"/>
    <mergeCell ref="A2579:A2580"/>
    <mergeCell ref="B2579:B2580"/>
    <mergeCell ref="B2668:B2676"/>
    <mergeCell ref="E2636:E2642"/>
    <mergeCell ref="A2636:A2642"/>
    <mergeCell ref="D2636:D2642"/>
    <mergeCell ref="C2668:C2676"/>
    <mergeCell ref="D2668:D2676"/>
    <mergeCell ref="E2668:E2676"/>
    <mergeCell ref="F2668:F2676"/>
    <mergeCell ref="G2669:G2670"/>
    <mergeCell ref="G2671:G2672"/>
    <mergeCell ref="G2673:G2674"/>
    <mergeCell ref="G2675:G2676"/>
    <mergeCell ref="A2668:A2676"/>
    <mergeCell ref="G2553:G2555"/>
    <mergeCell ref="A2559:A2561"/>
    <mergeCell ref="A2233:A2234"/>
    <mergeCell ref="B2233:B2234"/>
    <mergeCell ref="C2233:C2234"/>
    <mergeCell ref="D2233:D2234"/>
    <mergeCell ref="E2233:E2234"/>
    <mergeCell ref="F2233:F2234"/>
    <mergeCell ref="A2243:A2244"/>
    <mergeCell ref="B2243:B2244"/>
    <mergeCell ref="C2243:C2244"/>
    <mergeCell ref="D2243:D2244"/>
    <mergeCell ref="E2243:E2244"/>
    <mergeCell ref="F2243:F2244"/>
    <mergeCell ref="G2243:G2244"/>
    <mergeCell ref="G2241:G2242"/>
    <mergeCell ref="G2239:G2240"/>
    <mergeCell ref="D2238:D2242"/>
    <mergeCell ref="A2267:A2268"/>
    <mergeCell ref="B2267:B2268"/>
    <mergeCell ref="C2267:C2268"/>
    <mergeCell ref="D2267:D2268"/>
    <mergeCell ref="E2267:E2268"/>
    <mergeCell ref="F2267:F2268"/>
    <mergeCell ref="G2417:G2419"/>
    <mergeCell ref="A2413:A2414"/>
    <mergeCell ref="B2413:B2414"/>
    <mergeCell ref="B2427:B2429"/>
    <mergeCell ref="C2427:C2429"/>
    <mergeCell ref="D2427:D2429"/>
    <mergeCell ref="E2427:E2429"/>
    <mergeCell ref="F2427:F2429"/>
    <mergeCell ref="A2722:A2723"/>
    <mergeCell ref="B2722:B2723"/>
    <mergeCell ref="C2722:C2723"/>
    <mergeCell ref="D2722:D2723"/>
    <mergeCell ref="E2722:E2723"/>
    <mergeCell ref="F2722:F2723"/>
    <mergeCell ref="A2715:A2721"/>
    <mergeCell ref="B2715:B2721"/>
    <mergeCell ref="C2715:C2721"/>
    <mergeCell ref="D2715:D2721"/>
    <mergeCell ref="E2715:E2721"/>
    <mergeCell ref="F2715:F2721"/>
    <mergeCell ref="E2700:E2702"/>
    <mergeCell ref="F2700:F2702"/>
    <mergeCell ref="A2703:A2705"/>
    <mergeCell ref="B2703:B2705"/>
    <mergeCell ref="C2703:C2705"/>
    <mergeCell ref="D2703:D2705"/>
    <mergeCell ref="E2703:E2705"/>
    <mergeCell ref="F2703:F2705"/>
    <mergeCell ref="G2704:G2705"/>
    <mergeCell ref="D2350:D2351"/>
    <mergeCell ref="E2350:E2351"/>
    <mergeCell ref="F2350:F2351"/>
    <mergeCell ref="D2272:D2274"/>
    <mergeCell ref="E2272:E2274"/>
    <mergeCell ref="F2272:F2274"/>
    <mergeCell ref="F2275:F2277"/>
    <mergeCell ref="G2276:G2277"/>
    <mergeCell ref="A2698:A2699"/>
    <mergeCell ref="D2336:D2342"/>
    <mergeCell ref="D2307:D2313"/>
    <mergeCell ref="F2336:F2342"/>
    <mergeCell ref="F2328:F2331"/>
    <mergeCell ref="G2344:G2345"/>
    <mergeCell ref="G2346:G2347"/>
    <mergeCell ref="G2348:G2349"/>
    <mergeCell ref="D2700:D2702"/>
    <mergeCell ref="A2352:A2355"/>
    <mergeCell ref="E2352:E2355"/>
    <mergeCell ref="F2352:F2355"/>
    <mergeCell ref="C2352:C2355"/>
    <mergeCell ref="B2352:B2355"/>
    <mergeCell ref="D2352:D2355"/>
    <mergeCell ref="G2353:G2355"/>
    <mergeCell ref="C2413:C2414"/>
    <mergeCell ref="D2413:D2414"/>
    <mergeCell ref="E2413:E2414"/>
    <mergeCell ref="F2413:F2414"/>
    <mergeCell ref="D2417:D2419"/>
    <mergeCell ref="E2417:E2419"/>
    <mergeCell ref="F2417:F2419"/>
    <mergeCell ref="A3061:A3063"/>
    <mergeCell ref="B3061:B3063"/>
    <mergeCell ref="C3061:C3063"/>
    <mergeCell ref="D3061:D3063"/>
    <mergeCell ref="E3061:E3063"/>
    <mergeCell ref="F3061:F3063"/>
    <mergeCell ref="C2272:C2274"/>
    <mergeCell ref="G3062:G3063"/>
    <mergeCell ref="E3128:E3130"/>
    <mergeCell ref="F3128:F3130"/>
    <mergeCell ref="G3129:G3130"/>
    <mergeCell ref="G3165:G3166"/>
    <mergeCell ref="G3167:G3168"/>
    <mergeCell ref="A3153:A3155"/>
    <mergeCell ref="B3153:B3155"/>
    <mergeCell ref="C3153:C3155"/>
    <mergeCell ref="D3153:D3155"/>
    <mergeCell ref="E3153:E3155"/>
    <mergeCell ref="F3153:F3155"/>
    <mergeCell ref="G3154:G3155"/>
    <mergeCell ref="A3156:A3158"/>
    <mergeCell ref="B3156:B3158"/>
    <mergeCell ref="C3156:C3158"/>
    <mergeCell ref="D3156:D3158"/>
    <mergeCell ref="D3146:D3148"/>
    <mergeCell ref="E3146:E3148"/>
    <mergeCell ref="F3146:F3148"/>
    <mergeCell ref="A3150:A3152"/>
    <mergeCell ref="B3150:B3152"/>
    <mergeCell ref="C3150:C3152"/>
    <mergeCell ref="D3150:D3152"/>
    <mergeCell ref="E3150:E3152"/>
    <mergeCell ref="G3223:G3224"/>
    <mergeCell ref="C3101:C3105"/>
    <mergeCell ref="D3101:D3105"/>
    <mergeCell ref="E3101:E3105"/>
    <mergeCell ref="F3101:F3105"/>
    <mergeCell ref="C3159:C3163"/>
    <mergeCell ref="D3159:D3163"/>
    <mergeCell ref="E3159:E3163"/>
    <mergeCell ref="F3159:F3163"/>
    <mergeCell ref="A3143:A3145"/>
    <mergeCell ref="B3143:B3145"/>
    <mergeCell ref="C3143:C3145"/>
    <mergeCell ref="D3143:D3145"/>
    <mergeCell ref="A3101:A3105"/>
    <mergeCell ref="B3101:B3105"/>
    <mergeCell ref="E3156:E3158"/>
    <mergeCell ref="F3156:F3158"/>
    <mergeCell ref="F3143:F3145"/>
    <mergeCell ref="G3143:G3145"/>
    <mergeCell ref="A3164:A3168"/>
    <mergeCell ref="B3164:B3168"/>
    <mergeCell ref="C3164:C3168"/>
    <mergeCell ref="D3164:D3168"/>
    <mergeCell ref="E3164:E3168"/>
    <mergeCell ref="F3164:F3168"/>
    <mergeCell ref="G3160:G3161"/>
    <mergeCell ref="A3117:A3119"/>
    <mergeCell ref="B3117:B3119"/>
    <mergeCell ref="C3117:C3119"/>
    <mergeCell ref="A3149:C3149"/>
    <mergeCell ref="A3169:A3173"/>
    <mergeCell ref="B3169:B3173"/>
    <mergeCell ref="A3225:A3226"/>
    <mergeCell ref="B3225:B3226"/>
    <mergeCell ref="C3225:C3226"/>
    <mergeCell ref="D3225:D3226"/>
    <mergeCell ref="E3225:E3226"/>
    <mergeCell ref="F3225:F3226"/>
    <mergeCell ref="A3227:A3228"/>
    <mergeCell ref="A3229:A3232"/>
    <mergeCell ref="B3229:B3232"/>
    <mergeCell ref="C3229:C3232"/>
    <mergeCell ref="D3229:D3232"/>
    <mergeCell ref="E3229:E3232"/>
    <mergeCell ref="F3229:F3232"/>
    <mergeCell ref="A3222:A3224"/>
    <mergeCell ref="B3222:B3224"/>
    <mergeCell ref="C3222:C3224"/>
    <mergeCell ref="D3222:D3224"/>
    <mergeCell ref="E3222:E3224"/>
    <mergeCell ref="F3222:F3224"/>
    <mergeCell ref="B3275:B3276"/>
    <mergeCell ref="C3275:C3276"/>
    <mergeCell ref="D3275:D3276"/>
    <mergeCell ref="E3275:E3276"/>
    <mergeCell ref="F3275:F3276"/>
    <mergeCell ref="G3275:G3276"/>
    <mergeCell ref="B3227:B3228"/>
    <mergeCell ref="C3227:C3228"/>
    <mergeCell ref="D3227:D3228"/>
    <mergeCell ref="E3227:E3228"/>
    <mergeCell ref="A3270:A3272"/>
    <mergeCell ref="B3270:B3272"/>
    <mergeCell ref="C3270:C3272"/>
    <mergeCell ref="D3270:D3272"/>
    <mergeCell ref="E3270:E3272"/>
    <mergeCell ref="F3270:F3272"/>
    <mergeCell ref="G3270:G3272"/>
    <mergeCell ref="G3273:G3274"/>
    <mergeCell ref="A3275:A3276"/>
    <mergeCell ref="A3233:A3236"/>
    <mergeCell ref="B3233:B3236"/>
    <mergeCell ref="C3233:C3236"/>
    <mergeCell ref="D3233:D3236"/>
    <mergeCell ref="E3233:E3236"/>
    <mergeCell ref="F3233:F3236"/>
    <mergeCell ref="A3267:A3269"/>
    <mergeCell ref="B3267:B3269"/>
    <mergeCell ref="C3267:C3269"/>
    <mergeCell ref="D3267:D3269"/>
    <mergeCell ref="A3237:A3243"/>
    <mergeCell ref="B3237:B3243"/>
    <mergeCell ref="C3237:C3243"/>
    <mergeCell ref="A3175:A3176"/>
    <mergeCell ref="B3175:B3176"/>
    <mergeCell ref="C3175:C3176"/>
    <mergeCell ref="D3175:D3176"/>
    <mergeCell ref="E3175:E3176"/>
    <mergeCell ref="F3175:F3176"/>
    <mergeCell ref="G3175:G3176"/>
    <mergeCell ref="F3227:F3228"/>
    <mergeCell ref="A3277:A3278"/>
    <mergeCell ref="B3277:B3278"/>
    <mergeCell ref="C3277:C3278"/>
    <mergeCell ref="D3277:D3278"/>
    <mergeCell ref="E3277:E3278"/>
    <mergeCell ref="F3277:F3278"/>
    <mergeCell ref="G3102:G3105"/>
    <mergeCell ref="A3112:A3116"/>
    <mergeCell ref="B3112:B3116"/>
    <mergeCell ref="C3112:C3116"/>
    <mergeCell ref="D3112:D3116"/>
    <mergeCell ref="E3112:E3116"/>
    <mergeCell ref="F3112:F3116"/>
    <mergeCell ref="G3113:G3114"/>
    <mergeCell ref="G3115:G3116"/>
    <mergeCell ref="A3146:A3148"/>
    <mergeCell ref="B3146:B3148"/>
    <mergeCell ref="C3146:C3148"/>
    <mergeCell ref="A3273:A3274"/>
    <mergeCell ref="B3273:B3274"/>
    <mergeCell ref="C3273:C3274"/>
    <mergeCell ref="D3273:D3274"/>
    <mergeCell ref="E3273:E3274"/>
    <mergeCell ref="F3273:F3274"/>
    <mergeCell ref="E1140:E1141"/>
    <mergeCell ref="F1140:F1141"/>
    <mergeCell ref="G1140:G1141"/>
    <mergeCell ref="A2210:A2212"/>
    <mergeCell ref="B2210:B2212"/>
    <mergeCell ref="C2210:C2212"/>
    <mergeCell ref="A1464:A1466"/>
    <mergeCell ref="E1456:E1459"/>
    <mergeCell ref="A1484:A1486"/>
    <mergeCell ref="G1477:G1478"/>
    <mergeCell ref="G1479:G1480"/>
    <mergeCell ref="A1487:A1488"/>
    <mergeCell ref="B1487:B1488"/>
    <mergeCell ref="C1487:C1488"/>
    <mergeCell ref="D1487:D1488"/>
    <mergeCell ref="E1487:E1488"/>
    <mergeCell ref="F1487:F1488"/>
    <mergeCell ref="A2133:A2134"/>
    <mergeCell ref="B2133:B2134"/>
    <mergeCell ref="C2133:C2134"/>
    <mergeCell ref="D2133:D2134"/>
    <mergeCell ref="E2133:E2134"/>
    <mergeCell ref="F2133:F2134"/>
    <mergeCell ref="A1442:A1446"/>
    <mergeCell ref="B1442:B1446"/>
    <mergeCell ref="C1442:C1446"/>
    <mergeCell ref="D1442:D1446"/>
    <mergeCell ref="E1442:E1446"/>
    <mergeCell ref="F1442:F1446"/>
    <mergeCell ref="A1460:A1463"/>
    <mergeCell ref="D1464:D1466"/>
    <mergeCell ref="D1456:D1459"/>
    <mergeCell ref="G2423:G2426"/>
    <mergeCell ref="A2427:A2429"/>
    <mergeCell ref="G595:G596"/>
    <mergeCell ref="A714:A715"/>
    <mergeCell ref="B714:B715"/>
    <mergeCell ref="C714:C715"/>
    <mergeCell ref="D714:D715"/>
    <mergeCell ref="E714:E715"/>
    <mergeCell ref="F714:F715"/>
    <mergeCell ref="A747:A749"/>
    <mergeCell ref="B747:B749"/>
    <mergeCell ref="C747:C749"/>
    <mergeCell ref="D747:D749"/>
    <mergeCell ref="E747:E749"/>
    <mergeCell ref="F747:F749"/>
    <mergeCell ref="G747:G749"/>
    <mergeCell ref="B734:B738"/>
    <mergeCell ref="G739:G741"/>
    <mergeCell ref="F742:F743"/>
    <mergeCell ref="G742:G743"/>
    <mergeCell ref="A706:A707"/>
    <mergeCell ref="B706:B707"/>
    <mergeCell ref="A1138:A1139"/>
    <mergeCell ref="B1138:B1139"/>
    <mergeCell ref="C1138:C1139"/>
    <mergeCell ref="E1138:E1139"/>
    <mergeCell ref="F1138:F1139"/>
    <mergeCell ref="G1138:G1139"/>
    <mergeCell ref="A1140:A1141"/>
    <mergeCell ref="B1140:B1141"/>
    <mergeCell ref="C1140:C1141"/>
    <mergeCell ref="D1140:D1141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44" firstPageNumber="16" fitToHeight="0" orientation="portrait" useFirstPageNumber="1" r:id="rId4"/>
  <headerFooter>
    <oddHeader>&amp;C&amp;P</oddHeader>
  </headerFooter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форма 1</vt:lpstr>
      <vt:lpstr>Форма 2</vt:lpstr>
      <vt:lpstr>'форма 1'!Заголовки_для_печати</vt:lpstr>
      <vt:lpstr>'Форма 2'!Заголовки_для_печати</vt:lpstr>
      <vt:lpstr>'форма 1'!Область_печати</vt:lpstr>
      <vt:lpstr>'Форма 2'!Область_печати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Ксения Соболева</cp:lastModifiedBy>
  <cp:lastPrinted>2021-01-11T08:33:56Z</cp:lastPrinted>
  <dcterms:created xsi:type="dcterms:W3CDTF">2014-04-25T08:41:06Z</dcterms:created>
  <dcterms:modified xsi:type="dcterms:W3CDTF">2021-01-11T08:34:20Z</dcterms:modified>
</cp:coreProperties>
</file>