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Проверка КП\3 корректировка КП 2020-2022\"/>
    </mc:Choice>
  </mc:AlternateContent>
  <bookViews>
    <workbookView xWindow="0" yWindow="0" windowWidth="28800" windowHeight="10845" tabRatio="586" activeTab="1"/>
  </bookViews>
  <sheets>
    <sheet name="форма 1" sheetId="1" r:id="rId1"/>
    <sheet name="Форма 2" sheetId="4" r:id="rId2"/>
  </sheets>
  <externalReferences>
    <externalReference r:id="rId3"/>
  </externalReferences>
  <definedNames>
    <definedName name="_xlnm._FilterDatabase" localSheetId="0" hidden="1">'форма 1'!$A$8:$S$802</definedName>
    <definedName name="_xlnm._FilterDatabase" localSheetId="1" hidden="1">'Форма 2'!$A$4:$K$3027</definedName>
    <definedName name="Z_071E1129_87BE_443E_A630_49B570385858_.wvu.FilterData" localSheetId="0" hidden="1">'форма 1'!$A$8:$S$13</definedName>
    <definedName name="Z_2153793A_FA21_4C81_8AE5_3C176D0CDF9C_.wvu.FilterData" localSheetId="0" hidden="1">'форма 1'!$A$8:$S$13</definedName>
    <definedName name="Z_3511D8A4_2A8D_4563_8DF1_C381EEDBF68F_.wvu.FilterData" localSheetId="0" hidden="1">'форма 1'!$A$8:$S$13</definedName>
    <definedName name="Z_3511D8A4_2A8D_4563_8DF1_C381EEDBF68F_.wvu.FilterData" localSheetId="1" hidden="1">'Форма 2'!$A$4:$K$4</definedName>
    <definedName name="Z_3511D8A4_2A8D_4563_8DF1_C381EEDBF68F_.wvu.PrintArea" localSheetId="0" hidden="1">'форма 1'!$A$1:$S$13</definedName>
    <definedName name="Z_3511D8A4_2A8D_4563_8DF1_C381EEDBF68F_.wvu.PrintArea" localSheetId="1" hidden="1">'Форма 2'!$A$1:$K$1086</definedName>
    <definedName name="Z_3511D8A4_2A8D_4563_8DF1_C381EEDBF68F_.wvu.PrintTitles" localSheetId="1" hidden="1">'Форма 2'!$4:$4</definedName>
    <definedName name="Z_4A739215_D16A_4EE7_A2DF_5890D7372CF6_.wvu.FilterData" localSheetId="0" hidden="1">'форма 1'!$A$8:$S$13</definedName>
    <definedName name="Z_4A739215_D16A_4EE7_A2DF_5890D7372CF6_.wvu.FilterData" localSheetId="1" hidden="1">'Форма 2'!$A$4:$K$6</definedName>
    <definedName name="Z_4BBD3242_ADF1_41E0_9651_34A11444B844_.wvu.FilterData" localSheetId="0" hidden="1">'форма 1'!$A$8:$S$13</definedName>
    <definedName name="Z_4BBD3242_ADF1_41E0_9651_34A11444B844_.wvu.FilterData" localSheetId="1" hidden="1">'Форма 2'!$A$4:$K$6</definedName>
    <definedName name="Z_513E810E_3E48_4817_A3BD_1F59CB59F4CA_.wvu.FilterData" localSheetId="1" hidden="1">'Форма 2'!$A$4:$K$6</definedName>
    <definedName name="Z_5F42B46C_E737_4DDF_A6B3_D01B97AD9617_.wvu.FilterData" localSheetId="0" hidden="1">'форма 1'!$A$8:$S$13</definedName>
    <definedName name="Z_5F42B46C_E737_4DDF_A6B3_D01B97AD9617_.wvu.FilterData" localSheetId="1" hidden="1">'Форма 2'!$A$4:$K$6</definedName>
    <definedName name="Z_6B855072_AFE4_4509_A179_E4F6A2796966_.wvu.FilterData" localSheetId="1" hidden="1">'Форма 2'!$A$4:$K$6</definedName>
    <definedName name="Z_7B1C413C_CFA4_46EC_80EB_4C481039F7CE_.wvu.FilterData" localSheetId="1" hidden="1">'Форма 2'!$A$4:$K$6</definedName>
    <definedName name="Z_7D125628_27D8_424A_B039_7F6935A9E22F_.wvu.FilterData" localSheetId="0" hidden="1">'форма 1'!$A$8:$S$13</definedName>
    <definedName name="Z_7D125628_27D8_424A_B039_7F6935A9E22F_.wvu.FilterData" localSheetId="1" hidden="1">'Форма 2'!$A$4:$K$6</definedName>
    <definedName name="Z_894246BE_CC98_45CA_9015_348B720E2996_.wvu.FilterData" localSheetId="0" hidden="1">'форма 1'!$A$8:$S$13</definedName>
    <definedName name="Z_9A08A02A_49DA_4249_BF63_47BD16E54DDA_.wvu.FilterData" localSheetId="1" hidden="1">'Форма 2'!$A$4:$K$6</definedName>
    <definedName name="Z_B69FB2D8_BCA5_4AC2_B0C9_F7BAD98AD860_.wvu.FilterData" localSheetId="0" hidden="1">'форма 1'!$A$8:$S$13</definedName>
    <definedName name="Z_B69FB2D8_BCA5_4AC2_B0C9_F7BAD98AD860_.wvu.FilterData" localSheetId="1" hidden="1">'Форма 2'!$A$4:$K$6</definedName>
    <definedName name="Z_BA9FD3DD_4F2C_454E_A268_F4AB041FD291_.wvu.FilterData" localSheetId="1" hidden="1">'Форма 2'!$A$4:$K$6</definedName>
    <definedName name="Z_C9A56928_F6D8_45BD_A377_A02C7A3A4EC3_.wvu.FilterData" localSheetId="0" hidden="1">'форма 1'!$A$8:$S$13</definedName>
    <definedName name="Z_C9A56928_F6D8_45BD_A377_A02C7A3A4EC3_.wvu.FilterData" localSheetId="1" hidden="1">'Форма 2'!$A$4:$K$6</definedName>
    <definedName name="Z_CC3EEC02_30D2_4905_AE21_71EA71520321_.wvu.FilterData" localSheetId="0" hidden="1">'форма 1'!$A$8:$S$13</definedName>
    <definedName name="Z_CC3EEC02_30D2_4905_AE21_71EA71520321_.wvu.FilterData" localSheetId="1" hidden="1">'Форма 2'!$A$4:$K$6</definedName>
    <definedName name="Z_CC3EEC02_30D2_4905_AE21_71EA71520321_.wvu.PrintArea" localSheetId="1" hidden="1">'Форма 2'!$A$1:$K$1086</definedName>
    <definedName name="Z_CC3EEC02_30D2_4905_AE21_71EA71520321_.wvu.PrintTitles" localSheetId="1" hidden="1">'Форма 2'!$4:$4</definedName>
    <definedName name="Z_D58D1C63_6768_4CFA_8358_86EE19640CB2_.wvu.FilterData" localSheetId="1" hidden="1">'Форма 2'!$A$4:$K$6</definedName>
    <definedName name="Z_E0198BA7_4C17_4517_AE42_FD3FC28E3706_.wvu.FilterData" localSheetId="0" hidden="1">'форма 1'!$A$8:$S$13</definedName>
    <definedName name="Z_E0198BA7_4C17_4517_AE42_FD3FC28E3706_.wvu.FilterData" localSheetId="1" hidden="1">'Форма 2'!$A$4:$K$6</definedName>
    <definedName name="Z_E4B115D4_BEE0_43CB_9EA7_2190A66EBA3F_.wvu.FilterData" localSheetId="0" hidden="1">'форма 1'!$A$8:$S$13</definedName>
    <definedName name="Z_E4B115D4_BEE0_43CB_9EA7_2190A66EBA3F_.wvu.FilterData" localSheetId="1" hidden="1">'Форма 2'!$A$4:$K$6</definedName>
    <definedName name="Z_F3AFC384_A20B_4171_8881_A61C399C6A68_.wvu.FilterData" localSheetId="1" hidden="1">'Форма 2'!$A$4:$K$6</definedName>
    <definedName name="_xlnm.Print_Titles" localSheetId="0">'форма 1'!$8:$8</definedName>
    <definedName name="_xlnm.Print_Titles" localSheetId="1">'Форма 2'!$4:$4</definedName>
    <definedName name="_xlnm.Print_Area" localSheetId="0">'форма 1'!$A$1:$S$802</definedName>
    <definedName name="_xlnm.Print_Area" localSheetId="1">'Форма 2'!$A$1:$K$3036</definedName>
  </definedNames>
  <calcPr calcId="152511" fullPrecision="0"/>
  <customWorkbookViews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H71" i="1" l="1"/>
  <c r="J32" i="1"/>
  <c r="H32" i="1"/>
  <c r="I32" i="1"/>
  <c r="O27" i="1"/>
  <c r="I27" i="1"/>
  <c r="J27" i="1"/>
  <c r="H27" i="1"/>
  <c r="D359" i="4" l="1"/>
  <c r="D1496" i="4" l="1"/>
  <c r="K2040" i="4"/>
  <c r="J2040" i="4"/>
  <c r="K2039" i="4"/>
  <c r="J2039" i="4"/>
  <c r="K2038" i="4"/>
  <c r="J2038" i="4"/>
  <c r="K2037" i="4"/>
  <c r="J2037" i="4"/>
  <c r="I2036" i="4"/>
  <c r="K2035" i="4"/>
  <c r="J2035" i="4"/>
  <c r="K2034" i="4"/>
  <c r="J2034" i="4"/>
  <c r="K2033" i="4"/>
  <c r="J2033" i="4"/>
  <c r="K2032" i="4"/>
  <c r="J2032" i="4"/>
  <c r="I2031" i="4"/>
  <c r="K1972" i="4"/>
  <c r="J1972" i="4"/>
  <c r="K1971" i="4"/>
  <c r="J1971" i="4"/>
  <c r="K1970" i="4"/>
  <c r="J1970" i="4"/>
  <c r="K1969" i="4"/>
  <c r="J1969" i="4"/>
  <c r="I1968" i="4"/>
  <c r="K1961" i="4"/>
  <c r="I1961" i="4"/>
  <c r="I1959" i="4"/>
  <c r="I1956" i="4"/>
  <c r="I1954" i="4"/>
  <c r="K1952" i="4"/>
  <c r="I1952" i="4"/>
  <c r="K1951" i="4"/>
  <c r="J1951" i="4"/>
  <c r="K1950" i="4"/>
  <c r="I1950" i="4"/>
  <c r="K1949" i="4"/>
  <c r="J1949" i="4"/>
  <c r="K1948" i="4"/>
  <c r="I1948" i="4"/>
  <c r="K1947" i="4"/>
  <c r="J1947" i="4"/>
  <c r="I1910" i="4"/>
  <c r="K1899" i="4"/>
  <c r="J1899" i="4"/>
  <c r="K1898" i="4"/>
  <c r="J1898" i="4"/>
  <c r="K1897" i="4"/>
  <c r="J1897" i="4"/>
  <c r="K1896" i="4"/>
  <c r="J1896" i="4"/>
  <c r="I1895" i="4"/>
  <c r="K1879" i="4"/>
  <c r="J1879" i="4"/>
  <c r="K1878" i="4"/>
  <c r="J1878" i="4"/>
  <c r="I1877" i="4"/>
  <c r="I1875" i="4"/>
  <c r="K1841" i="4"/>
  <c r="J1841" i="4"/>
  <c r="K1840" i="4"/>
  <c r="J1840" i="4"/>
  <c r="K1839" i="4"/>
  <c r="J1839" i="4"/>
  <c r="K1838" i="4"/>
  <c r="J1838" i="4"/>
  <c r="I1837" i="4"/>
  <c r="I1808" i="4"/>
  <c r="I1806" i="4"/>
  <c r="K1795" i="4"/>
  <c r="J1795" i="4"/>
  <c r="K1794" i="4"/>
  <c r="J1794" i="4"/>
  <c r="K1793" i="4"/>
  <c r="J1793" i="4"/>
  <c r="K1792" i="4"/>
  <c r="J1792" i="4"/>
  <c r="I1791" i="4"/>
  <c r="K1772" i="4"/>
  <c r="J1772" i="4"/>
  <c r="K1771" i="4"/>
  <c r="J1771" i="4"/>
  <c r="K1770" i="4"/>
  <c r="J1770" i="4"/>
  <c r="K1769" i="4"/>
  <c r="J1769" i="4"/>
  <c r="I1768" i="4"/>
  <c r="K1764" i="4"/>
  <c r="J1764" i="4"/>
  <c r="K1763" i="4"/>
  <c r="J1763" i="4"/>
  <c r="K1762" i="4"/>
  <c r="J1762" i="4"/>
  <c r="K1761" i="4"/>
  <c r="J1761" i="4"/>
  <c r="K1760" i="4"/>
  <c r="J1760" i="4"/>
  <c r="K1759" i="4"/>
  <c r="J1759" i="4"/>
  <c r="K1758" i="4"/>
  <c r="J1758" i="4"/>
  <c r="K1757" i="4"/>
  <c r="J1757" i="4"/>
  <c r="K1756" i="4"/>
  <c r="J1756" i="4"/>
  <c r="K1755" i="4"/>
  <c r="J1755" i="4"/>
  <c r="I1730" i="4"/>
  <c r="I1728" i="4"/>
  <c r="I1719" i="4"/>
  <c r="I1717" i="4"/>
  <c r="J1715" i="4"/>
  <c r="K1665" i="4"/>
  <c r="I1665" i="4"/>
  <c r="I1663" i="4"/>
  <c r="K1661" i="4"/>
  <c r="J1661" i="4"/>
  <c r="K1660" i="4"/>
  <c r="J1660" i="4"/>
  <c r="K1659" i="4"/>
  <c r="J1659" i="4"/>
  <c r="K1658" i="4"/>
  <c r="J1658" i="4"/>
  <c r="K1657" i="4"/>
  <c r="J1657" i="4"/>
  <c r="K1656" i="4"/>
  <c r="J1656" i="4"/>
  <c r="K1655" i="4"/>
  <c r="J1655" i="4"/>
  <c r="K1654" i="4"/>
  <c r="J1654" i="4"/>
  <c r="I1653" i="4"/>
  <c r="K929" i="4"/>
  <c r="K926" i="4"/>
  <c r="K866" i="4"/>
  <c r="K852" i="4"/>
  <c r="J765" i="4"/>
  <c r="J689" i="4"/>
  <c r="J673" i="4"/>
  <c r="K606" i="4"/>
  <c r="K538" i="4"/>
  <c r="K535" i="4"/>
  <c r="K533" i="4"/>
  <c r="J1665" i="4" l="1"/>
  <c r="J473" i="1"/>
  <c r="N473" i="1" s="1"/>
  <c r="K2031" i="4"/>
  <c r="J2031" i="4"/>
  <c r="J2036" i="4"/>
  <c r="J531" i="1"/>
  <c r="P531" i="1" s="1"/>
  <c r="J467" i="1"/>
  <c r="N467" i="1" s="1"/>
  <c r="J484" i="1"/>
  <c r="N484" i="1" s="1"/>
  <c r="J508" i="1"/>
  <c r="N508" i="1" s="1"/>
  <c r="J532" i="1"/>
  <c r="N532" i="1" s="1"/>
  <c r="Q531" i="1"/>
  <c r="K2036" i="4"/>
  <c r="J500" i="1"/>
  <c r="N500" i="1" s="1"/>
  <c r="J524" i="1"/>
  <c r="P524" i="1" s="1"/>
  <c r="J1877" i="4"/>
  <c r="K1877" i="4"/>
  <c r="J441" i="1"/>
  <c r="N441" i="1" s="1"/>
  <c r="J1663" i="4"/>
  <c r="J1806" i="4"/>
  <c r="J1895" i="4"/>
  <c r="K1895" i="4"/>
  <c r="J1954" i="4"/>
  <c r="J1961" i="4"/>
  <c r="K1653" i="4"/>
  <c r="J1808" i="4"/>
  <c r="J1950" i="4"/>
  <c r="J1968" i="4"/>
  <c r="K1968" i="4"/>
  <c r="K1946" i="4"/>
  <c r="I1946" i="4"/>
  <c r="J1948" i="4"/>
  <c r="J1952" i="4"/>
  <c r="J1653" i="4"/>
  <c r="K1752" i="4"/>
  <c r="J1768" i="4"/>
  <c r="K1768" i="4"/>
  <c r="J1791" i="4"/>
  <c r="K1791" i="4"/>
  <c r="J1837" i="4"/>
  <c r="K1837" i="4"/>
  <c r="K1382" i="4"/>
  <c r="K238" i="4"/>
  <c r="P473" i="1" l="1"/>
  <c r="J520" i="1"/>
  <c r="N520" i="1" s="1"/>
  <c r="P532" i="1"/>
  <c r="P508" i="1"/>
  <c r="P467" i="1"/>
  <c r="N531" i="1"/>
  <c r="P484" i="1"/>
  <c r="Q484" i="1"/>
  <c r="Q473" i="1"/>
  <c r="Q467" i="1"/>
  <c r="Q524" i="1"/>
  <c r="Q508" i="1"/>
  <c r="Q520" i="1"/>
  <c r="Q441" i="1"/>
  <c r="P441" i="1"/>
  <c r="P500" i="1"/>
  <c r="Q500" i="1"/>
  <c r="N524" i="1"/>
  <c r="Q532" i="1"/>
  <c r="J1946" i="4"/>
  <c r="I1384" i="4"/>
  <c r="I1382" i="4"/>
  <c r="I1305" i="4"/>
  <c r="D1215" i="4"/>
  <c r="K1291" i="4"/>
  <c r="J1291" i="4"/>
  <c r="K1290" i="4"/>
  <c r="J1290" i="4"/>
  <c r="I1289" i="4"/>
  <c r="P520" i="1" l="1"/>
  <c r="J1382" i="4"/>
  <c r="K1289" i="4"/>
  <c r="J350" i="1"/>
  <c r="J1289" i="4"/>
  <c r="I1925" i="4"/>
  <c r="I1924" i="4"/>
  <c r="K1923" i="4"/>
  <c r="I1553" i="4"/>
  <c r="I1552" i="4"/>
  <c r="K1551" i="4"/>
  <c r="I849" i="4"/>
  <c r="J848" i="4"/>
  <c r="K847" i="4"/>
  <c r="J847" i="4"/>
  <c r="K845" i="4"/>
  <c r="Q350" i="1" l="1"/>
  <c r="Q515" i="1"/>
  <c r="I845" i="4"/>
  <c r="K846" i="4"/>
  <c r="Q411" i="1"/>
  <c r="I846" i="4"/>
  <c r="K844" i="4"/>
  <c r="I1923" i="4"/>
  <c r="J1924" i="4"/>
  <c r="J1925" i="4"/>
  <c r="I1551" i="4"/>
  <c r="J1552" i="4"/>
  <c r="J1553" i="4"/>
  <c r="I844" i="4"/>
  <c r="J849" i="4"/>
  <c r="Q209" i="1" l="1"/>
  <c r="J845" i="4"/>
  <c r="J209" i="1"/>
  <c r="J515" i="1"/>
  <c r="J411" i="1"/>
  <c r="Q208" i="1"/>
  <c r="J208" i="1"/>
  <c r="J1923" i="4"/>
  <c r="J1551" i="4"/>
  <c r="J844" i="4"/>
  <c r="J846" i="4"/>
  <c r="O747" i="1"/>
  <c r="M747" i="1"/>
  <c r="L747" i="1"/>
  <c r="K747" i="1"/>
  <c r="I747" i="1"/>
  <c r="H747" i="1"/>
  <c r="G747" i="1"/>
  <c r="O720" i="1"/>
  <c r="M720" i="1"/>
  <c r="L720" i="1"/>
  <c r="K720" i="1"/>
  <c r="I720" i="1"/>
  <c r="H720" i="1"/>
  <c r="G720" i="1"/>
  <c r="O710" i="1"/>
  <c r="M710" i="1"/>
  <c r="L710" i="1"/>
  <c r="K710" i="1"/>
  <c r="I710" i="1"/>
  <c r="H710" i="1"/>
  <c r="G710" i="1"/>
  <c r="O685" i="1"/>
  <c r="M685" i="1"/>
  <c r="L685" i="1"/>
  <c r="K685" i="1"/>
  <c r="I685" i="1"/>
  <c r="H685" i="1"/>
  <c r="G685" i="1"/>
  <c r="D2595" i="4"/>
  <c r="I2861" i="4"/>
  <c r="I2860" i="4"/>
  <c r="K2859" i="4"/>
  <c r="I2858" i="4"/>
  <c r="I2857" i="4"/>
  <c r="K2856" i="4"/>
  <c r="K2855" i="4"/>
  <c r="J2855" i="4"/>
  <c r="K2854" i="4"/>
  <c r="J2854" i="4"/>
  <c r="K2853" i="4"/>
  <c r="J2853" i="4"/>
  <c r="K2852" i="4"/>
  <c r="J2852" i="4"/>
  <c r="K2851" i="4"/>
  <c r="J2851" i="4"/>
  <c r="K2850" i="4"/>
  <c r="J2850" i="4"/>
  <c r="I2849" i="4"/>
  <c r="K2848" i="4"/>
  <c r="J2848" i="4"/>
  <c r="K2847" i="4"/>
  <c r="J2847" i="4"/>
  <c r="K2846" i="4"/>
  <c r="J2846" i="4"/>
  <c r="K2845" i="4"/>
  <c r="J2845" i="4"/>
  <c r="I2844" i="4"/>
  <c r="K2840" i="4"/>
  <c r="J2840" i="4"/>
  <c r="K2839" i="4"/>
  <c r="J2839" i="4"/>
  <c r="K2838" i="4"/>
  <c r="J2838" i="4"/>
  <c r="K2837" i="4"/>
  <c r="J2837" i="4"/>
  <c r="K2836" i="4"/>
  <c r="J2836" i="4"/>
  <c r="K2835" i="4"/>
  <c r="J2835" i="4"/>
  <c r="K2834" i="4"/>
  <c r="J2834" i="4"/>
  <c r="K2833" i="4"/>
  <c r="J2833" i="4"/>
  <c r="K2832" i="4"/>
  <c r="J2832" i="4"/>
  <c r="K2831" i="4"/>
  <c r="J2831" i="4"/>
  <c r="K2830" i="4"/>
  <c r="J2830" i="4"/>
  <c r="K2829" i="4"/>
  <c r="J2829" i="4"/>
  <c r="I2828" i="4"/>
  <c r="K2827" i="4"/>
  <c r="J2827" i="4"/>
  <c r="K2826" i="4"/>
  <c r="J2826" i="4"/>
  <c r="K2825" i="4"/>
  <c r="J2825" i="4"/>
  <c r="K2824" i="4"/>
  <c r="J2824" i="4"/>
  <c r="K2823" i="4"/>
  <c r="J2823" i="4"/>
  <c r="K2822" i="4"/>
  <c r="J2822" i="4"/>
  <c r="I2821" i="4"/>
  <c r="I2820" i="4"/>
  <c r="I2819" i="4"/>
  <c r="K2818" i="4"/>
  <c r="K2814" i="4"/>
  <c r="J2814" i="4"/>
  <c r="K2813" i="4"/>
  <c r="J2813" i="4"/>
  <c r="I2812" i="4"/>
  <c r="I2808" i="4"/>
  <c r="I2807" i="4"/>
  <c r="K2806" i="4"/>
  <c r="I2805" i="4"/>
  <c r="I2804" i="4"/>
  <c r="K2803" i="4"/>
  <c r="I2802" i="4"/>
  <c r="I2801" i="4"/>
  <c r="K2800" i="4"/>
  <c r="I2799" i="4"/>
  <c r="I2798" i="4"/>
  <c r="K2797" i="4"/>
  <c r="I2796" i="4"/>
  <c r="I2795" i="4"/>
  <c r="K2794" i="4"/>
  <c r="I2793" i="4"/>
  <c r="I2792" i="4"/>
  <c r="K2791" i="4"/>
  <c r="I2790" i="4"/>
  <c r="I2789" i="4"/>
  <c r="K2788" i="4"/>
  <c r="I2787" i="4"/>
  <c r="I2786" i="4"/>
  <c r="K2785" i="4"/>
  <c r="I2784" i="4"/>
  <c r="I2783" i="4"/>
  <c r="K2782" i="4"/>
  <c r="I2781" i="4"/>
  <c r="I2780" i="4"/>
  <c r="K2779" i="4"/>
  <c r="K2768" i="4"/>
  <c r="J2768" i="4"/>
  <c r="K2767" i="4"/>
  <c r="J2767" i="4"/>
  <c r="K2766" i="4"/>
  <c r="J2766" i="4"/>
  <c r="K2765" i="4"/>
  <c r="J2765" i="4"/>
  <c r="I2764" i="4"/>
  <c r="K2763" i="4"/>
  <c r="J2763" i="4"/>
  <c r="K2762" i="4"/>
  <c r="J2762" i="4"/>
  <c r="K2761" i="4"/>
  <c r="J2761" i="4"/>
  <c r="K2760" i="4"/>
  <c r="J2760" i="4"/>
  <c r="K2759" i="4"/>
  <c r="J2759" i="4"/>
  <c r="K2758" i="4"/>
  <c r="J2758" i="4"/>
  <c r="I2757" i="4"/>
  <c r="K2753" i="4"/>
  <c r="J2753" i="4"/>
  <c r="K2752" i="4"/>
  <c r="J2752" i="4"/>
  <c r="K2751" i="4"/>
  <c r="J2751" i="4"/>
  <c r="K2750" i="4"/>
  <c r="J2750" i="4"/>
  <c r="K2749" i="4"/>
  <c r="J2749" i="4"/>
  <c r="K2748" i="4"/>
  <c r="J2748" i="4"/>
  <c r="K2747" i="4"/>
  <c r="J2747" i="4"/>
  <c r="K2746" i="4"/>
  <c r="J2746" i="4"/>
  <c r="K2745" i="4"/>
  <c r="J2745" i="4"/>
  <c r="K2744" i="4"/>
  <c r="J2744" i="4"/>
  <c r="I2743" i="4"/>
  <c r="I2742" i="4"/>
  <c r="I2741" i="4"/>
  <c r="K2740" i="4"/>
  <c r="K2729" i="4"/>
  <c r="J2729" i="4"/>
  <c r="K2728" i="4"/>
  <c r="J2728" i="4"/>
  <c r="K2727" i="4"/>
  <c r="J2727" i="4"/>
  <c r="K2726" i="4"/>
  <c r="J2726" i="4"/>
  <c r="K2725" i="4"/>
  <c r="J2725" i="4"/>
  <c r="K2724" i="4"/>
  <c r="J2724" i="4"/>
  <c r="I2723" i="4"/>
  <c r="K2722" i="4"/>
  <c r="J2722" i="4"/>
  <c r="K2721" i="4"/>
  <c r="J2721" i="4"/>
  <c r="K2720" i="4"/>
  <c r="J2720" i="4"/>
  <c r="K2719" i="4"/>
  <c r="J2719" i="4"/>
  <c r="K2718" i="4"/>
  <c r="J2718" i="4"/>
  <c r="K2717" i="4"/>
  <c r="J2717" i="4"/>
  <c r="I2716" i="4"/>
  <c r="I2715" i="4"/>
  <c r="I2714" i="4"/>
  <c r="K2713" i="4"/>
  <c r="I2700" i="4"/>
  <c r="I2699" i="4"/>
  <c r="K2698" i="4"/>
  <c r="K2694" i="4"/>
  <c r="J2694" i="4"/>
  <c r="K2693" i="4"/>
  <c r="J2693" i="4"/>
  <c r="K2692" i="4"/>
  <c r="J2692" i="4"/>
  <c r="K2691" i="4"/>
  <c r="J2691" i="4"/>
  <c r="K2690" i="4"/>
  <c r="J2690" i="4"/>
  <c r="K2689" i="4"/>
  <c r="J2689" i="4"/>
  <c r="K2688" i="4"/>
  <c r="J2688" i="4"/>
  <c r="K2687" i="4"/>
  <c r="J2687" i="4"/>
  <c r="I2686" i="4"/>
  <c r="K2678" i="4"/>
  <c r="J2678" i="4"/>
  <c r="K2677" i="4"/>
  <c r="J2677" i="4"/>
  <c r="K2676" i="4"/>
  <c r="J2676" i="4"/>
  <c r="K2675" i="4"/>
  <c r="J2675" i="4"/>
  <c r="K2674" i="4"/>
  <c r="J2674" i="4"/>
  <c r="K2673" i="4"/>
  <c r="J2673" i="4"/>
  <c r="I2672" i="4"/>
  <c r="I2671" i="4"/>
  <c r="I2670" i="4"/>
  <c r="K2669" i="4"/>
  <c r="I2668" i="4"/>
  <c r="I2667" i="4"/>
  <c r="K2666" i="4"/>
  <c r="I2665" i="4"/>
  <c r="I2664" i="4"/>
  <c r="K2663" i="4"/>
  <c r="I2662" i="4"/>
  <c r="I2661" i="4"/>
  <c r="K2660" i="4"/>
  <c r="I2659" i="4"/>
  <c r="I2658" i="4"/>
  <c r="K2657" i="4"/>
  <c r="I2647" i="4"/>
  <c r="I2646" i="4"/>
  <c r="K2645" i="4"/>
  <c r="I2644" i="4"/>
  <c r="I2643" i="4"/>
  <c r="K2642" i="4"/>
  <c r="I2641" i="4"/>
  <c r="I2640" i="4"/>
  <c r="K2639" i="4"/>
  <c r="I2638" i="4"/>
  <c r="I2637" i="4"/>
  <c r="K2636" i="4"/>
  <c r="I2635" i="4"/>
  <c r="I2634" i="4"/>
  <c r="K2633" i="4"/>
  <c r="I2632" i="4"/>
  <c r="I2631" i="4"/>
  <c r="K2630" i="4"/>
  <c r="I2623" i="4"/>
  <c r="I2622" i="4"/>
  <c r="K2621" i="4"/>
  <c r="I2620" i="4"/>
  <c r="I2619" i="4"/>
  <c r="K2618" i="4"/>
  <c r="I2617" i="4"/>
  <c r="I2616" i="4"/>
  <c r="K2615" i="4"/>
  <c r="I2614" i="4"/>
  <c r="I2613" i="4"/>
  <c r="K2612" i="4"/>
  <c r="I2611" i="4"/>
  <c r="I2610" i="4"/>
  <c r="K2609" i="4"/>
  <c r="I2608" i="4"/>
  <c r="I2607" i="4"/>
  <c r="K2606" i="4"/>
  <c r="J2608" i="4" l="1"/>
  <c r="J2610" i="4"/>
  <c r="J2614" i="4"/>
  <c r="J2616" i="4"/>
  <c r="J2620" i="4"/>
  <c r="J2622" i="4"/>
  <c r="J2659" i="4"/>
  <c r="J2661" i="4"/>
  <c r="J2665" i="4"/>
  <c r="J2667" i="4"/>
  <c r="J2671" i="4"/>
  <c r="J2699" i="4"/>
  <c r="Q721" i="1"/>
  <c r="Q755" i="1"/>
  <c r="Q715" i="1"/>
  <c r="J2714" i="4"/>
  <c r="Q727" i="1"/>
  <c r="J2742" i="4"/>
  <c r="Q736" i="1"/>
  <c r="J2787" i="4"/>
  <c r="J2789" i="4"/>
  <c r="Q738" i="1"/>
  <c r="J2793" i="4"/>
  <c r="J2795" i="4"/>
  <c r="Q740" i="1"/>
  <c r="J2799" i="4"/>
  <c r="J2801" i="4"/>
  <c r="Q742" i="1"/>
  <c r="J2805" i="4"/>
  <c r="J2807" i="4"/>
  <c r="J2819" i="4"/>
  <c r="J749" i="1"/>
  <c r="P749" i="1" s="1"/>
  <c r="J752" i="1"/>
  <c r="J2858" i="4"/>
  <c r="N208" i="1"/>
  <c r="P209" i="1"/>
  <c r="N209" i="1"/>
  <c r="P515" i="1"/>
  <c r="N515" i="1"/>
  <c r="P411" i="1"/>
  <c r="N411" i="1"/>
  <c r="P208" i="1"/>
  <c r="J2743" i="4"/>
  <c r="K2757" i="4"/>
  <c r="J2757" i="4"/>
  <c r="K2764" i="4"/>
  <c r="J2796" i="4"/>
  <c r="K2828" i="4"/>
  <c r="J2844" i="4"/>
  <c r="J2849" i="4"/>
  <c r="K2849" i="4"/>
  <c r="J2857" i="4"/>
  <c r="I2859" i="4"/>
  <c r="J2861" i="4"/>
  <c r="J2792" i="4"/>
  <c r="Q709" i="1"/>
  <c r="I2794" i="4"/>
  <c r="Q735" i="1"/>
  <c r="Q743" i="1"/>
  <c r="J2780" i="4"/>
  <c r="I2782" i="4"/>
  <c r="J2784" i="4"/>
  <c r="J2804" i="4"/>
  <c r="I2806" i="4"/>
  <c r="J2808" i="4"/>
  <c r="K2812" i="4"/>
  <c r="Q739" i="1"/>
  <c r="J750" i="1"/>
  <c r="J2716" i="4"/>
  <c r="J2723" i="4"/>
  <c r="J2741" i="4"/>
  <c r="J722" i="1"/>
  <c r="N722" i="1" s="1"/>
  <c r="Q689" i="1"/>
  <c r="Q693" i="1"/>
  <c r="Q697" i="1"/>
  <c r="Q698" i="1"/>
  <c r="Q700" i="1"/>
  <c r="Q706" i="1"/>
  <c r="Q708" i="1"/>
  <c r="J711" i="1"/>
  <c r="J713" i="1"/>
  <c r="P713" i="1" s="1"/>
  <c r="J723" i="1"/>
  <c r="P723" i="1" s="1"/>
  <c r="J728" i="1"/>
  <c r="J730" i="1"/>
  <c r="P730" i="1" s="1"/>
  <c r="J2764" i="4"/>
  <c r="J2798" i="4"/>
  <c r="Q741" i="1"/>
  <c r="J2802" i="4"/>
  <c r="I2800" i="4"/>
  <c r="Q748" i="1"/>
  <c r="J2820" i="4"/>
  <c r="I2818" i="4"/>
  <c r="K2821" i="4"/>
  <c r="J2821" i="4"/>
  <c r="Q754" i="1"/>
  <c r="J2860" i="4"/>
  <c r="Q691" i="1"/>
  <c r="Q688" i="1"/>
  <c r="Q690" i="1"/>
  <c r="Q692" i="1"/>
  <c r="Q696" i="1"/>
  <c r="J2631" i="4"/>
  <c r="I2633" i="4"/>
  <c r="J2635" i="4"/>
  <c r="Q701" i="1"/>
  <c r="Q707" i="1"/>
  <c r="K2672" i="4"/>
  <c r="I2698" i="4"/>
  <c r="J2700" i="4"/>
  <c r="I2713" i="4"/>
  <c r="J2715" i="4"/>
  <c r="K2716" i="4"/>
  <c r="K2723" i="4"/>
  <c r="K2743" i="4"/>
  <c r="J731" i="1"/>
  <c r="N731" i="1" s="1"/>
  <c r="Q734" i="1"/>
  <c r="J2783" i="4"/>
  <c r="J2786" i="4"/>
  <c r="Q737" i="1"/>
  <c r="J2790" i="4"/>
  <c r="I2788" i="4"/>
  <c r="J753" i="1"/>
  <c r="Q699" i="1"/>
  <c r="Q705" i="1"/>
  <c r="J2781" i="4"/>
  <c r="J745" i="1"/>
  <c r="J2812" i="4"/>
  <c r="J2828" i="4"/>
  <c r="P752" i="1"/>
  <c r="K2844" i="4"/>
  <c r="I2856" i="4"/>
  <c r="I2779" i="4"/>
  <c r="I2785" i="4"/>
  <c r="I2791" i="4"/>
  <c r="I2797" i="4"/>
  <c r="I2803" i="4"/>
  <c r="I2740" i="4"/>
  <c r="J2613" i="4"/>
  <c r="I2615" i="4"/>
  <c r="J2617" i="4"/>
  <c r="J2643" i="4"/>
  <c r="I2645" i="4"/>
  <c r="J2647" i="4"/>
  <c r="J2664" i="4"/>
  <c r="I2666" i="4"/>
  <c r="J2668" i="4"/>
  <c r="K2686" i="4"/>
  <c r="J2634" i="4"/>
  <c r="J2638" i="4"/>
  <c r="J2646" i="4"/>
  <c r="J2670" i="4"/>
  <c r="J2607" i="4"/>
  <c r="I2609" i="4"/>
  <c r="J2611" i="4"/>
  <c r="J2619" i="4"/>
  <c r="I2621" i="4"/>
  <c r="J2623" i="4"/>
  <c r="J2632" i="4"/>
  <c r="J2637" i="4"/>
  <c r="I2639" i="4"/>
  <c r="J2640" i="4"/>
  <c r="J2641" i="4"/>
  <c r="J2644" i="4"/>
  <c r="J2658" i="4"/>
  <c r="J2662" i="4"/>
  <c r="I2660" i="4"/>
  <c r="J2672" i="4"/>
  <c r="J2686" i="4"/>
  <c r="I2657" i="4"/>
  <c r="I2663" i="4"/>
  <c r="I2669" i="4"/>
  <c r="I2630" i="4"/>
  <c r="I2636" i="4"/>
  <c r="I2642" i="4"/>
  <c r="I2606" i="4"/>
  <c r="I2612" i="4"/>
  <c r="I2618" i="4"/>
  <c r="J743" i="1" l="1"/>
  <c r="N743" i="1" s="1"/>
  <c r="J2788" i="4"/>
  <c r="N749" i="1"/>
  <c r="N752" i="1"/>
  <c r="Q750" i="1"/>
  <c r="J690" i="1"/>
  <c r="P690" i="1" s="1"/>
  <c r="J700" i="1"/>
  <c r="J696" i="1"/>
  <c r="P696" i="1" s="1"/>
  <c r="J707" i="1"/>
  <c r="N707" i="1" s="1"/>
  <c r="J689" i="1"/>
  <c r="P689" i="1" s="1"/>
  <c r="Q753" i="1"/>
  <c r="Q731" i="1"/>
  <c r="J692" i="1"/>
  <c r="J688" i="1"/>
  <c r="P688" i="1" s="1"/>
  <c r="J698" i="1"/>
  <c r="P698" i="1" s="1"/>
  <c r="J709" i="1"/>
  <c r="P709" i="1" s="1"/>
  <c r="J705" i="1"/>
  <c r="P705" i="1" s="1"/>
  <c r="J706" i="1"/>
  <c r="N706" i="1" s="1"/>
  <c r="J699" i="1"/>
  <c r="P699" i="1" s="1"/>
  <c r="J693" i="1"/>
  <c r="P693" i="1" s="1"/>
  <c r="J708" i="1"/>
  <c r="N708" i="1" s="1"/>
  <c r="Q730" i="1"/>
  <c r="J2740" i="4"/>
  <c r="J755" i="1"/>
  <c r="P755" i="1" s="1"/>
  <c r="J2856" i="4"/>
  <c r="J2818" i="4"/>
  <c r="J2803" i="4"/>
  <c r="J2806" i="4"/>
  <c r="J2794" i="4"/>
  <c r="P728" i="1"/>
  <c r="N711" i="1"/>
  <c r="P722" i="1"/>
  <c r="N713" i="1"/>
  <c r="N728" i="1"/>
  <c r="P750" i="1"/>
  <c r="J2791" i="4"/>
  <c r="Q745" i="1"/>
  <c r="J739" i="1"/>
  <c r="N739" i="1" s="1"/>
  <c r="N730" i="1"/>
  <c r="N750" i="1"/>
  <c r="J2797" i="4"/>
  <c r="J2660" i="4"/>
  <c r="N723" i="1"/>
  <c r="J2800" i="4"/>
  <c r="J735" i="1"/>
  <c r="N735" i="1" s="1"/>
  <c r="N693" i="1"/>
  <c r="J2713" i="4"/>
  <c r="J2698" i="4"/>
  <c r="J701" i="1"/>
  <c r="J740" i="1"/>
  <c r="J736" i="1"/>
  <c r="Q752" i="1"/>
  <c r="J2779" i="4"/>
  <c r="N753" i="1"/>
  <c r="P753" i="1"/>
  <c r="Q722" i="1"/>
  <c r="Q711" i="1"/>
  <c r="J697" i="1"/>
  <c r="J748" i="1"/>
  <c r="J741" i="1"/>
  <c r="J2669" i="4"/>
  <c r="J2612" i="4"/>
  <c r="J2609" i="4"/>
  <c r="Q713" i="1"/>
  <c r="J691" i="1"/>
  <c r="J727" i="1"/>
  <c r="J742" i="1"/>
  <c r="J738" i="1"/>
  <c r="J734" i="1"/>
  <c r="J754" i="1"/>
  <c r="P711" i="1"/>
  <c r="N745" i="1"/>
  <c r="P745" i="1"/>
  <c r="P743" i="1"/>
  <c r="J737" i="1"/>
  <c r="J2782" i="4"/>
  <c r="P731" i="1"/>
  <c r="Q728" i="1"/>
  <c r="Q723" i="1"/>
  <c r="J721" i="1"/>
  <c r="J715" i="1"/>
  <c r="J2859" i="4"/>
  <c r="Q749" i="1"/>
  <c r="J2785" i="4"/>
  <c r="J2663" i="4"/>
  <c r="J2666" i="4"/>
  <c r="J2618" i="4"/>
  <c r="J2615" i="4"/>
  <c r="J2642" i="4"/>
  <c r="J2639" i="4"/>
  <c r="J2630" i="4"/>
  <c r="J2621" i="4"/>
  <c r="J2657" i="4"/>
  <c r="J2645" i="4"/>
  <c r="J2636" i="4"/>
  <c r="J2633" i="4"/>
  <c r="J2606" i="4"/>
  <c r="N709" i="1" l="1"/>
  <c r="N699" i="1"/>
  <c r="N755" i="1"/>
  <c r="N688" i="1"/>
  <c r="P692" i="1"/>
  <c r="P708" i="1"/>
  <c r="N698" i="1"/>
  <c r="N692" i="1"/>
  <c r="P706" i="1"/>
  <c r="P707" i="1"/>
  <c r="N705" i="1"/>
  <c r="N696" i="1"/>
  <c r="N700" i="1"/>
  <c r="N690" i="1"/>
  <c r="P700" i="1"/>
  <c r="N689" i="1"/>
  <c r="P739" i="1"/>
  <c r="P735" i="1"/>
  <c r="N715" i="1"/>
  <c r="P715" i="1"/>
  <c r="N754" i="1"/>
  <c r="P754" i="1"/>
  <c r="P738" i="1"/>
  <c r="N738" i="1"/>
  <c r="P727" i="1"/>
  <c r="N727" i="1"/>
  <c r="P691" i="1"/>
  <c r="N691" i="1"/>
  <c r="P741" i="1"/>
  <c r="N741" i="1"/>
  <c r="P748" i="1"/>
  <c r="N748" i="1"/>
  <c r="P697" i="1"/>
  <c r="N697" i="1"/>
  <c r="P740" i="1"/>
  <c r="N740" i="1"/>
  <c r="P701" i="1"/>
  <c r="N701" i="1"/>
  <c r="N721" i="1"/>
  <c r="P721" i="1"/>
  <c r="P737" i="1"/>
  <c r="N737" i="1"/>
  <c r="P734" i="1"/>
  <c r="N734" i="1"/>
  <c r="P742" i="1"/>
  <c r="N742" i="1"/>
  <c r="P736" i="1"/>
  <c r="N736" i="1"/>
  <c r="O505" i="1" l="1"/>
  <c r="M505" i="1"/>
  <c r="L505" i="1"/>
  <c r="K505" i="1"/>
  <c r="I505" i="1"/>
  <c r="H505" i="1"/>
  <c r="G505" i="1"/>
  <c r="G452" i="1"/>
  <c r="O433" i="1" l="1"/>
  <c r="M433" i="1"/>
  <c r="L433" i="1"/>
  <c r="K433" i="1"/>
  <c r="I433" i="1"/>
  <c r="O396" i="1"/>
  <c r="M396" i="1"/>
  <c r="L396" i="1"/>
  <c r="K396" i="1"/>
  <c r="I396" i="1"/>
  <c r="H396" i="1"/>
  <c r="G396" i="1"/>
  <c r="K2051" i="4"/>
  <c r="K2049" i="4"/>
  <c r="K2047" i="4"/>
  <c r="I2047" i="4"/>
  <c r="K2046" i="4"/>
  <c r="I2046" i="4"/>
  <c r="K2045" i="4"/>
  <c r="I2045" i="4"/>
  <c r="K2043" i="4"/>
  <c r="I2043" i="4"/>
  <c r="K2042" i="4"/>
  <c r="I2042" i="4"/>
  <c r="K2030" i="4"/>
  <c r="J2030" i="4"/>
  <c r="K2029" i="4"/>
  <c r="J2029" i="4"/>
  <c r="K2028" i="4"/>
  <c r="J2028" i="4"/>
  <c r="K2027" i="4"/>
  <c r="J2027" i="4"/>
  <c r="K2026" i="4"/>
  <c r="J2026" i="4"/>
  <c r="K2025" i="4"/>
  <c r="J2025" i="4"/>
  <c r="K2024" i="4"/>
  <c r="J2024" i="4"/>
  <c r="K2023" i="4"/>
  <c r="J2023" i="4"/>
  <c r="K2022" i="4"/>
  <c r="J2022" i="4"/>
  <c r="K2021" i="4"/>
  <c r="J2021" i="4"/>
  <c r="K2020" i="4"/>
  <c r="J2020" i="4"/>
  <c r="K2019" i="4"/>
  <c r="J2019" i="4"/>
  <c r="K2018" i="4"/>
  <c r="J2018" i="4"/>
  <c r="K2017" i="4"/>
  <c r="J2017" i="4"/>
  <c r="K2016" i="4"/>
  <c r="J2016" i="4"/>
  <c r="K2015" i="4"/>
  <c r="J2015" i="4"/>
  <c r="K2014" i="4"/>
  <c r="J2014" i="4"/>
  <c r="K2013" i="4"/>
  <c r="J2013" i="4"/>
  <c r="K2012" i="4"/>
  <c r="J2012" i="4"/>
  <c r="K2011" i="4"/>
  <c r="J2011" i="4"/>
  <c r="K2010" i="4"/>
  <c r="J2010" i="4"/>
  <c r="K2009" i="4"/>
  <c r="J2009" i="4"/>
  <c r="I2008" i="4"/>
  <c r="K2007" i="4"/>
  <c r="J2007" i="4"/>
  <c r="K2006" i="4"/>
  <c r="J2006" i="4"/>
  <c r="K2005" i="4"/>
  <c r="J2005" i="4"/>
  <c r="K2004" i="4"/>
  <c r="J2004" i="4"/>
  <c r="K2003" i="4"/>
  <c r="J2003" i="4"/>
  <c r="K2002" i="4"/>
  <c r="J2002" i="4"/>
  <c r="K2001" i="4"/>
  <c r="J2001" i="4"/>
  <c r="K2000" i="4"/>
  <c r="J2000" i="4"/>
  <c r="K1999" i="4"/>
  <c r="J1999" i="4"/>
  <c r="K1998" i="4"/>
  <c r="J1998" i="4"/>
  <c r="I1997" i="4"/>
  <c r="K1996" i="4"/>
  <c r="J1996" i="4"/>
  <c r="K1995" i="4"/>
  <c r="J1995" i="4"/>
  <c r="K1994" i="4"/>
  <c r="J1994" i="4"/>
  <c r="K1993" i="4"/>
  <c r="J1993" i="4"/>
  <c r="K1992" i="4"/>
  <c r="J1992" i="4"/>
  <c r="K1991" i="4"/>
  <c r="J1991" i="4"/>
  <c r="K1990" i="4"/>
  <c r="J1990" i="4"/>
  <c r="K1989" i="4"/>
  <c r="J1989" i="4"/>
  <c r="K1988" i="4"/>
  <c r="J1988" i="4"/>
  <c r="K1987" i="4"/>
  <c r="J1987" i="4"/>
  <c r="K1986" i="4"/>
  <c r="J1986" i="4"/>
  <c r="K1985" i="4"/>
  <c r="J1985" i="4"/>
  <c r="K1984" i="4"/>
  <c r="J1984" i="4"/>
  <c r="K1983" i="4"/>
  <c r="J1983" i="4"/>
  <c r="I1982" i="4"/>
  <c r="I1977" i="4"/>
  <c r="I1975" i="4"/>
  <c r="J1966" i="4"/>
  <c r="I1967" i="4"/>
  <c r="K1962" i="4"/>
  <c r="J1962" i="4"/>
  <c r="K1960" i="4"/>
  <c r="J1960" i="4"/>
  <c r="K1959" i="4"/>
  <c r="K1957" i="4"/>
  <c r="J1957" i="4"/>
  <c r="K1956" i="4"/>
  <c r="K1955" i="4"/>
  <c r="J1955" i="4"/>
  <c r="K1954" i="4"/>
  <c r="K1945" i="4"/>
  <c r="I1945" i="4"/>
  <c r="K1944" i="4"/>
  <c r="I1944" i="4"/>
  <c r="K1943" i="4"/>
  <c r="I1943" i="4"/>
  <c r="K1942" i="4"/>
  <c r="I1942" i="4"/>
  <c r="K1941" i="4"/>
  <c r="I1941" i="4"/>
  <c r="K1940" i="4"/>
  <c r="I1940" i="4"/>
  <c r="J1934" i="4"/>
  <c r="I1935" i="4"/>
  <c r="I1933" i="4"/>
  <c r="I1931" i="4"/>
  <c r="J1915" i="4"/>
  <c r="J1913" i="4"/>
  <c r="I1916" i="4"/>
  <c r="I1914" i="4"/>
  <c r="K1911" i="4"/>
  <c r="J1911" i="4"/>
  <c r="K1910" i="4"/>
  <c r="K1908" i="4"/>
  <c r="J1908" i="4"/>
  <c r="K1907" i="4"/>
  <c r="J1907" i="4"/>
  <c r="K1906" i="4"/>
  <c r="J1906" i="4"/>
  <c r="K1905" i="4"/>
  <c r="J1905" i="4"/>
  <c r="I1904" i="4"/>
  <c r="K1903" i="4"/>
  <c r="I1903" i="4"/>
  <c r="K1902" i="4"/>
  <c r="I1902" i="4"/>
  <c r="K1901" i="4"/>
  <c r="I1901" i="4"/>
  <c r="K1891" i="4"/>
  <c r="K1887" i="4"/>
  <c r="I1887" i="4"/>
  <c r="J1881" i="4"/>
  <c r="I1885" i="4"/>
  <c r="I1882" i="4"/>
  <c r="K1876" i="4"/>
  <c r="J1876" i="4"/>
  <c r="K1875" i="4"/>
  <c r="K1873" i="4"/>
  <c r="K1871" i="4"/>
  <c r="K1869" i="4"/>
  <c r="K1867" i="4"/>
  <c r="K1865" i="4"/>
  <c r="K1863" i="4"/>
  <c r="I1861" i="4"/>
  <c r="I1860" i="4"/>
  <c r="K1859" i="4"/>
  <c r="K1858" i="4"/>
  <c r="I1856" i="4"/>
  <c r="I1855" i="4"/>
  <c r="K1854" i="4"/>
  <c r="K1853" i="4"/>
  <c r="K1851" i="4"/>
  <c r="K1849" i="4"/>
  <c r="I1847" i="4"/>
  <c r="I1846" i="4"/>
  <c r="K1845" i="4"/>
  <c r="I1844" i="4"/>
  <c r="I1843" i="4"/>
  <c r="K1842" i="4"/>
  <c r="K1836" i="4"/>
  <c r="I1836" i="4"/>
  <c r="K1835" i="4"/>
  <c r="I1835" i="4"/>
  <c r="K1833" i="4"/>
  <c r="I1833" i="4"/>
  <c r="K1832" i="4"/>
  <c r="I1832" i="4"/>
  <c r="K1831" i="4"/>
  <c r="I1831" i="4"/>
  <c r="K1829" i="4"/>
  <c r="J1829" i="4"/>
  <c r="K1828" i="4"/>
  <c r="J1828" i="4"/>
  <c r="K1827" i="4"/>
  <c r="J1827" i="4"/>
  <c r="K1826" i="4"/>
  <c r="J1826" i="4"/>
  <c r="I1825" i="4"/>
  <c r="I1821" i="4"/>
  <c r="I1819" i="4"/>
  <c r="I1817" i="4"/>
  <c r="I1815" i="4"/>
  <c r="K1809" i="4"/>
  <c r="J1809" i="4"/>
  <c r="K1808" i="4"/>
  <c r="K1807" i="4"/>
  <c r="J1807" i="4"/>
  <c r="K1806" i="4"/>
  <c r="I1804" i="4"/>
  <c r="K1798" i="4"/>
  <c r="J1798" i="4"/>
  <c r="K1797" i="4"/>
  <c r="J1797" i="4"/>
  <c r="I1796" i="4"/>
  <c r="K1790" i="4"/>
  <c r="J1790" i="4"/>
  <c r="K1789" i="4"/>
  <c r="J1789" i="4"/>
  <c r="I1788" i="4"/>
  <c r="K1787" i="4"/>
  <c r="J1787" i="4"/>
  <c r="K1786" i="4"/>
  <c r="J1786" i="4"/>
  <c r="I1785" i="4"/>
  <c r="J1778" i="4"/>
  <c r="I1779" i="4"/>
  <c r="K1784" i="4"/>
  <c r="I1784" i="4"/>
  <c r="K1783" i="4"/>
  <c r="I1783" i="4"/>
  <c r="K1782" i="4"/>
  <c r="I1782" i="4"/>
  <c r="K1781" i="4"/>
  <c r="I1781" i="4"/>
  <c r="K1780" i="4"/>
  <c r="I1780" i="4"/>
  <c r="I1834" i="4" l="1"/>
  <c r="J1855" i="4"/>
  <c r="J1860" i="4"/>
  <c r="I1891" i="4"/>
  <c r="I1978" i="4"/>
  <c r="I2049" i="4"/>
  <c r="J481" i="1"/>
  <c r="J1843" i="4"/>
  <c r="J1847" i="4"/>
  <c r="K1850" i="4"/>
  <c r="K1862" i="4"/>
  <c r="K1864" i="4"/>
  <c r="K1870" i="4"/>
  <c r="I1851" i="4"/>
  <c r="K1852" i="4"/>
  <c r="I1830" i="4"/>
  <c r="I1863" i="4"/>
  <c r="I1865" i="4"/>
  <c r="K1866" i="4"/>
  <c r="I1871" i="4"/>
  <c r="K1872" i="4"/>
  <c r="I1953" i="4"/>
  <c r="I2044" i="4"/>
  <c r="K1848" i="4"/>
  <c r="K1857" i="4"/>
  <c r="I1900" i="4"/>
  <c r="I1939" i="4"/>
  <c r="J519" i="1" s="1"/>
  <c r="I2041" i="4"/>
  <c r="K2048" i="4"/>
  <c r="K2050" i="4"/>
  <c r="K1830" i="4"/>
  <c r="I1849" i="4"/>
  <c r="I1858" i="4"/>
  <c r="I1867" i="4"/>
  <c r="K1868" i="4"/>
  <c r="I1886" i="4"/>
  <c r="J1901" i="4"/>
  <c r="J1902" i="4"/>
  <c r="J1903" i="4"/>
  <c r="I1909" i="4"/>
  <c r="J511" i="1" s="1"/>
  <c r="J1910" i="4"/>
  <c r="K1939" i="4"/>
  <c r="J1940" i="4"/>
  <c r="J1941" i="4"/>
  <c r="J1942" i="4"/>
  <c r="J1943" i="4"/>
  <c r="J1944" i="4"/>
  <c r="J1945" i="4"/>
  <c r="J1956" i="4"/>
  <c r="K2041" i="4"/>
  <c r="J2042" i="4"/>
  <c r="J2043" i="4"/>
  <c r="I2051" i="4"/>
  <c r="K1834" i="4"/>
  <c r="K2044" i="4"/>
  <c r="K2008" i="4"/>
  <c r="J510" i="1"/>
  <c r="J529" i="1"/>
  <c r="K1953" i="4"/>
  <c r="J528" i="1"/>
  <c r="J530" i="1"/>
  <c r="Q485" i="1"/>
  <c r="Q490" i="1"/>
  <c r="Q486" i="1"/>
  <c r="Q492" i="1"/>
  <c r="J1982" i="4"/>
  <c r="K1997" i="4"/>
  <c r="J1997" i="4"/>
  <c r="K1805" i="4"/>
  <c r="J1856" i="4"/>
  <c r="J1904" i="4"/>
  <c r="K1904" i="4"/>
  <c r="K1909" i="4"/>
  <c r="K1958" i="4"/>
  <c r="J474" i="1"/>
  <c r="K1900" i="4"/>
  <c r="J472" i="1"/>
  <c r="I1854" i="4"/>
  <c r="K1886" i="4"/>
  <c r="J471" i="1"/>
  <c r="J1788" i="4"/>
  <c r="K1796" i="4"/>
  <c r="K1982" i="4"/>
  <c r="J2008" i="4"/>
  <c r="J2045" i="4"/>
  <c r="J2046" i="4"/>
  <c r="J2047" i="4"/>
  <c r="J1959" i="4"/>
  <c r="J1785" i="4"/>
  <c r="J1796" i="4"/>
  <c r="I1805" i="4"/>
  <c r="J1831" i="4"/>
  <c r="J1832" i="4"/>
  <c r="J1833" i="4"/>
  <c r="K1890" i="4"/>
  <c r="J1887" i="4"/>
  <c r="K1777" i="4"/>
  <c r="K1825" i="4"/>
  <c r="I1845" i="4"/>
  <c r="J1846" i="4"/>
  <c r="I1853" i="4"/>
  <c r="I1777" i="4"/>
  <c r="K1785" i="4"/>
  <c r="K1788" i="4"/>
  <c r="J1825" i="4"/>
  <c r="J1844" i="4"/>
  <c r="I1869" i="4"/>
  <c r="I1873" i="4"/>
  <c r="I1874" i="4"/>
  <c r="J1875" i="4"/>
  <c r="K1874" i="4"/>
  <c r="I1859" i="4"/>
  <c r="J1861" i="4"/>
  <c r="J1835" i="4"/>
  <c r="J1836" i="4"/>
  <c r="I1842" i="4"/>
  <c r="J1780" i="4"/>
  <c r="J1781" i="4"/>
  <c r="J1782" i="4"/>
  <c r="J1783" i="4"/>
  <c r="J1784" i="4"/>
  <c r="O196" i="1"/>
  <c r="M196" i="1"/>
  <c r="L196" i="1"/>
  <c r="K196" i="1"/>
  <c r="I196" i="1"/>
  <c r="H196" i="1"/>
  <c r="G196" i="1"/>
  <c r="O140" i="1"/>
  <c r="M140" i="1"/>
  <c r="L140" i="1"/>
  <c r="K140" i="1"/>
  <c r="I140" i="1"/>
  <c r="H140" i="1"/>
  <c r="G140" i="1"/>
  <c r="N471" i="1" l="1"/>
  <c r="N474" i="1"/>
  <c r="J2049" i="4"/>
  <c r="J1858" i="4"/>
  <c r="P481" i="1"/>
  <c r="J1851" i="4"/>
  <c r="J1891" i="4"/>
  <c r="J1865" i="4"/>
  <c r="I1890" i="4"/>
  <c r="J1871" i="4"/>
  <c r="N481" i="1"/>
  <c r="J482" i="1"/>
  <c r="Q494" i="1"/>
  <c r="Q488" i="1"/>
  <c r="I1870" i="4"/>
  <c r="Q496" i="1"/>
  <c r="Q530" i="1"/>
  <c r="J521" i="1"/>
  <c r="I2048" i="4"/>
  <c r="Q491" i="1"/>
  <c r="Q535" i="1"/>
  <c r="J485" i="1"/>
  <c r="J1873" i="4"/>
  <c r="J486" i="1"/>
  <c r="Q483" i="1"/>
  <c r="Q519" i="1"/>
  <c r="J503" i="1"/>
  <c r="J1849" i="4"/>
  <c r="J535" i="1"/>
  <c r="Q498" i="1"/>
  <c r="Q495" i="1"/>
  <c r="Q489" i="1"/>
  <c r="Q493" i="1"/>
  <c r="J492" i="1"/>
  <c r="J499" i="1"/>
  <c r="J1869" i="4"/>
  <c r="J490" i="1"/>
  <c r="Q497" i="1"/>
  <c r="Q534" i="1"/>
  <c r="Q482" i="1"/>
  <c r="I1850" i="4"/>
  <c r="J483" i="1"/>
  <c r="J534" i="1"/>
  <c r="I1862" i="4"/>
  <c r="J1863" i="4"/>
  <c r="I1864" i="4"/>
  <c r="J1867" i="4"/>
  <c r="Q477" i="1"/>
  <c r="Q487" i="1"/>
  <c r="J2051" i="4"/>
  <c r="Q533" i="1"/>
  <c r="Q536" i="1"/>
  <c r="J533" i="1"/>
  <c r="J509" i="1"/>
  <c r="J1909" i="4"/>
  <c r="I1848" i="4"/>
  <c r="I1866" i="4"/>
  <c r="J2041" i="4"/>
  <c r="J1939" i="4"/>
  <c r="J1900" i="4"/>
  <c r="I1857" i="4"/>
  <c r="I2050" i="4"/>
  <c r="Q506" i="1"/>
  <c r="Q528" i="1"/>
  <c r="Q503" i="1"/>
  <c r="Q509" i="1"/>
  <c r="Q510" i="1"/>
  <c r="Q529" i="1"/>
  <c r="N530" i="1"/>
  <c r="P530" i="1"/>
  <c r="P528" i="1"/>
  <c r="N528" i="1"/>
  <c r="Q521" i="1"/>
  <c r="P511" i="1"/>
  <c r="N511" i="1"/>
  <c r="P529" i="1"/>
  <c r="N529" i="1"/>
  <c r="N519" i="1"/>
  <c r="P519" i="1"/>
  <c r="N510" i="1"/>
  <c r="P510" i="1"/>
  <c r="Q511" i="1"/>
  <c r="J1854" i="4"/>
  <c r="P471" i="1"/>
  <c r="P474" i="1"/>
  <c r="P472" i="1"/>
  <c r="N472" i="1"/>
  <c r="Q499" i="1"/>
  <c r="Q481" i="1"/>
  <c r="Q472" i="1"/>
  <c r="J477" i="1"/>
  <c r="Q474" i="1"/>
  <c r="Q471" i="1"/>
  <c r="J1953" i="4"/>
  <c r="J2044" i="4"/>
  <c r="J1886" i="4"/>
  <c r="J1830" i="4"/>
  <c r="J1864" i="4"/>
  <c r="J1859" i="4"/>
  <c r="I1868" i="4"/>
  <c r="J1842" i="4"/>
  <c r="J1845" i="4"/>
  <c r="J1805" i="4"/>
  <c r="J1874" i="4"/>
  <c r="I1872" i="4"/>
  <c r="J1853" i="4"/>
  <c r="I1852" i="4"/>
  <c r="J1834" i="4"/>
  <c r="K1776" i="4"/>
  <c r="I1774" i="4"/>
  <c r="K1751" i="4"/>
  <c r="J1751" i="4"/>
  <c r="K1750" i="4"/>
  <c r="J1750" i="4"/>
  <c r="K1749" i="4"/>
  <c r="J1749" i="4"/>
  <c r="K1748" i="4"/>
  <c r="J1748" i="4"/>
  <c r="K1747" i="4"/>
  <c r="J1747" i="4"/>
  <c r="K1746" i="4"/>
  <c r="J1746" i="4"/>
  <c r="K1745" i="4"/>
  <c r="J1745" i="4"/>
  <c r="K1744" i="4"/>
  <c r="J1744" i="4"/>
  <c r="I1743" i="4"/>
  <c r="K1742" i="4"/>
  <c r="I1742" i="4"/>
  <c r="K1741" i="4"/>
  <c r="I1741" i="4"/>
  <c r="K1740" i="4"/>
  <c r="I1740" i="4"/>
  <c r="K1739" i="4"/>
  <c r="I1739" i="4"/>
  <c r="J1737" i="4"/>
  <c r="I1738" i="4"/>
  <c r="K1735" i="4"/>
  <c r="I1735" i="4"/>
  <c r="K1734" i="4"/>
  <c r="I1734" i="4"/>
  <c r="K1733" i="4"/>
  <c r="I1733" i="4"/>
  <c r="K1732" i="4"/>
  <c r="K1731" i="4"/>
  <c r="J1731" i="4"/>
  <c r="K1730" i="4"/>
  <c r="K1729" i="4"/>
  <c r="J1729" i="4"/>
  <c r="K1728" i="4"/>
  <c r="I1723" i="4"/>
  <c r="I1716" i="4"/>
  <c r="K1720" i="4"/>
  <c r="J1720" i="4"/>
  <c r="K1719" i="4"/>
  <c r="K1718" i="4"/>
  <c r="J1718" i="4"/>
  <c r="K1717" i="4"/>
  <c r="K1708" i="4"/>
  <c r="K1706" i="4"/>
  <c r="J1706" i="4"/>
  <c r="K1705" i="4"/>
  <c r="J1705" i="4"/>
  <c r="I1704" i="4"/>
  <c r="I1711" i="4"/>
  <c r="J2048" i="4" l="1"/>
  <c r="P482" i="1"/>
  <c r="P535" i="1"/>
  <c r="P486" i="1"/>
  <c r="N482" i="1"/>
  <c r="I1732" i="4"/>
  <c r="J1857" i="4"/>
  <c r="J506" i="1"/>
  <c r="P499" i="1"/>
  <c r="J1850" i="4"/>
  <c r="J1890" i="4"/>
  <c r="J497" i="1"/>
  <c r="J1870" i="4"/>
  <c r="J1872" i="4"/>
  <c r="N486" i="1"/>
  <c r="N503" i="1"/>
  <c r="P485" i="1"/>
  <c r="P521" i="1"/>
  <c r="P503" i="1"/>
  <c r="N485" i="1"/>
  <c r="N535" i="1"/>
  <c r="N521" i="1"/>
  <c r="N492" i="1"/>
  <c r="N499" i="1"/>
  <c r="N534" i="1"/>
  <c r="P490" i="1"/>
  <c r="P492" i="1"/>
  <c r="P534" i="1"/>
  <c r="J498" i="1"/>
  <c r="J1862" i="4"/>
  <c r="N483" i="1"/>
  <c r="P483" i="1"/>
  <c r="J488" i="1"/>
  <c r="J464" i="1"/>
  <c r="J489" i="1"/>
  <c r="J1868" i="4"/>
  <c r="J496" i="1"/>
  <c r="N490" i="1"/>
  <c r="P533" i="1"/>
  <c r="J1866" i="4"/>
  <c r="J1848" i="4"/>
  <c r="J493" i="1"/>
  <c r="J495" i="1"/>
  <c r="J494" i="1"/>
  <c r="N509" i="1"/>
  <c r="J2050" i="4"/>
  <c r="N533" i="1"/>
  <c r="P509" i="1"/>
  <c r="J487" i="1"/>
  <c r="K1775" i="4"/>
  <c r="J536" i="1"/>
  <c r="J491" i="1"/>
  <c r="J454" i="1"/>
  <c r="Q463" i="1"/>
  <c r="J1704" i="4"/>
  <c r="Q461" i="1"/>
  <c r="J463" i="1"/>
  <c r="P477" i="1"/>
  <c r="N477" i="1"/>
  <c r="K1707" i="4"/>
  <c r="J1743" i="4"/>
  <c r="J1852" i="4"/>
  <c r="I1708" i="4"/>
  <c r="K1743" i="4"/>
  <c r="I1776" i="4"/>
  <c r="J1719" i="4"/>
  <c r="K1712" i="4"/>
  <c r="J1728" i="4"/>
  <c r="K1727" i="4"/>
  <c r="J1740" i="4"/>
  <c r="J1741" i="4"/>
  <c r="J1742" i="4"/>
  <c r="K1704" i="4"/>
  <c r="I1727" i="4"/>
  <c r="J1730" i="4"/>
  <c r="J1733" i="4"/>
  <c r="J1734" i="4"/>
  <c r="J1735" i="4"/>
  <c r="J1717" i="4"/>
  <c r="J1692" i="4"/>
  <c r="I1696" i="4"/>
  <c r="I1693" i="4"/>
  <c r="I1690" i="4"/>
  <c r="I1687" i="4"/>
  <c r="I1686" i="4"/>
  <c r="I1685" i="4"/>
  <c r="I1684" i="4"/>
  <c r="I1683" i="4"/>
  <c r="I1682" i="4"/>
  <c r="I1681" i="4"/>
  <c r="I1680" i="4"/>
  <c r="K1679" i="4"/>
  <c r="I1673" i="4"/>
  <c r="K1671" i="4"/>
  <c r="K1669" i="4"/>
  <c r="J1669" i="4"/>
  <c r="K1668" i="4"/>
  <c r="J1668" i="4"/>
  <c r="I1667" i="4"/>
  <c r="K1666" i="4"/>
  <c r="J1666" i="4"/>
  <c r="K1664" i="4"/>
  <c r="J1664" i="4"/>
  <c r="K1663" i="4"/>
  <c r="J1645" i="4"/>
  <c r="I1650" i="4"/>
  <c r="I1648" i="4"/>
  <c r="I1646" i="4"/>
  <c r="I1643" i="4"/>
  <c r="I1642" i="4"/>
  <c r="I1641" i="4"/>
  <c r="I1640" i="4"/>
  <c r="I1639" i="4"/>
  <c r="I1638" i="4"/>
  <c r="I1637" i="4"/>
  <c r="I1636" i="4"/>
  <c r="K1635" i="4"/>
  <c r="K1634" i="4"/>
  <c r="I1634" i="4"/>
  <c r="K1633" i="4"/>
  <c r="I1633" i="4"/>
  <c r="K1632" i="4"/>
  <c r="I1632" i="4"/>
  <c r="K1631" i="4"/>
  <c r="I1631" i="4"/>
  <c r="K1630" i="4"/>
  <c r="I1629" i="4"/>
  <c r="K1622" i="4"/>
  <c r="I1622" i="4"/>
  <c r="K1621" i="4"/>
  <c r="I1621" i="4"/>
  <c r="K1620" i="4"/>
  <c r="I1620" i="4"/>
  <c r="K1619" i="4"/>
  <c r="K1618" i="4"/>
  <c r="K1616" i="4"/>
  <c r="K1614" i="4"/>
  <c r="J1614" i="4"/>
  <c r="K1613" i="4"/>
  <c r="J1613" i="4"/>
  <c r="K1612" i="4"/>
  <c r="J1612" i="4"/>
  <c r="K1611" i="4"/>
  <c r="J1611" i="4"/>
  <c r="I1610" i="4"/>
  <c r="K1609" i="4"/>
  <c r="K1607" i="4"/>
  <c r="K1605" i="4"/>
  <c r="I1603" i="4"/>
  <c r="I1602" i="4"/>
  <c r="K1601" i="4"/>
  <c r="I1600" i="4"/>
  <c r="I1597" i="4"/>
  <c r="I1596" i="4"/>
  <c r="K1595" i="4"/>
  <c r="K1588" i="4"/>
  <c r="I1593" i="4"/>
  <c r="I1592" i="4"/>
  <c r="J1591" i="4"/>
  <c r="I1589" i="4"/>
  <c r="K1587" i="4"/>
  <c r="K1585" i="4"/>
  <c r="I1583" i="4"/>
  <c r="I1581" i="4"/>
  <c r="I1579" i="4"/>
  <c r="J1571" i="4"/>
  <c r="I1576" i="4"/>
  <c r="I1574" i="4"/>
  <c r="I1572" i="4"/>
  <c r="K1566" i="4"/>
  <c r="K1564" i="4"/>
  <c r="K1562" i="4"/>
  <c r="K1560" i="4"/>
  <c r="J1557" i="4"/>
  <c r="I1558" i="4"/>
  <c r="K1550" i="4"/>
  <c r="K1548" i="4"/>
  <c r="K1546" i="4"/>
  <c r="K1544" i="4"/>
  <c r="K1542" i="4"/>
  <c r="I1540" i="4"/>
  <c r="I1539" i="4"/>
  <c r="K1538" i="4"/>
  <c r="I1537" i="4"/>
  <c r="I1536" i="4"/>
  <c r="K1535" i="4"/>
  <c r="I1534" i="4"/>
  <c r="I1533" i="4"/>
  <c r="K1532" i="4"/>
  <c r="K1531" i="4"/>
  <c r="J1528" i="4"/>
  <c r="J1521" i="4"/>
  <c r="I1529" i="4"/>
  <c r="I1527" i="4"/>
  <c r="I1525" i="4"/>
  <c r="I1522" i="4"/>
  <c r="I1520" i="4"/>
  <c r="I1518" i="4"/>
  <c r="J461" i="1" l="1"/>
  <c r="N497" i="1"/>
  <c r="P489" i="1"/>
  <c r="I1619" i="4"/>
  <c r="P506" i="1"/>
  <c r="N506" i="1"/>
  <c r="P497" i="1"/>
  <c r="I1630" i="4"/>
  <c r="N464" i="1"/>
  <c r="P498" i="1"/>
  <c r="P464" i="1"/>
  <c r="N498" i="1"/>
  <c r="N489" i="1"/>
  <c r="J1776" i="4"/>
  <c r="N496" i="1"/>
  <c r="I1590" i="4"/>
  <c r="J1592" i="4"/>
  <c r="J1596" i="4"/>
  <c r="J1602" i="4"/>
  <c r="J1636" i="4"/>
  <c r="J1638" i="4"/>
  <c r="J1640" i="4"/>
  <c r="J1642" i="4"/>
  <c r="J1680" i="4"/>
  <c r="J1682" i="4"/>
  <c r="J1684" i="4"/>
  <c r="J1686" i="4"/>
  <c r="I1694" i="4"/>
  <c r="P488" i="1"/>
  <c r="N488" i="1"/>
  <c r="J1534" i="4"/>
  <c r="J1536" i="4"/>
  <c r="J1540" i="4"/>
  <c r="J1593" i="4"/>
  <c r="I1691" i="4"/>
  <c r="J460" i="1"/>
  <c r="P496" i="1"/>
  <c r="Q469" i="1"/>
  <c r="N495" i="1"/>
  <c r="K1584" i="4"/>
  <c r="P495" i="1"/>
  <c r="N494" i="1"/>
  <c r="P494" i="1"/>
  <c r="N493" i="1"/>
  <c r="P493" i="1"/>
  <c r="K1662" i="4"/>
  <c r="N487" i="1"/>
  <c r="P487" i="1"/>
  <c r="K1530" i="4"/>
  <c r="K1547" i="4"/>
  <c r="K1615" i="4"/>
  <c r="K1617" i="4"/>
  <c r="I1662" i="4"/>
  <c r="J1708" i="4"/>
  <c r="K1541" i="4"/>
  <c r="K1543" i="4"/>
  <c r="I1548" i="4"/>
  <c r="K1549" i="4"/>
  <c r="K1561" i="4"/>
  <c r="K1563" i="4"/>
  <c r="K1565" i="4"/>
  <c r="I1585" i="4"/>
  <c r="K1606" i="4"/>
  <c r="I1616" i="4"/>
  <c r="I1618" i="4"/>
  <c r="N491" i="1"/>
  <c r="P491" i="1"/>
  <c r="N536" i="1"/>
  <c r="P536" i="1"/>
  <c r="Q424" i="1"/>
  <c r="J430" i="1"/>
  <c r="Q434" i="1"/>
  <c r="Q437" i="1"/>
  <c r="Q438" i="1"/>
  <c r="J443" i="1"/>
  <c r="Q448" i="1"/>
  <c r="Q464" i="1"/>
  <c r="P461" i="1"/>
  <c r="P454" i="1"/>
  <c r="N454" i="1"/>
  <c r="Q403" i="1"/>
  <c r="Q405" i="1"/>
  <c r="Q404" i="1"/>
  <c r="Q426" i="1"/>
  <c r="I1635" i="4"/>
  <c r="J1667" i="4"/>
  <c r="K1667" i="4"/>
  <c r="Q454" i="1"/>
  <c r="Q460" i="1"/>
  <c r="Q455" i="1"/>
  <c r="P463" i="1"/>
  <c r="N463" i="1"/>
  <c r="I1531" i="4"/>
  <c r="J1539" i="4"/>
  <c r="I1542" i="4"/>
  <c r="I1544" i="4"/>
  <c r="K1545" i="4"/>
  <c r="K1559" i="4"/>
  <c r="I1562" i="4"/>
  <c r="I1564" i="4"/>
  <c r="I1566" i="4"/>
  <c r="K1604" i="4"/>
  <c r="I1607" i="4"/>
  <c r="K1608" i="4"/>
  <c r="K1670" i="4"/>
  <c r="I1560" i="4"/>
  <c r="K1586" i="4"/>
  <c r="J1610" i="4"/>
  <c r="I1671" i="4"/>
  <c r="I1679" i="4"/>
  <c r="I1775" i="4"/>
  <c r="I1707" i="4"/>
  <c r="I1546" i="4"/>
  <c r="I1550" i="4"/>
  <c r="I1587" i="4"/>
  <c r="J1589" i="4"/>
  <c r="I1595" i="4"/>
  <c r="J1597" i="4"/>
  <c r="I1605" i="4"/>
  <c r="I1609" i="4"/>
  <c r="K1610" i="4"/>
  <c r="J1533" i="4"/>
  <c r="I1535" i="4"/>
  <c r="J1537" i="4"/>
  <c r="J1603" i="4"/>
  <c r="J1637" i="4"/>
  <c r="J1641" i="4"/>
  <c r="J1681" i="4"/>
  <c r="J1685" i="4"/>
  <c r="J1727" i="4"/>
  <c r="J1739" i="4"/>
  <c r="J1631" i="4"/>
  <c r="J1632" i="4"/>
  <c r="J1633" i="4"/>
  <c r="J1634" i="4"/>
  <c r="J1639" i="4"/>
  <c r="J1643" i="4"/>
  <c r="J1683" i="4"/>
  <c r="J1687" i="4"/>
  <c r="J1732" i="4"/>
  <c r="I1601" i="4"/>
  <c r="J1620" i="4"/>
  <c r="J1621" i="4"/>
  <c r="J1622" i="4"/>
  <c r="I1594" i="4"/>
  <c r="I1532" i="4"/>
  <c r="I1538" i="4"/>
  <c r="J434" i="1" l="1"/>
  <c r="J437" i="1"/>
  <c r="P437" i="1" s="1"/>
  <c r="N461" i="1"/>
  <c r="N460" i="1"/>
  <c r="I1547" i="4"/>
  <c r="J1775" i="4"/>
  <c r="J403" i="1"/>
  <c r="N403" i="1" s="1"/>
  <c r="I1588" i="4"/>
  <c r="J1605" i="4"/>
  <c r="J424" i="1"/>
  <c r="N424" i="1" s="1"/>
  <c r="J1550" i="4"/>
  <c r="J455" i="1"/>
  <c r="J469" i="1"/>
  <c r="J1607" i="4"/>
  <c r="J1562" i="4"/>
  <c r="J1531" i="4"/>
  <c r="Q416" i="1"/>
  <c r="Q410" i="1"/>
  <c r="J1707" i="4"/>
  <c r="J442" i="1"/>
  <c r="N442" i="1" s="1"/>
  <c r="Q431" i="1"/>
  <c r="Q402" i="1"/>
  <c r="J405" i="1"/>
  <c r="P405" i="1" s="1"/>
  <c r="J426" i="1"/>
  <c r="J404" i="1"/>
  <c r="J1609" i="4"/>
  <c r="J1587" i="4"/>
  <c r="J1546" i="4"/>
  <c r="J1671" i="4"/>
  <c r="P460" i="1"/>
  <c r="J1618" i="4"/>
  <c r="Q428" i="1"/>
  <c r="Q417" i="1"/>
  <c r="Q415" i="1"/>
  <c r="Q432" i="1"/>
  <c r="Q442" i="1"/>
  <c r="Q421" i="1"/>
  <c r="J1590" i="4"/>
  <c r="Q409" i="1"/>
  <c r="Q407" i="1"/>
  <c r="J1542" i="4"/>
  <c r="J1616" i="4"/>
  <c r="J1585" i="4"/>
  <c r="I1584" i="4"/>
  <c r="Q406" i="1"/>
  <c r="J1548" i="4"/>
  <c r="I1615" i="4"/>
  <c r="I1617" i="4"/>
  <c r="J1566" i="4"/>
  <c r="J448" i="1"/>
  <c r="Q422" i="1"/>
  <c r="Q429" i="1"/>
  <c r="Q427" i="1"/>
  <c r="Q414" i="1"/>
  <c r="Q443" i="1"/>
  <c r="J438" i="1"/>
  <c r="P443" i="1"/>
  <c r="N443" i="1"/>
  <c r="N430" i="1"/>
  <c r="P430" i="1"/>
  <c r="Q430" i="1"/>
  <c r="Q444" i="1"/>
  <c r="Q408" i="1"/>
  <c r="N434" i="1"/>
  <c r="P434" i="1"/>
  <c r="I1563" i="4"/>
  <c r="I1543" i="4"/>
  <c r="J1544" i="4"/>
  <c r="J1538" i="4"/>
  <c r="J1535" i="4"/>
  <c r="J1595" i="4"/>
  <c r="J1564" i="4"/>
  <c r="I1606" i="4"/>
  <c r="I1565" i="4"/>
  <c r="I1561" i="4"/>
  <c r="I1541" i="4"/>
  <c r="I1530" i="4"/>
  <c r="J1606" i="4"/>
  <c r="I1559" i="4"/>
  <c r="J1560" i="4"/>
  <c r="I1670" i="4"/>
  <c r="J1662" i="4"/>
  <c r="J1630" i="4"/>
  <c r="J1679" i="4"/>
  <c r="J1635" i="4"/>
  <c r="I1608" i="4"/>
  <c r="I1545" i="4"/>
  <c r="J1601" i="4"/>
  <c r="I1604" i="4"/>
  <c r="I1586" i="4"/>
  <c r="I1549" i="4"/>
  <c r="J1532" i="4"/>
  <c r="J1619" i="4"/>
  <c r="J1594" i="4"/>
  <c r="N437" i="1" l="1"/>
  <c r="J1586" i="4"/>
  <c r="J1549" i="4"/>
  <c r="J409" i="1"/>
  <c r="N455" i="1"/>
  <c r="J1530" i="4"/>
  <c r="J1545" i="4"/>
  <c r="N426" i="1"/>
  <c r="P403" i="1"/>
  <c r="P442" i="1"/>
  <c r="N469" i="1"/>
  <c r="P404" i="1"/>
  <c r="N404" i="1"/>
  <c r="N405" i="1"/>
  <c r="J1670" i="4"/>
  <c r="J1608" i="4"/>
  <c r="J1561" i="4"/>
  <c r="J1604" i="4"/>
  <c r="P424" i="1"/>
  <c r="P426" i="1"/>
  <c r="J1584" i="4"/>
  <c r="P469" i="1"/>
  <c r="P455" i="1"/>
  <c r="J1617" i="4"/>
  <c r="J1565" i="4"/>
  <c r="J427" i="1"/>
  <c r="P427" i="1" s="1"/>
  <c r="J408" i="1"/>
  <c r="J429" i="1"/>
  <c r="N429" i="1" s="1"/>
  <c r="J414" i="1"/>
  <c r="N414" i="1" s="1"/>
  <c r="J1563" i="4"/>
  <c r="J410" i="1"/>
  <c r="J422" i="1"/>
  <c r="P422" i="1" s="1"/>
  <c r="J444" i="1"/>
  <c r="N444" i="1" s="1"/>
  <c r="J402" i="1"/>
  <c r="P402" i="1" s="1"/>
  <c r="J406" i="1"/>
  <c r="J415" i="1"/>
  <c r="J417" i="1"/>
  <c r="J428" i="1"/>
  <c r="J407" i="1"/>
  <c r="N407" i="1" s="1"/>
  <c r="J416" i="1"/>
  <c r="P416" i="1" s="1"/>
  <c r="J1541" i="4"/>
  <c r="J1543" i="4"/>
  <c r="J1559" i="4"/>
  <c r="J1615" i="4"/>
  <c r="J421" i="1"/>
  <c r="J1547" i="4"/>
  <c r="J431" i="1"/>
  <c r="J432" i="1"/>
  <c r="P448" i="1"/>
  <c r="N448" i="1"/>
  <c r="P438" i="1"/>
  <c r="N438" i="1"/>
  <c r="J1588" i="4"/>
  <c r="J1514" i="4"/>
  <c r="J1510" i="4"/>
  <c r="I1515" i="4"/>
  <c r="I1513" i="4"/>
  <c r="I1511" i="4"/>
  <c r="J1507" i="4"/>
  <c r="I1508" i="4"/>
  <c r="I1506" i="4"/>
  <c r="I1504" i="4"/>
  <c r="J1500" i="4"/>
  <c r="J1498" i="4"/>
  <c r="I1501" i="4"/>
  <c r="I1499" i="4"/>
  <c r="N409" i="1" l="1"/>
  <c r="P409" i="1"/>
  <c r="N408" i="1"/>
  <c r="P407" i="1"/>
  <c r="P415" i="1"/>
  <c r="N416" i="1"/>
  <c r="N417" i="1"/>
  <c r="P406" i="1"/>
  <c r="P429" i="1"/>
  <c r="P408" i="1"/>
  <c r="N427" i="1"/>
  <c r="N428" i="1"/>
  <c r="P417" i="1"/>
  <c r="N406" i="1"/>
  <c r="P414" i="1"/>
  <c r="P410" i="1"/>
  <c r="P428" i="1"/>
  <c r="N415" i="1"/>
  <c r="N402" i="1"/>
  <c r="P444" i="1"/>
  <c r="N410" i="1"/>
  <c r="N422" i="1"/>
  <c r="N421" i="1"/>
  <c r="P421" i="1"/>
  <c r="N432" i="1"/>
  <c r="P432" i="1"/>
  <c r="P431" i="1"/>
  <c r="N431" i="1"/>
  <c r="O87" i="1" l="1"/>
  <c r="M87" i="1"/>
  <c r="L87" i="1"/>
  <c r="K87" i="1"/>
  <c r="I87" i="1"/>
  <c r="H87" i="1"/>
  <c r="G87" i="1"/>
  <c r="A89" i="1"/>
  <c r="A90" i="1" s="1"/>
  <c r="A91" i="1" l="1"/>
  <c r="A92" i="1" s="1"/>
  <c r="A93" i="1" l="1"/>
  <c r="K380" i="4"/>
  <c r="J380" i="4"/>
  <c r="K930" i="4"/>
  <c r="I930" i="4"/>
  <c r="I929" i="4"/>
  <c r="K927" i="4"/>
  <c r="I927" i="4"/>
  <c r="I926" i="4"/>
  <c r="K924" i="4"/>
  <c r="I924" i="4"/>
  <c r="K923" i="4"/>
  <c r="J923" i="4"/>
  <c r="K922" i="4"/>
  <c r="I922" i="4"/>
  <c r="K921" i="4"/>
  <c r="I921" i="4"/>
  <c r="K920" i="4"/>
  <c r="J920" i="4"/>
  <c r="K919" i="4"/>
  <c r="I919" i="4"/>
  <c r="K918" i="4"/>
  <c r="I918" i="4"/>
  <c r="K917" i="4"/>
  <c r="J917" i="4"/>
  <c r="K916" i="4"/>
  <c r="I916" i="4"/>
  <c r="K914" i="4"/>
  <c r="I914" i="4"/>
  <c r="K913" i="4"/>
  <c r="I913" i="4"/>
  <c r="K912" i="4"/>
  <c r="I912" i="4"/>
  <c r="K911" i="4"/>
  <c r="I911" i="4"/>
  <c r="K910" i="4"/>
  <c r="I910" i="4"/>
  <c r="K909" i="4"/>
  <c r="I909" i="4"/>
  <c r="K908" i="4"/>
  <c r="I908" i="4"/>
  <c r="K907" i="4"/>
  <c r="I907" i="4"/>
  <c r="K906" i="4"/>
  <c r="I906" i="4"/>
  <c r="K905" i="4"/>
  <c r="I905" i="4"/>
  <c r="K904" i="4"/>
  <c r="I904" i="4"/>
  <c r="K903" i="4"/>
  <c r="I903" i="4"/>
  <c r="K902" i="4"/>
  <c r="I902" i="4"/>
  <c r="K901" i="4"/>
  <c r="I901" i="4"/>
  <c r="K900" i="4"/>
  <c r="I900" i="4"/>
  <c r="K899" i="4"/>
  <c r="I899" i="4"/>
  <c r="K898" i="4"/>
  <c r="I898" i="4"/>
  <c r="K896" i="4"/>
  <c r="I896" i="4"/>
  <c r="K895" i="4"/>
  <c r="I895" i="4"/>
  <c r="K894" i="4"/>
  <c r="I894" i="4"/>
  <c r="K893" i="4"/>
  <c r="I893" i="4"/>
  <c r="K892" i="4"/>
  <c r="I892" i="4"/>
  <c r="K891" i="4"/>
  <c r="I891" i="4"/>
  <c r="K890" i="4"/>
  <c r="I890" i="4"/>
  <c r="K886" i="4"/>
  <c r="K885" i="4"/>
  <c r="I885" i="4"/>
  <c r="K884" i="4"/>
  <c r="I884" i="4"/>
  <c r="K883" i="4"/>
  <c r="K882" i="4"/>
  <c r="I882" i="4"/>
  <c r="K881" i="4"/>
  <c r="I881" i="4"/>
  <c r="K880" i="4"/>
  <c r="K879" i="4"/>
  <c r="I879" i="4"/>
  <c r="K878" i="4"/>
  <c r="I878" i="4"/>
  <c r="J875" i="4"/>
  <c r="I928" i="4" l="1"/>
  <c r="J929" i="4"/>
  <c r="J926" i="4"/>
  <c r="I925" i="4"/>
  <c r="K928" i="4"/>
  <c r="K925" i="4"/>
  <c r="K889" i="4"/>
  <c r="K897" i="4"/>
  <c r="J222" i="1"/>
  <c r="I897" i="4"/>
  <c r="I889" i="4"/>
  <c r="J898" i="4"/>
  <c r="J899" i="4"/>
  <c r="J900" i="4"/>
  <c r="J901" i="4"/>
  <c r="J902" i="4"/>
  <c r="Q222" i="1"/>
  <c r="J916" i="4"/>
  <c r="J922" i="4"/>
  <c r="J927" i="4"/>
  <c r="K877" i="4"/>
  <c r="J921" i="4"/>
  <c r="K915" i="4"/>
  <c r="J890" i="4"/>
  <c r="J891" i="4"/>
  <c r="J892" i="4"/>
  <c r="J893" i="4"/>
  <c r="J894" i="4"/>
  <c r="J895" i="4"/>
  <c r="J896" i="4"/>
  <c r="J904" i="4"/>
  <c r="J905" i="4"/>
  <c r="J906" i="4"/>
  <c r="J907" i="4"/>
  <c r="J908" i="4"/>
  <c r="J909" i="4"/>
  <c r="J910" i="4"/>
  <c r="J911" i="4"/>
  <c r="J912" i="4"/>
  <c r="J913" i="4"/>
  <c r="J914" i="4"/>
  <c r="I915" i="4"/>
  <c r="J918" i="4"/>
  <c r="J919" i="4"/>
  <c r="J924" i="4"/>
  <c r="J930" i="4"/>
  <c r="I880" i="4"/>
  <c r="I883" i="4"/>
  <c r="I886" i="4"/>
  <c r="J878" i="4"/>
  <c r="J879" i="4"/>
  <c r="J881" i="4"/>
  <c r="J882" i="4"/>
  <c r="J884" i="4"/>
  <c r="J885" i="4"/>
  <c r="Q221" i="1" l="1"/>
  <c r="J925" i="4"/>
  <c r="J928" i="4"/>
  <c r="P222" i="1"/>
  <c r="Q220" i="1"/>
  <c r="N222" i="1"/>
  <c r="J221" i="1"/>
  <c r="J223" i="1"/>
  <c r="J225" i="1"/>
  <c r="Q224" i="1"/>
  <c r="Q223" i="1"/>
  <c r="J897" i="4"/>
  <c r="J220" i="1"/>
  <c r="Q225" i="1"/>
  <c r="Q218" i="1"/>
  <c r="J224" i="1"/>
  <c r="J915" i="4"/>
  <c r="J903" i="4"/>
  <c r="J889" i="4"/>
  <c r="J883" i="4"/>
  <c r="J886" i="4"/>
  <c r="J880" i="4"/>
  <c r="I877" i="4"/>
  <c r="N221" i="1" l="1"/>
  <c r="P225" i="1"/>
  <c r="N225" i="1"/>
  <c r="N223" i="1"/>
  <c r="P223" i="1"/>
  <c r="P221" i="1"/>
  <c r="J218" i="1"/>
  <c r="P224" i="1"/>
  <c r="N224" i="1"/>
  <c r="P220" i="1"/>
  <c r="N220" i="1"/>
  <c r="J877" i="4"/>
  <c r="P218" i="1" l="1"/>
  <c r="N218" i="1"/>
  <c r="K870" i="4"/>
  <c r="I870" i="4"/>
  <c r="K869" i="4"/>
  <c r="I869" i="4"/>
  <c r="K867" i="4"/>
  <c r="I867" i="4"/>
  <c r="I866" i="4"/>
  <c r="K864" i="4"/>
  <c r="I864" i="4"/>
  <c r="K863" i="4"/>
  <c r="I863" i="4"/>
  <c r="J856" i="4"/>
  <c r="I861" i="4"/>
  <c r="I857" i="4"/>
  <c r="K853" i="4"/>
  <c r="I853" i="4"/>
  <c r="I852" i="4"/>
  <c r="K851" i="4"/>
  <c r="I851" i="4"/>
  <c r="K839" i="4"/>
  <c r="I839" i="4"/>
  <c r="K831" i="4"/>
  <c r="I831" i="4"/>
  <c r="K830" i="4"/>
  <c r="I830" i="4"/>
  <c r="K829" i="4"/>
  <c r="I829" i="4"/>
  <c r="I828" i="4"/>
  <c r="J823" i="4"/>
  <c r="I824" i="4"/>
  <c r="K820" i="4"/>
  <c r="I820" i="4"/>
  <c r="K819" i="4"/>
  <c r="I819" i="4"/>
  <c r="J810" i="4"/>
  <c r="J804" i="4"/>
  <c r="J801" i="4"/>
  <c r="K796" i="4"/>
  <c r="I796" i="4"/>
  <c r="K794" i="4"/>
  <c r="I794" i="4"/>
  <c r="J789" i="4"/>
  <c r="J788" i="4"/>
  <c r="K790" i="4"/>
  <c r="J775" i="4"/>
  <c r="J779" i="4"/>
  <c r="K786" i="4"/>
  <c r="K784" i="4"/>
  <c r="K773" i="4"/>
  <c r="K771" i="4"/>
  <c r="I769" i="4"/>
  <c r="J768" i="4"/>
  <c r="K767" i="4"/>
  <c r="I767" i="4"/>
  <c r="J762" i="4"/>
  <c r="K760" i="4"/>
  <c r="I760" i="4"/>
  <c r="K759" i="4"/>
  <c r="I759" i="4"/>
  <c r="K757" i="4"/>
  <c r="I757" i="4"/>
  <c r="K756" i="4"/>
  <c r="I756" i="4"/>
  <c r="I868" i="4" l="1"/>
  <c r="K868" i="4"/>
  <c r="J866" i="4"/>
  <c r="I865" i="4"/>
  <c r="K865" i="4"/>
  <c r="I862" i="4"/>
  <c r="K862" i="4"/>
  <c r="I850" i="4"/>
  <c r="J852" i="4"/>
  <c r="K850" i="4"/>
  <c r="K838" i="4"/>
  <c r="I838" i="4"/>
  <c r="I818" i="4"/>
  <c r="K818" i="4"/>
  <c r="K795" i="4"/>
  <c r="I795" i="4"/>
  <c r="K793" i="4"/>
  <c r="I793" i="4"/>
  <c r="I758" i="4"/>
  <c r="K758" i="4"/>
  <c r="I858" i="4"/>
  <c r="I755" i="4"/>
  <c r="K770" i="4"/>
  <c r="I771" i="4"/>
  <c r="K772" i="4"/>
  <c r="K785" i="4"/>
  <c r="K755" i="4"/>
  <c r="Q186" i="1"/>
  <c r="J202" i="1"/>
  <c r="J186" i="1"/>
  <c r="K783" i="4"/>
  <c r="I786" i="4"/>
  <c r="Q202" i="1"/>
  <c r="J867" i="4"/>
  <c r="J769" i="4"/>
  <c r="J863" i="4"/>
  <c r="J864" i="4"/>
  <c r="J869" i="4"/>
  <c r="J870" i="4"/>
  <c r="J851" i="4"/>
  <c r="J853" i="4"/>
  <c r="J839" i="4"/>
  <c r="J830" i="4"/>
  <c r="J831" i="4"/>
  <c r="J794" i="4"/>
  <c r="J756" i="4"/>
  <c r="J757" i="4"/>
  <c r="I773" i="4"/>
  <c r="I784" i="4"/>
  <c r="J819" i="4"/>
  <c r="J820" i="4"/>
  <c r="J796" i="4"/>
  <c r="J759" i="4"/>
  <c r="J760" i="4"/>
  <c r="Q205" i="1" l="1"/>
  <c r="J205" i="1"/>
  <c r="J213" i="1"/>
  <c r="J183" i="1"/>
  <c r="J868" i="4"/>
  <c r="J865" i="4"/>
  <c r="J862" i="4"/>
  <c r="Q213" i="1"/>
  <c r="J850" i="4"/>
  <c r="J838" i="4"/>
  <c r="J818" i="4"/>
  <c r="J795" i="4"/>
  <c r="J793" i="4"/>
  <c r="J758" i="4"/>
  <c r="J195" i="1"/>
  <c r="P195" i="1" s="1"/>
  <c r="J182" i="1"/>
  <c r="P182" i="1" s="1"/>
  <c r="J199" i="1"/>
  <c r="P199" i="1" s="1"/>
  <c r="J773" i="4"/>
  <c r="I785" i="4"/>
  <c r="J210" i="1"/>
  <c r="Q182" i="1"/>
  <c r="Q191" i="1"/>
  <c r="Q194" i="1"/>
  <c r="Q187" i="1"/>
  <c r="J194" i="1"/>
  <c r="J771" i="4"/>
  <c r="I770" i="4"/>
  <c r="J786" i="4"/>
  <c r="J214" i="1"/>
  <c r="Q188" i="1"/>
  <c r="J215" i="1"/>
  <c r="Q215" i="1"/>
  <c r="Q183" i="1"/>
  <c r="Q210" i="1"/>
  <c r="Q214" i="1"/>
  <c r="Q190" i="1"/>
  <c r="N213" i="1"/>
  <c r="Q195" i="1"/>
  <c r="Q199" i="1"/>
  <c r="P186" i="1"/>
  <c r="N186" i="1"/>
  <c r="P202" i="1"/>
  <c r="N202" i="1"/>
  <c r="J767" i="4"/>
  <c r="J829" i="4"/>
  <c r="J755" i="4"/>
  <c r="J784" i="4"/>
  <c r="I783" i="4"/>
  <c r="I772" i="4"/>
  <c r="J747" i="4"/>
  <c r="K744" i="4"/>
  <c r="I744" i="4"/>
  <c r="K743" i="4"/>
  <c r="I743" i="4"/>
  <c r="J734" i="4"/>
  <c r="J722" i="4"/>
  <c r="K720" i="4"/>
  <c r="I720" i="4"/>
  <c r="K718" i="4"/>
  <c r="I718" i="4"/>
  <c r="K717" i="4"/>
  <c r="I717" i="4"/>
  <c r="K715" i="4"/>
  <c r="I715" i="4"/>
  <c r="K713" i="4"/>
  <c r="I713" i="4"/>
  <c r="N205" i="1" l="1"/>
  <c r="N183" i="1"/>
  <c r="P205" i="1"/>
  <c r="P213" i="1"/>
  <c r="P183" i="1"/>
  <c r="P215" i="1"/>
  <c r="P214" i="1"/>
  <c r="N195" i="1"/>
  <c r="I742" i="4"/>
  <c r="K742" i="4"/>
  <c r="K716" i="4"/>
  <c r="I716" i="4"/>
  <c r="N210" i="1"/>
  <c r="I714" i="4"/>
  <c r="I712" i="4"/>
  <c r="N182" i="1"/>
  <c r="K712" i="4"/>
  <c r="J772" i="4"/>
  <c r="J770" i="4"/>
  <c r="P210" i="1"/>
  <c r="J191" i="1"/>
  <c r="N199" i="1"/>
  <c r="J188" i="1"/>
  <c r="J190" i="1"/>
  <c r="N190" i="1" s="1"/>
  <c r="N194" i="1"/>
  <c r="P194" i="1"/>
  <c r="I719" i="4"/>
  <c r="J187" i="1"/>
  <c r="J785" i="4"/>
  <c r="N214" i="1"/>
  <c r="K719" i="4"/>
  <c r="N215" i="1"/>
  <c r="J713" i="4"/>
  <c r="K714" i="4"/>
  <c r="J717" i="4"/>
  <c r="J718" i="4"/>
  <c r="J783" i="4"/>
  <c r="J743" i="4"/>
  <c r="J744" i="4"/>
  <c r="J715" i="4"/>
  <c r="J720" i="4"/>
  <c r="P191" i="1" l="1"/>
  <c r="J170" i="1"/>
  <c r="P170" i="1" s="1"/>
  <c r="J742" i="4"/>
  <c r="J716" i="4"/>
  <c r="J178" i="1"/>
  <c r="N178" i="1" s="1"/>
  <c r="J169" i="1"/>
  <c r="N169" i="1" s="1"/>
  <c r="Q169" i="1"/>
  <c r="N191" i="1"/>
  <c r="Q178" i="1"/>
  <c r="P188" i="1"/>
  <c r="P190" i="1"/>
  <c r="N188" i="1"/>
  <c r="J172" i="1"/>
  <c r="P172" i="1" s="1"/>
  <c r="J171" i="1"/>
  <c r="P171" i="1" s="1"/>
  <c r="Q172" i="1"/>
  <c r="P187" i="1"/>
  <c r="N187" i="1"/>
  <c r="J712" i="4"/>
  <c r="Q171" i="1"/>
  <c r="Q170" i="1"/>
  <c r="J714" i="4"/>
  <c r="J719" i="4"/>
  <c r="P178" i="1" l="1"/>
  <c r="P169" i="1"/>
  <c r="N170" i="1"/>
  <c r="N172" i="1"/>
  <c r="N171" i="1"/>
  <c r="J708" i="4"/>
  <c r="J702" i="4"/>
  <c r="I697" i="4"/>
  <c r="J696" i="4"/>
  <c r="K695" i="4"/>
  <c r="I707" i="4"/>
  <c r="I704" i="4"/>
  <c r="I701" i="4"/>
  <c r="K688" i="4"/>
  <c r="I688" i="4"/>
  <c r="K687" i="4"/>
  <c r="I687" i="4"/>
  <c r="J684" i="4"/>
  <c r="I685" i="4"/>
  <c r="J675" i="4"/>
  <c r="K681" i="4"/>
  <c r="I681" i="4"/>
  <c r="K680" i="4"/>
  <c r="I680" i="4"/>
  <c r="K679" i="4"/>
  <c r="I679" i="4"/>
  <c r="K678" i="4"/>
  <c r="I678" i="4"/>
  <c r="K677" i="4"/>
  <c r="I677" i="4"/>
  <c r="J664" i="4"/>
  <c r="J665" i="4"/>
  <c r="K662" i="4"/>
  <c r="I662" i="4"/>
  <c r="K661" i="4"/>
  <c r="I661" i="4"/>
  <c r="K660" i="4"/>
  <c r="I660" i="4"/>
  <c r="K659" i="4"/>
  <c r="I659" i="4"/>
  <c r="K657" i="4"/>
  <c r="J657" i="4"/>
  <c r="K656" i="4"/>
  <c r="J656" i="4"/>
  <c r="K655" i="4"/>
  <c r="I655" i="4"/>
  <c r="K654" i="4"/>
  <c r="J654" i="4"/>
  <c r="K653" i="4"/>
  <c r="J653" i="4"/>
  <c r="K652" i="4"/>
  <c r="I652" i="4"/>
  <c r="K651" i="4"/>
  <c r="J651" i="4"/>
  <c r="K650" i="4"/>
  <c r="J650" i="4"/>
  <c r="K649" i="4"/>
  <c r="I649" i="4"/>
  <c r="J646" i="4"/>
  <c r="J640" i="4"/>
  <c r="J637" i="4"/>
  <c r="I645" i="4"/>
  <c r="I642" i="4"/>
  <c r="K613" i="4"/>
  <c r="I613" i="4"/>
  <c r="K612" i="4"/>
  <c r="I612" i="4"/>
  <c r="K607" i="4"/>
  <c r="I607" i="4"/>
  <c r="I606" i="4"/>
  <c r="J594" i="4"/>
  <c r="K588" i="4"/>
  <c r="K584" i="4"/>
  <c r="I584" i="4"/>
  <c r="J578" i="4"/>
  <c r="J575" i="4"/>
  <c r="K570" i="4"/>
  <c r="K569" i="4"/>
  <c r="K568" i="4"/>
  <c r="K567" i="4"/>
  <c r="J564" i="4"/>
  <c r="I565" i="4"/>
  <c r="J553" i="4"/>
  <c r="J547" i="4"/>
  <c r="J544" i="4"/>
  <c r="I551" i="4"/>
  <c r="I548" i="4"/>
  <c r="I545" i="4"/>
  <c r="K541" i="4"/>
  <c r="I541" i="4"/>
  <c r="K540" i="4"/>
  <c r="I540" i="4"/>
  <c r="K539" i="4"/>
  <c r="I539" i="4"/>
  <c r="I538" i="4"/>
  <c r="K536" i="4"/>
  <c r="I536" i="4"/>
  <c r="I535" i="4"/>
  <c r="K534" i="4"/>
  <c r="I534" i="4"/>
  <c r="I533" i="4"/>
  <c r="K531" i="4"/>
  <c r="K530" i="4"/>
  <c r="K529" i="4"/>
  <c r="K528" i="4"/>
  <c r="J518" i="4"/>
  <c r="J511" i="4"/>
  <c r="J513" i="4"/>
  <c r="J503" i="4"/>
  <c r="J500" i="4"/>
  <c r="I507" i="4"/>
  <c r="I504" i="4"/>
  <c r="I501" i="4"/>
  <c r="K497" i="4"/>
  <c r="I497" i="4"/>
  <c r="K496" i="4"/>
  <c r="I496" i="4"/>
  <c r="K494" i="4"/>
  <c r="J487" i="4"/>
  <c r="K466" i="4"/>
  <c r="J456" i="4"/>
  <c r="I461" i="4"/>
  <c r="I459" i="4"/>
  <c r="I457" i="4"/>
  <c r="J438" i="4"/>
  <c r="I686" i="4" l="1"/>
  <c r="K658" i="4"/>
  <c r="I695" i="4"/>
  <c r="I672" i="4"/>
  <c r="K611" i="4"/>
  <c r="I611" i="4"/>
  <c r="I658" i="4"/>
  <c r="J606" i="4"/>
  <c r="I605" i="4"/>
  <c r="K605" i="4"/>
  <c r="J538" i="4"/>
  <c r="I537" i="4"/>
  <c r="K537" i="4"/>
  <c r="J535" i="4"/>
  <c r="I532" i="4"/>
  <c r="J533" i="4"/>
  <c r="K532" i="4"/>
  <c r="I568" i="4"/>
  <c r="J148" i="1"/>
  <c r="P148" i="1" s="1"/>
  <c r="J687" i="4"/>
  <c r="K527" i="4"/>
  <c r="J655" i="4"/>
  <c r="K493" i="4"/>
  <c r="I494" i="4"/>
  <c r="I495" i="4"/>
  <c r="I528" i="4"/>
  <c r="I529" i="4"/>
  <c r="I530" i="4"/>
  <c r="I531" i="4"/>
  <c r="K495" i="4"/>
  <c r="K465" i="4"/>
  <c r="I648" i="4"/>
  <c r="J652" i="4"/>
  <c r="I466" i="4"/>
  <c r="K566" i="4"/>
  <c r="I583" i="4"/>
  <c r="Q119" i="1"/>
  <c r="J539" i="4"/>
  <c r="Q129" i="1"/>
  <c r="J649" i="4"/>
  <c r="Q164" i="1"/>
  <c r="J129" i="1"/>
  <c r="I567" i="4"/>
  <c r="I569" i="4"/>
  <c r="I570" i="4"/>
  <c r="J688" i="4"/>
  <c r="K583" i="4"/>
  <c r="J697" i="4"/>
  <c r="K648" i="4"/>
  <c r="J677" i="4"/>
  <c r="J678" i="4"/>
  <c r="J679" i="4"/>
  <c r="J680" i="4"/>
  <c r="J681" i="4"/>
  <c r="J659" i="4"/>
  <c r="J660" i="4"/>
  <c r="J661" i="4"/>
  <c r="J662" i="4"/>
  <c r="J612" i="4"/>
  <c r="J613" i="4"/>
  <c r="J607" i="4"/>
  <c r="J584" i="4"/>
  <c r="J534" i="4"/>
  <c r="J536" i="4"/>
  <c r="J541" i="4"/>
  <c r="J496" i="4"/>
  <c r="J497" i="4"/>
  <c r="Q159" i="1" l="1"/>
  <c r="J159" i="1"/>
  <c r="P159" i="1" s="1"/>
  <c r="J164" i="1"/>
  <c r="J611" i="4"/>
  <c r="Q150" i="1"/>
  <c r="Q148" i="1"/>
  <c r="J605" i="4"/>
  <c r="J568" i="4"/>
  <c r="N148" i="1"/>
  <c r="J537" i="4"/>
  <c r="J150" i="1"/>
  <c r="P150" i="1" s="1"/>
  <c r="J532" i="4"/>
  <c r="J127" i="1"/>
  <c r="J494" i="4"/>
  <c r="Q126" i="1"/>
  <c r="J530" i="4"/>
  <c r="J528" i="4"/>
  <c r="Q135" i="1"/>
  <c r="Q114" i="1"/>
  <c r="Q120" i="1"/>
  <c r="J648" i="4"/>
  <c r="J141" i="1"/>
  <c r="N141" i="1" s="1"/>
  <c r="J158" i="1"/>
  <c r="N158" i="1" s="1"/>
  <c r="J120" i="1"/>
  <c r="N120" i="1" s="1"/>
  <c r="I527" i="4"/>
  <c r="J466" i="4"/>
  <c r="J531" i="4"/>
  <c r="J529" i="4"/>
  <c r="I465" i="4"/>
  <c r="I493" i="4"/>
  <c r="J570" i="4"/>
  <c r="J567" i="4"/>
  <c r="J569" i="4"/>
  <c r="Q141" i="1"/>
  <c r="P164" i="1"/>
  <c r="I566" i="4"/>
  <c r="N129" i="1"/>
  <c r="P129" i="1"/>
  <c r="Q128" i="1"/>
  <c r="Q158" i="1"/>
  <c r="Q127" i="1"/>
  <c r="J128" i="1"/>
  <c r="J695" i="4"/>
  <c r="J583" i="4"/>
  <c r="J540" i="4"/>
  <c r="J658" i="4"/>
  <c r="J495" i="4"/>
  <c r="J435" i="4"/>
  <c r="I436" i="4"/>
  <c r="I433" i="4"/>
  <c r="J423" i="4"/>
  <c r="I424" i="4"/>
  <c r="I420" i="4"/>
  <c r="K414" i="4"/>
  <c r="I416" i="4"/>
  <c r="I409" i="4"/>
  <c r="I397" i="4"/>
  <c r="I394" i="4"/>
  <c r="J389" i="4"/>
  <c r="I387" i="4"/>
  <c r="I384" i="4"/>
  <c r="I381" i="4"/>
  <c r="K371" i="4"/>
  <c r="I369" i="4"/>
  <c r="K365" i="4"/>
  <c r="K363" i="4"/>
  <c r="A362" i="4"/>
  <c r="A364" i="4" s="1"/>
  <c r="A366" i="4" s="1"/>
  <c r="A370" i="4" s="1"/>
  <c r="A372" i="4" s="1"/>
  <c r="K361" i="4"/>
  <c r="N127" i="1" l="1"/>
  <c r="N159" i="1"/>
  <c r="N164" i="1"/>
  <c r="P127" i="1"/>
  <c r="J493" i="4"/>
  <c r="N150" i="1"/>
  <c r="J465" i="4"/>
  <c r="J114" i="1"/>
  <c r="P114" i="1" s="1"/>
  <c r="K360" i="4"/>
  <c r="P158" i="1"/>
  <c r="P120" i="1"/>
  <c r="P141" i="1"/>
  <c r="I371" i="4"/>
  <c r="J566" i="4"/>
  <c r="J126" i="1"/>
  <c r="I361" i="4"/>
  <c r="J527" i="4"/>
  <c r="J119" i="1"/>
  <c r="K362" i="4"/>
  <c r="K370" i="4"/>
  <c r="P128" i="1"/>
  <c r="N128" i="1"/>
  <c r="J135" i="1"/>
  <c r="I363" i="4"/>
  <c r="K364" i="4"/>
  <c r="I365" i="4"/>
  <c r="J371" i="4" l="1"/>
  <c r="I370" i="4"/>
  <c r="N114" i="1"/>
  <c r="Q88" i="1"/>
  <c r="J365" i="4"/>
  <c r="Q89" i="1"/>
  <c r="J361" i="4"/>
  <c r="J363" i="4"/>
  <c r="I360" i="4"/>
  <c r="N126" i="1"/>
  <c r="P126" i="1"/>
  <c r="N119" i="1"/>
  <c r="P119" i="1"/>
  <c r="Q92" i="1"/>
  <c r="I362" i="4"/>
  <c r="P135" i="1"/>
  <c r="N135" i="1"/>
  <c r="Q90" i="1"/>
  <c r="J370" i="4"/>
  <c r="I364" i="4"/>
  <c r="O782" i="1"/>
  <c r="M782" i="1"/>
  <c r="L782" i="1"/>
  <c r="K782" i="1"/>
  <c r="I782" i="1"/>
  <c r="H782" i="1"/>
  <c r="G782" i="1"/>
  <c r="I2944" i="4"/>
  <c r="I2943" i="4"/>
  <c r="I2942" i="4"/>
  <c r="I2941" i="4"/>
  <c r="K2940" i="4"/>
  <c r="D2939" i="4"/>
  <c r="O593" i="1"/>
  <c r="M593" i="1"/>
  <c r="L593" i="1"/>
  <c r="K593" i="1"/>
  <c r="I593" i="1"/>
  <c r="H593" i="1"/>
  <c r="G593" i="1"/>
  <c r="A595" i="1"/>
  <c r="D2216" i="4"/>
  <c r="K2222" i="4"/>
  <c r="K2221" i="4"/>
  <c r="A2220" i="4"/>
  <c r="I2221" i="4" l="1"/>
  <c r="Q783" i="1"/>
  <c r="J2941" i="4"/>
  <c r="J2943" i="4"/>
  <c r="J92" i="1"/>
  <c r="N92" i="1" s="1"/>
  <c r="J364" i="4"/>
  <c r="J360" i="4"/>
  <c r="J362" i="4"/>
  <c r="J90" i="1"/>
  <c r="P90" i="1" s="1"/>
  <c r="J88" i="1"/>
  <c r="J89" i="1"/>
  <c r="K2220" i="4"/>
  <c r="I2222" i="4"/>
  <c r="I2940" i="4"/>
  <c r="J2942" i="4"/>
  <c r="J2944" i="4"/>
  <c r="J2221" i="4"/>
  <c r="Q595" i="1" l="1"/>
  <c r="P92" i="1"/>
  <c r="N90" i="1"/>
  <c r="N88" i="1"/>
  <c r="P88" i="1"/>
  <c r="N89" i="1"/>
  <c r="P89" i="1"/>
  <c r="I2220" i="4"/>
  <c r="J2222" i="4"/>
  <c r="I2939" i="4"/>
  <c r="J783" i="1"/>
  <c r="P783" i="1" s="1"/>
  <c r="J2940" i="4"/>
  <c r="J2220" i="4"/>
  <c r="J595" i="1" l="1"/>
  <c r="N783" i="1"/>
  <c r="J782" i="1"/>
  <c r="P595" i="1" l="1"/>
  <c r="N595" i="1"/>
  <c r="N782" i="1"/>
  <c r="D2945" i="4" l="1"/>
  <c r="K2990" i="4"/>
  <c r="I3015" i="4" l="1"/>
  <c r="I3014" i="4"/>
  <c r="I3013" i="4"/>
  <c r="I3012" i="4"/>
  <c r="K3011" i="4"/>
  <c r="K3019" i="4"/>
  <c r="I3020" i="4"/>
  <c r="I3021" i="4"/>
  <c r="I3022" i="4"/>
  <c r="I3023" i="4"/>
  <c r="J1092" i="4"/>
  <c r="J3015" i="4" l="1"/>
  <c r="J3023" i="4"/>
  <c r="J3020" i="4"/>
  <c r="Q798" i="1"/>
  <c r="J3013" i="4"/>
  <c r="I3011" i="4"/>
  <c r="J3014" i="4"/>
  <c r="J3022" i="4"/>
  <c r="J3021" i="4"/>
  <c r="J3012" i="4"/>
  <c r="I3019" i="4"/>
  <c r="D2223" i="4"/>
  <c r="I2325" i="4"/>
  <c r="I2323" i="4"/>
  <c r="I2320" i="4"/>
  <c r="I2318" i="4"/>
  <c r="K2310" i="4"/>
  <c r="K2309" i="4"/>
  <c r="K2296" i="4"/>
  <c r="I2286" i="4"/>
  <c r="I2284" i="4"/>
  <c r="I2235" i="4"/>
  <c r="I2242" i="4"/>
  <c r="I2240" i="4"/>
  <c r="I2238" i="4"/>
  <c r="I2233" i="4"/>
  <c r="D1087" i="4"/>
  <c r="I1124" i="4"/>
  <c r="I1120" i="4"/>
  <c r="I1117" i="4"/>
  <c r="I1090" i="4"/>
  <c r="I2309" i="4" l="1"/>
  <c r="J3019" i="4"/>
  <c r="J798" i="1"/>
  <c r="J3011" i="4"/>
  <c r="K2308" i="4"/>
  <c r="I2310" i="4"/>
  <c r="I2237" i="4"/>
  <c r="J2309" i="4" l="1"/>
  <c r="N798" i="1"/>
  <c r="P798" i="1"/>
  <c r="J2310" i="4"/>
  <c r="I2308" i="4"/>
  <c r="J2308" i="4" l="1"/>
  <c r="D2878" i="4" l="1"/>
  <c r="I2921" i="4"/>
  <c r="I2920" i="4"/>
  <c r="K2919" i="4"/>
  <c r="I2909" i="4"/>
  <c r="I2908" i="4"/>
  <c r="K2907" i="4"/>
  <c r="I2906" i="4"/>
  <c r="I2905" i="4"/>
  <c r="K2904" i="4"/>
  <c r="I2900" i="4"/>
  <c r="I2899" i="4"/>
  <c r="K2898" i="4"/>
  <c r="I2897" i="4"/>
  <c r="I2896" i="4"/>
  <c r="K2895" i="4"/>
  <c r="I2894" i="4"/>
  <c r="I2893" i="4"/>
  <c r="K2892" i="4"/>
  <c r="I2891" i="4"/>
  <c r="I2890" i="4"/>
  <c r="I2889" i="4"/>
  <c r="I2888" i="4"/>
  <c r="K2887" i="4"/>
  <c r="J2889" i="4" l="1"/>
  <c r="J2891" i="4"/>
  <c r="J2893" i="4"/>
  <c r="J2897" i="4"/>
  <c r="J2899" i="4"/>
  <c r="J2906" i="4"/>
  <c r="J2908" i="4"/>
  <c r="J2920" i="4"/>
  <c r="Q766" i="1"/>
  <c r="Q768" i="1"/>
  <c r="Q767" i="1"/>
  <c r="Q772" i="1"/>
  <c r="Q776" i="1"/>
  <c r="I2919" i="4"/>
  <c r="J2921" i="4"/>
  <c r="Q771" i="1"/>
  <c r="Q769" i="1"/>
  <c r="J2905" i="4"/>
  <c r="I2907" i="4"/>
  <c r="J2909" i="4"/>
  <c r="I2904" i="4"/>
  <c r="J2890" i="4"/>
  <c r="I2892" i="4"/>
  <c r="J2894" i="4"/>
  <c r="J2888" i="4"/>
  <c r="J2896" i="4"/>
  <c r="I2898" i="4"/>
  <c r="J2900" i="4"/>
  <c r="I2887" i="4"/>
  <c r="I2895" i="4"/>
  <c r="D2099" i="4"/>
  <c r="K2176" i="4"/>
  <c r="K2172" i="4"/>
  <c r="K2159" i="4"/>
  <c r="J2156" i="4"/>
  <c r="K2154" i="4"/>
  <c r="K2152" i="4"/>
  <c r="I2152" i="4" l="1"/>
  <c r="I2172" i="4"/>
  <c r="J766" i="1"/>
  <c r="N766" i="1" s="1"/>
  <c r="I2154" i="4"/>
  <c r="I2159" i="4"/>
  <c r="I2176" i="4"/>
  <c r="J768" i="1"/>
  <c r="J769" i="1"/>
  <c r="J771" i="1"/>
  <c r="J772" i="1"/>
  <c r="N772" i="1" s="1"/>
  <c r="J2919" i="4"/>
  <c r="J767" i="1"/>
  <c r="P771" i="1"/>
  <c r="N771" i="1"/>
  <c r="P766" i="1"/>
  <c r="J776" i="1"/>
  <c r="J2907" i="4"/>
  <c r="J2904" i="4"/>
  <c r="J2895" i="4"/>
  <c r="J2892" i="4"/>
  <c r="J2898" i="4"/>
  <c r="J2887" i="4"/>
  <c r="K2151" i="4"/>
  <c r="I2151" i="4"/>
  <c r="J2152" i="4"/>
  <c r="P772" i="1" l="1"/>
  <c r="J2176" i="4"/>
  <c r="J2159" i="4"/>
  <c r="J2172" i="4"/>
  <c r="N767" i="1"/>
  <c r="P767" i="1"/>
  <c r="N776" i="1"/>
  <c r="P776" i="1"/>
  <c r="J570" i="1"/>
  <c r="Q570" i="1"/>
  <c r="J2151" i="4"/>
  <c r="N570" i="1" l="1"/>
  <c r="P570" i="1"/>
  <c r="I2138" i="4"/>
  <c r="J2134" i="4"/>
  <c r="I2135" i="4"/>
  <c r="J2129" i="4"/>
  <c r="K2127" i="4"/>
  <c r="K2122" i="4"/>
  <c r="I2120" i="4"/>
  <c r="K2117" i="4"/>
  <c r="I2133" i="4" l="1"/>
  <c r="K2121" i="4"/>
  <c r="I2122" i="4"/>
  <c r="J2122" i="4" l="1"/>
  <c r="Q560" i="1"/>
  <c r="I2121" i="4"/>
  <c r="J2121" i="4"/>
  <c r="J560" i="1" l="1"/>
  <c r="N560" i="1" s="1"/>
  <c r="P560" i="1"/>
  <c r="K2115" i="4" l="1"/>
  <c r="K2114" i="4"/>
  <c r="J2104" i="4"/>
  <c r="D975" i="4"/>
  <c r="I991" i="4"/>
  <c r="J983" i="4"/>
  <c r="I985" i="4" l="1"/>
  <c r="I984" i="4"/>
  <c r="I982" i="4"/>
  <c r="J1177" i="4" l="1"/>
  <c r="I1178" i="4" l="1"/>
  <c r="I1200" i="4"/>
  <c r="J2214" i="4" l="1"/>
  <c r="J2207" i="4"/>
  <c r="D2392" i="4"/>
  <c r="J1412" i="4"/>
  <c r="K348" i="4"/>
  <c r="J348" i="4"/>
  <c r="K345" i="4"/>
  <c r="J345" i="4"/>
  <c r="K326" i="4"/>
  <c r="J326" i="4"/>
  <c r="I302" i="4"/>
  <c r="J302" i="4" l="1"/>
  <c r="J2509" i="4"/>
  <c r="I2508" i="4"/>
  <c r="K2507" i="4"/>
  <c r="I2507" i="4"/>
  <c r="J2496" i="4"/>
  <c r="I2495" i="4"/>
  <c r="K2494" i="4"/>
  <c r="I2494" i="4"/>
  <c r="K2448" i="4"/>
  <c r="J2450" i="4"/>
  <c r="I2449" i="4"/>
  <c r="K2409" i="4"/>
  <c r="J2411" i="4"/>
  <c r="I2410" i="4"/>
  <c r="I2404" i="4"/>
  <c r="O330" i="1"/>
  <c r="M330" i="1"/>
  <c r="L330" i="1"/>
  <c r="K330" i="1"/>
  <c r="I330" i="1"/>
  <c r="H330" i="1"/>
  <c r="G330" i="1"/>
  <c r="K1399" i="4"/>
  <c r="I1399" i="4"/>
  <c r="K1387" i="4"/>
  <c r="I1387" i="4"/>
  <c r="J1366" i="4"/>
  <c r="I1365" i="4"/>
  <c r="I1361" i="4"/>
  <c r="K1350" i="4"/>
  <c r="K1352" i="4"/>
  <c r="I1358" i="4"/>
  <c r="I1356" i="4"/>
  <c r="I1354" i="4"/>
  <c r="I1352" i="4"/>
  <c r="I1350" i="4"/>
  <c r="J1350" i="4" l="1"/>
  <c r="J1352" i="4"/>
  <c r="J667" i="1"/>
  <c r="N667" i="1" s="1"/>
  <c r="Q670" i="1"/>
  <c r="I2409" i="4"/>
  <c r="J2449" i="4"/>
  <c r="J670" i="1"/>
  <c r="J2495" i="4"/>
  <c r="Q667" i="1"/>
  <c r="J2508" i="4"/>
  <c r="I2448" i="4"/>
  <c r="J2410" i="4"/>
  <c r="J1365" i="4"/>
  <c r="I1338" i="4"/>
  <c r="I1337" i="4"/>
  <c r="J1339" i="4"/>
  <c r="I1334" i="4"/>
  <c r="I1331" i="4"/>
  <c r="J1332" i="4"/>
  <c r="I1327" i="4"/>
  <c r="J1328" i="4"/>
  <c r="I1323" i="4"/>
  <c r="J1324" i="4"/>
  <c r="K1306" i="4"/>
  <c r="K1297" i="4"/>
  <c r="I1297" i="4"/>
  <c r="K1288" i="4"/>
  <c r="I1288" i="4"/>
  <c r="K1287" i="4"/>
  <c r="I1287" i="4"/>
  <c r="K1286" i="4"/>
  <c r="I1286" i="4"/>
  <c r="I1277" i="4"/>
  <c r="J1278" i="4"/>
  <c r="I1260" i="4"/>
  <c r="K1239" i="4"/>
  <c r="J1239" i="4"/>
  <c r="K1237" i="4"/>
  <c r="I1237" i="4"/>
  <c r="K1236" i="4"/>
  <c r="I1236" i="4"/>
  <c r="K1227" i="4"/>
  <c r="I1227" i="4"/>
  <c r="I1225" i="4"/>
  <c r="I1224" i="4"/>
  <c r="I233" i="4"/>
  <c r="K1385" i="4"/>
  <c r="J1385" i="4"/>
  <c r="K1384" i="4"/>
  <c r="J1384" i="4"/>
  <c r="K1383" i="4"/>
  <c r="J1383" i="4"/>
  <c r="A1381" i="4"/>
  <c r="I230" i="4"/>
  <c r="I228" i="4"/>
  <c r="I226" i="4"/>
  <c r="I224" i="4"/>
  <c r="I222" i="4"/>
  <c r="N670" i="1" l="1"/>
  <c r="P667" i="1"/>
  <c r="P670" i="1"/>
  <c r="J1334" i="4"/>
  <c r="J2448" i="4"/>
  <c r="J1277" i="4"/>
  <c r="I1321" i="4"/>
  <c r="I1329" i="4"/>
  <c r="J226" i="4"/>
  <c r="J1323" i="4"/>
  <c r="J2494" i="4"/>
  <c r="J2507" i="4"/>
  <c r="J2409" i="4"/>
  <c r="I1325" i="4"/>
  <c r="J1327" i="4"/>
  <c r="J1338" i="4"/>
  <c r="J1331" i="4"/>
  <c r="I1336" i="4"/>
  <c r="I1275" i="4"/>
  <c r="Q349" i="1"/>
  <c r="J349" i="1"/>
  <c r="P349" i="1" s="1"/>
  <c r="J1288" i="4"/>
  <c r="Q337" i="1"/>
  <c r="J337" i="1"/>
  <c r="P337" i="1" s="1"/>
  <c r="J1237" i="4"/>
  <c r="K1381" i="4"/>
  <c r="I1381" i="4"/>
  <c r="J370" i="1" l="1"/>
  <c r="Q370" i="1"/>
  <c r="J1287" i="4"/>
  <c r="N349" i="1"/>
  <c r="J1236" i="4"/>
  <c r="N337" i="1"/>
  <c r="J1381" i="4"/>
  <c r="N370" i="1" l="1"/>
  <c r="P370" i="1"/>
  <c r="K1359" i="4"/>
  <c r="J1359" i="4"/>
  <c r="K1358" i="4"/>
  <c r="J1358" i="4"/>
  <c r="K1357" i="4"/>
  <c r="J1357" i="4"/>
  <c r="K1356" i="4"/>
  <c r="J1356" i="4"/>
  <c r="K1355" i="4"/>
  <c r="J1355" i="4"/>
  <c r="K1354" i="4"/>
  <c r="J1354" i="4"/>
  <c r="K1353" i="4"/>
  <c r="J1353" i="4"/>
  <c r="K1351" i="4"/>
  <c r="J1351" i="4"/>
  <c r="K217" i="4"/>
  <c r="J217" i="4"/>
  <c r="I214" i="4"/>
  <c r="J213" i="4"/>
  <c r="K213" i="4"/>
  <c r="K212" i="4" l="1"/>
  <c r="I212" i="4"/>
  <c r="I1349" i="4"/>
  <c r="K1349" i="4"/>
  <c r="J214" i="4"/>
  <c r="Q365" i="1" l="1"/>
  <c r="J365" i="1"/>
  <c r="J212" i="4"/>
  <c r="J1349" i="4"/>
  <c r="N365" i="1" l="1"/>
  <c r="P365" i="1"/>
  <c r="J1306" i="4"/>
  <c r="K1305" i="4"/>
  <c r="J1305" i="4"/>
  <c r="I1304" i="4"/>
  <c r="K181" i="4"/>
  <c r="J183" i="4"/>
  <c r="I182" i="4"/>
  <c r="I179" i="4"/>
  <c r="I156" i="4"/>
  <c r="I153" i="4"/>
  <c r="J76" i="4"/>
  <c r="K70" i="4"/>
  <c r="J182" i="4" l="1"/>
  <c r="J355" i="1"/>
  <c r="K1304" i="4"/>
  <c r="I181" i="4"/>
  <c r="J181" i="4" l="1"/>
  <c r="Q355" i="1"/>
  <c r="N355" i="1"/>
  <c r="P355" i="1"/>
  <c r="J1304" i="4"/>
  <c r="O590" i="1" l="1"/>
  <c r="M590" i="1"/>
  <c r="L590" i="1"/>
  <c r="K590" i="1"/>
  <c r="I590" i="1"/>
  <c r="H590" i="1"/>
  <c r="G590" i="1"/>
  <c r="D2205" i="4"/>
  <c r="A2211" i="4"/>
  <c r="J2215" i="4"/>
  <c r="J2213" i="4"/>
  <c r="J2212" i="4"/>
  <c r="K2211" i="4"/>
  <c r="I2211" i="4"/>
  <c r="J2209" i="4"/>
  <c r="K2206" i="4"/>
  <c r="I2206" i="4"/>
  <c r="J592" i="1" l="1"/>
  <c r="Q591" i="1"/>
  <c r="Q592" i="1"/>
  <c r="I2205" i="4"/>
  <c r="N592" i="1"/>
  <c r="P592" i="1"/>
  <c r="J591" i="1"/>
  <c r="J2211" i="4"/>
  <c r="J2208" i="4"/>
  <c r="J2210" i="4"/>
  <c r="J590" i="1" l="1"/>
  <c r="N591" i="1"/>
  <c r="P591" i="1"/>
  <c r="J2206" i="4"/>
  <c r="N590" i="1" l="1"/>
  <c r="J1057" i="4"/>
  <c r="J1050" i="4" l="1"/>
  <c r="I2930" i="4"/>
  <c r="I2929" i="4"/>
  <c r="K2928" i="4"/>
  <c r="O583" i="1"/>
  <c r="M583" i="1"/>
  <c r="L583" i="1"/>
  <c r="K583" i="1"/>
  <c r="I583" i="1"/>
  <c r="H583" i="1"/>
  <c r="G583" i="1"/>
  <c r="A585" i="1"/>
  <c r="A586" i="1" s="1"/>
  <c r="D2183" i="4"/>
  <c r="K2193" i="4"/>
  <c r="A2187" i="4"/>
  <c r="A2192" i="4" s="1"/>
  <c r="I2186" i="4"/>
  <c r="I2185" i="4"/>
  <c r="K2184" i="4"/>
  <c r="J1043" i="4"/>
  <c r="J1040" i="4"/>
  <c r="Q779" i="1" l="1"/>
  <c r="J2929" i="4"/>
  <c r="I2193" i="4"/>
  <c r="Q584" i="1"/>
  <c r="J2185" i="4"/>
  <c r="K2192" i="4"/>
  <c r="I2184" i="4"/>
  <c r="J2186" i="4"/>
  <c r="I2928" i="4"/>
  <c r="J779" i="1" s="1"/>
  <c r="N779" i="1" s="1"/>
  <c r="J2930" i="4"/>
  <c r="J584" i="1"/>
  <c r="J2193" i="4"/>
  <c r="J962" i="4"/>
  <c r="D2868" i="4"/>
  <c r="I2066" i="4"/>
  <c r="K2065" i="4"/>
  <c r="I2063" i="4"/>
  <c r="K2062" i="4"/>
  <c r="O672" i="1"/>
  <c r="M672" i="1"/>
  <c r="L672" i="1"/>
  <c r="K672" i="1"/>
  <c r="I672" i="1"/>
  <c r="H672" i="1"/>
  <c r="G672" i="1"/>
  <c r="D2515" i="4"/>
  <c r="K2594" i="4"/>
  <c r="J2594" i="4"/>
  <c r="K2593" i="4"/>
  <c r="J2593" i="4"/>
  <c r="K2592" i="4"/>
  <c r="J2592" i="4"/>
  <c r="K2591" i="4"/>
  <c r="J2591" i="4"/>
  <c r="K2590" i="4"/>
  <c r="J2590" i="4"/>
  <c r="K2589" i="4"/>
  <c r="J2589" i="4"/>
  <c r="K2588" i="4"/>
  <c r="J2588" i="4"/>
  <c r="K2587" i="4"/>
  <c r="J2587" i="4"/>
  <c r="K2586" i="4"/>
  <c r="J2586" i="4"/>
  <c r="K2585" i="4"/>
  <c r="J2585" i="4"/>
  <c r="K2584" i="4"/>
  <c r="J2584" i="4"/>
  <c r="K2583" i="4"/>
  <c r="J2583" i="4"/>
  <c r="K2582" i="4"/>
  <c r="J2582" i="4"/>
  <c r="K2581" i="4"/>
  <c r="J2581" i="4"/>
  <c r="I2580" i="4"/>
  <c r="K2579" i="4"/>
  <c r="J2579" i="4"/>
  <c r="K2578" i="4"/>
  <c r="J2578" i="4"/>
  <c r="K2577" i="4"/>
  <c r="J2577" i="4"/>
  <c r="K2576" i="4"/>
  <c r="J2576" i="4"/>
  <c r="K2575" i="4"/>
  <c r="I2575" i="4"/>
  <c r="O377" i="1"/>
  <c r="M377" i="1"/>
  <c r="L377" i="1"/>
  <c r="K377" i="1"/>
  <c r="I377" i="1"/>
  <c r="H377" i="1"/>
  <c r="G377" i="1"/>
  <c r="J392" i="1"/>
  <c r="D1410" i="4"/>
  <c r="K1495" i="4"/>
  <c r="I1495" i="4"/>
  <c r="K1494" i="4"/>
  <c r="I1494" i="4"/>
  <c r="K1493" i="4"/>
  <c r="I1493" i="4"/>
  <c r="K1492" i="4"/>
  <c r="I1492" i="4"/>
  <c r="K1491" i="4"/>
  <c r="I1491" i="4"/>
  <c r="K1490" i="4"/>
  <c r="I1490" i="4"/>
  <c r="K1489" i="4"/>
  <c r="I1489" i="4"/>
  <c r="K1487" i="4"/>
  <c r="J1487" i="4"/>
  <c r="K1486" i="4"/>
  <c r="J1486" i="4"/>
  <c r="K1485" i="4"/>
  <c r="J1485" i="4"/>
  <c r="K1484" i="4"/>
  <c r="J1484" i="4"/>
  <c r="K1483" i="4"/>
  <c r="J1483" i="4"/>
  <c r="K1482" i="4"/>
  <c r="J1482" i="4"/>
  <c r="I1481" i="4"/>
  <c r="K1480" i="4"/>
  <c r="I1480" i="4"/>
  <c r="K1479" i="4"/>
  <c r="I1479" i="4"/>
  <c r="J1438" i="4"/>
  <c r="I1447" i="4"/>
  <c r="I1419" i="4"/>
  <c r="I1417" i="4"/>
  <c r="I1415" i="4"/>
  <c r="I1413" i="4"/>
  <c r="K329" i="4"/>
  <c r="J329" i="4"/>
  <c r="J339" i="4"/>
  <c r="K339" i="4"/>
  <c r="K342" i="4"/>
  <c r="J342" i="4"/>
  <c r="D262" i="4"/>
  <c r="K310" i="4"/>
  <c r="I310" i="4"/>
  <c r="K309" i="4"/>
  <c r="I309" i="4"/>
  <c r="K308" i="4"/>
  <c r="I308" i="4"/>
  <c r="J1492" i="4" l="1"/>
  <c r="J1494" i="4"/>
  <c r="J393" i="1"/>
  <c r="N393" i="1" s="1"/>
  <c r="J683" i="1"/>
  <c r="P683" i="1" s="1"/>
  <c r="J2066" i="4"/>
  <c r="K2580" i="4"/>
  <c r="I2192" i="4"/>
  <c r="J2184" i="4"/>
  <c r="J2192" i="4"/>
  <c r="Q586" i="1"/>
  <c r="J2575" i="4"/>
  <c r="J2580" i="4"/>
  <c r="J1481" i="4"/>
  <c r="J1479" i="4"/>
  <c r="J1489" i="4"/>
  <c r="K1481" i="4"/>
  <c r="J1493" i="4"/>
  <c r="J2928" i="4"/>
  <c r="P779" i="1"/>
  <c r="P584" i="1"/>
  <c r="N584" i="1"/>
  <c r="K1488" i="4"/>
  <c r="K1478" i="4"/>
  <c r="I307" i="4"/>
  <c r="J1490" i="4"/>
  <c r="I1488" i="4"/>
  <c r="J1491" i="4"/>
  <c r="I2064" i="4"/>
  <c r="J2063" i="4"/>
  <c r="J1480" i="4"/>
  <c r="I1478" i="4"/>
  <c r="J1495" i="4"/>
  <c r="I2067" i="4"/>
  <c r="K307" i="4"/>
  <c r="J682" i="1"/>
  <c r="Q682" i="1"/>
  <c r="N392" i="1"/>
  <c r="P393" i="1"/>
  <c r="P392" i="1"/>
  <c r="J308" i="4"/>
  <c r="J309" i="4"/>
  <c r="J310" i="4"/>
  <c r="N683" i="1" l="1"/>
  <c r="J586" i="1"/>
  <c r="P586" i="1" s="1"/>
  <c r="I2062" i="4"/>
  <c r="J79" i="1"/>
  <c r="N79" i="1" s="1"/>
  <c r="Q394" i="1"/>
  <c r="Q393" i="1"/>
  <c r="Q683" i="1"/>
  <c r="N586" i="1"/>
  <c r="J1488" i="4"/>
  <c r="Q392" i="1"/>
  <c r="J394" i="1"/>
  <c r="J1478" i="4"/>
  <c r="J2067" i="4"/>
  <c r="J2064" i="4"/>
  <c r="I2065" i="4"/>
  <c r="Q79" i="1"/>
  <c r="P682" i="1"/>
  <c r="N682" i="1"/>
  <c r="J307" i="4"/>
  <c r="P79" i="1" l="1"/>
  <c r="P394" i="1"/>
  <c r="N394" i="1"/>
  <c r="J2062" i="4"/>
  <c r="J2065" i="4"/>
  <c r="K2479" i="4" l="1"/>
  <c r="J2479" i="4"/>
  <c r="K2478" i="4"/>
  <c r="J2478" i="4"/>
  <c r="K2477" i="4"/>
  <c r="J2477" i="4"/>
  <c r="K2476" i="4"/>
  <c r="J2476" i="4"/>
  <c r="K2475" i="4"/>
  <c r="J2475" i="4"/>
  <c r="K2474" i="4"/>
  <c r="J2474" i="4"/>
  <c r="I2473" i="4"/>
  <c r="K2472" i="4"/>
  <c r="J2472" i="4"/>
  <c r="K2471" i="4"/>
  <c r="J2471" i="4"/>
  <c r="K2470" i="4"/>
  <c r="J2470" i="4"/>
  <c r="K2469" i="4"/>
  <c r="J2469" i="4"/>
  <c r="K2468" i="4"/>
  <c r="J2468" i="4"/>
  <c r="K2467" i="4"/>
  <c r="J2467" i="4"/>
  <c r="I2466" i="4"/>
  <c r="K2425" i="4"/>
  <c r="J2425" i="4"/>
  <c r="K2424" i="4"/>
  <c r="J2424" i="4"/>
  <c r="K2423" i="4"/>
  <c r="J2423" i="4"/>
  <c r="K2422" i="4"/>
  <c r="J2422" i="4"/>
  <c r="K2421" i="4"/>
  <c r="J2421" i="4"/>
  <c r="K2420" i="4"/>
  <c r="J2420" i="4"/>
  <c r="K2419" i="4"/>
  <c r="J2419" i="4"/>
  <c r="K2418" i="4"/>
  <c r="J2418" i="4"/>
  <c r="K2417" i="4"/>
  <c r="J2417" i="4"/>
  <c r="K2416" i="4"/>
  <c r="J2416" i="4"/>
  <c r="I2415" i="4"/>
  <c r="K2414" i="4"/>
  <c r="J2414" i="4"/>
  <c r="K2413" i="4"/>
  <c r="J2413" i="4"/>
  <c r="I2412" i="4"/>
  <c r="J663" i="1" l="1"/>
  <c r="N663" i="1" s="1"/>
  <c r="K2412" i="4"/>
  <c r="J2415" i="4"/>
  <c r="K2415" i="4"/>
  <c r="K2473" i="4"/>
  <c r="K2466" i="4"/>
  <c r="J650" i="1"/>
  <c r="J2466" i="4"/>
  <c r="J664" i="1"/>
  <c r="J2473" i="4"/>
  <c r="J651" i="1"/>
  <c r="P651" i="1" s="1"/>
  <c r="J2412" i="4"/>
  <c r="K1320" i="4"/>
  <c r="J1320" i="4"/>
  <c r="K1319" i="4"/>
  <c r="J1319" i="4"/>
  <c r="K1318" i="4"/>
  <c r="J1318" i="4"/>
  <c r="K1317" i="4"/>
  <c r="J1317" i="4"/>
  <c r="K1316" i="4"/>
  <c r="J1316" i="4"/>
  <c r="K1315" i="4"/>
  <c r="J1315" i="4"/>
  <c r="K1314" i="4"/>
  <c r="J1314" i="4"/>
  <c r="I1313" i="4"/>
  <c r="K1312" i="4"/>
  <c r="I1312" i="4"/>
  <c r="K1311" i="4"/>
  <c r="I1311" i="4"/>
  <c r="K1310" i="4"/>
  <c r="I1310" i="4"/>
  <c r="K1348" i="4"/>
  <c r="J1348" i="4"/>
  <c r="K1347" i="4"/>
  <c r="J1347" i="4"/>
  <c r="K1346" i="4"/>
  <c r="J1346" i="4"/>
  <c r="K1345" i="4"/>
  <c r="J1345" i="4"/>
  <c r="K1344" i="4"/>
  <c r="J1344" i="4"/>
  <c r="K1343" i="4"/>
  <c r="J1343" i="4"/>
  <c r="K1342" i="4"/>
  <c r="J1342" i="4"/>
  <c r="K1341" i="4"/>
  <c r="J1341" i="4"/>
  <c r="I1340" i="4"/>
  <c r="K1260" i="4"/>
  <c r="K1265" i="4"/>
  <c r="I1266" i="4"/>
  <c r="K1267" i="4"/>
  <c r="I1268" i="4"/>
  <c r="K1258" i="4"/>
  <c r="J1258" i="4"/>
  <c r="K1257" i="4"/>
  <c r="J1257" i="4"/>
  <c r="K1256" i="4"/>
  <c r="J1256" i="4"/>
  <c r="K1255" i="4"/>
  <c r="J1255" i="4"/>
  <c r="K1254" i="4"/>
  <c r="J1254" i="4"/>
  <c r="K1253" i="4"/>
  <c r="J1253" i="4"/>
  <c r="K1252" i="4"/>
  <c r="J1252" i="4"/>
  <c r="K1251" i="4"/>
  <c r="J1251" i="4"/>
  <c r="K1250" i="4"/>
  <c r="J1250" i="4"/>
  <c r="K1249" i="4"/>
  <c r="J1249" i="4"/>
  <c r="K1248" i="4"/>
  <c r="J1248" i="4"/>
  <c r="K1247" i="4"/>
  <c r="J1247" i="4"/>
  <c r="K1246" i="4"/>
  <c r="J1246" i="4"/>
  <c r="K1245" i="4"/>
  <c r="J1245" i="4"/>
  <c r="K1244" i="4"/>
  <c r="J1244" i="4"/>
  <c r="I1243" i="4"/>
  <c r="K1242" i="4"/>
  <c r="J1242" i="4"/>
  <c r="I1241" i="4"/>
  <c r="K1240" i="4"/>
  <c r="J1240" i="4"/>
  <c r="I1238" i="4"/>
  <c r="K1224" i="4"/>
  <c r="K1219" i="4"/>
  <c r="I1220" i="4"/>
  <c r="K1221" i="4"/>
  <c r="I1222" i="4"/>
  <c r="K1217" i="4"/>
  <c r="A36" i="1"/>
  <c r="K76" i="4"/>
  <c r="K93" i="4"/>
  <c r="K91" i="4"/>
  <c r="J91" i="4"/>
  <c r="J92" i="4"/>
  <c r="K243" i="4"/>
  <c r="I244" i="4"/>
  <c r="J245" i="4"/>
  <c r="P663" i="1" l="1"/>
  <c r="Q664" i="1"/>
  <c r="I1309" i="4"/>
  <c r="K1309" i="4"/>
  <c r="I1267" i="4"/>
  <c r="J1266" i="4"/>
  <c r="I1265" i="4"/>
  <c r="J338" i="1"/>
  <c r="J339" i="1"/>
  <c r="J340" i="1"/>
  <c r="I243" i="4"/>
  <c r="Q650" i="1"/>
  <c r="Q651" i="1"/>
  <c r="P650" i="1"/>
  <c r="N650" i="1"/>
  <c r="Q663" i="1"/>
  <c r="N651" i="1"/>
  <c r="N664" i="1"/>
  <c r="P664" i="1"/>
  <c r="K1313" i="4"/>
  <c r="J364" i="1"/>
  <c r="J358" i="1"/>
  <c r="K1340" i="4"/>
  <c r="J1222" i="4"/>
  <c r="J1220" i="4"/>
  <c r="J1238" i="4"/>
  <c r="K1238" i="4"/>
  <c r="K1241" i="4"/>
  <c r="J1268" i="4"/>
  <c r="I1217" i="4"/>
  <c r="I1221" i="4"/>
  <c r="I1219" i="4"/>
  <c r="J1241" i="4"/>
  <c r="J1243" i="4"/>
  <c r="J1313" i="4"/>
  <c r="J1340" i="4"/>
  <c r="J1310" i="4"/>
  <c r="J1311" i="4"/>
  <c r="J1312" i="4"/>
  <c r="K1243" i="4"/>
  <c r="N340" i="1" l="1"/>
  <c r="J357" i="1"/>
  <c r="N339" i="1"/>
  <c r="P340" i="1"/>
  <c r="P338" i="1"/>
  <c r="Q357" i="1"/>
  <c r="J1265" i="4"/>
  <c r="J1267" i="4"/>
  <c r="N338" i="1"/>
  <c r="Q358" i="1"/>
  <c r="J1221" i="4"/>
  <c r="P339" i="1"/>
  <c r="J1219" i="4"/>
  <c r="N358" i="1"/>
  <c r="P358" i="1"/>
  <c r="N364" i="1"/>
  <c r="P364" i="1"/>
  <c r="Q340" i="1"/>
  <c r="Q339" i="1"/>
  <c r="Q338" i="1"/>
  <c r="Q364" i="1"/>
  <c r="J1309" i="4"/>
  <c r="N357" i="1" l="1"/>
  <c r="P357" i="1"/>
  <c r="D63" i="4"/>
  <c r="J109" i="4"/>
  <c r="J103" i="4"/>
  <c r="K239" i="4"/>
  <c r="I239" i="4"/>
  <c r="I238" i="4"/>
  <c r="K219" i="4"/>
  <c r="J219" i="4"/>
  <c r="K218" i="4"/>
  <c r="J218" i="4"/>
  <c r="K216" i="4"/>
  <c r="J216" i="4"/>
  <c r="I215" i="4"/>
  <c r="K211" i="4"/>
  <c r="J211" i="4"/>
  <c r="K210" i="4"/>
  <c r="J210" i="4"/>
  <c r="I209" i="4"/>
  <c r="K190" i="4"/>
  <c r="I190" i="4"/>
  <c r="J186" i="4"/>
  <c r="K168" i="4"/>
  <c r="I168" i="4"/>
  <c r="I85" i="4"/>
  <c r="K90" i="4"/>
  <c r="J90" i="4"/>
  <c r="K89" i="4"/>
  <c r="J89" i="4"/>
  <c r="K88" i="4"/>
  <c r="J88" i="4"/>
  <c r="K87" i="4"/>
  <c r="J87" i="4"/>
  <c r="K86" i="4"/>
  <c r="J86" i="4"/>
  <c r="I70" i="4"/>
  <c r="J238" i="4" l="1"/>
  <c r="J70" i="4"/>
  <c r="I69" i="4"/>
  <c r="I167" i="4"/>
  <c r="I189" i="4"/>
  <c r="I237" i="4"/>
  <c r="J35" i="1"/>
  <c r="J60" i="1"/>
  <c r="J58" i="1"/>
  <c r="K69" i="4"/>
  <c r="K209" i="4"/>
  <c r="K215" i="4"/>
  <c r="K237" i="4"/>
  <c r="K167" i="4"/>
  <c r="K189" i="4"/>
  <c r="J209" i="4"/>
  <c r="J215" i="4"/>
  <c r="J239" i="4"/>
  <c r="J190" i="4"/>
  <c r="J168" i="4"/>
  <c r="O756" i="1"/>
  <c r="M756" i="1"/>
  <c r="L756" i="1"/>
  <c r="K756" i="1"/>
  <c r="I756" i="1"/>
  <c r="H756" i="1"/>
  <c r="G756" i="1"/>
  <c r="A758" i="1"/>
  <c r="D2862" i="4"/>
  <c r="K2867" i="4"/>
  <c r="A2866" i="4"/>
  <c r="J937" i="4"/>
  <c r="J64" i="1" l="1"/>
  <c r="J47" i="1"/>
  <c r="J54" i="1"/>
  <c r="K2866" i="4"/>
  <c r="I2867" i="4"/>
  <c r="Q47" i="1"/>
  <c r="Q58" i="1"/>
  <c r="N35" i="1"/>
  <c r="P35" i="1"/>
  <c r="Q54" i="1"/>
  <c r="Q64" i="1"/>
  <c r="Q60" i="1"/>
  <c r="Q35" i="1"/>
  <c r="N58" i="1"/>
  <c r="P58" i="1"/>
  <c r="N60" i="1"/>
  <c r="P60" i="1"/>
  <c r="J189" i="4"/>
  <c r="J167" i="4"/>
  <c r="J237" i="4"/>
  <c r="J69" i="4"/>
  <c r="J2867" i="4" l="1"/>
  <c r="Q758" i="1"/>
  <c r="P47" i="1"/>
  <c r="N54" i="1"/>
  <c r="P64" i="1"/>
  <c r="N64" i="1"/>
  <c r="P54" i="1"/>
  <c r="N47" i="1"/>
  <c r="I2866" i="4"/>
  <c r="J2866" i="4"/>
  <c r="J758" i="1" l="1"/>
  <c r="P758" i="1" l="1"/>
  <c r="N758" i="1"/>
  <c r="D2359" i="4"/>
  <c r="I1192" i="4" l="1"/>
  <c r="I1191" i="4"/>
  <c r="K1190" i="4"/>
  <c r="J1190" i="4"/>
  <c r="I1168" i="4"/>
  <c r="I1167" i="4"/>
  <c r="K1166" i="4"/>
  <c r="J1166" i="4"/>
  <c r="I1165" i="4"/>
  <c r="I1164" i="4"/>
  <c r="K1163" i="4"/>
  <c r="J1163" i="4"/>
  <c r="J24" i="4"/>
  <c r="J1164" i="4" l="1"/>
  <c r="J1167" i="4"/>
  <c r="J1192" i="4"/>
  <c r="K1189" i="4"/>
  <c r="J1191" i="4"/>
  <c r="I1189" i="4"/>
  <c r="K1162" i="4"/>
  <c r="J1165" i="4"/>
  <c r="J1168" i="4"/>
  <c r="I1162" i="4"/>
  <c r="J1189" i="4" l="1"/>
  <c r="J1162" i="4"/>
  <c r="K1883" i="4" l="1"/>
  <c r="Q502" i="1" l="1"/>
  <c r="J1884" i="4"/>
  <c r="J1885" i="4" l="1"/>
  <c r="I1883" i="4"/>
  <c r="J502" i="1" l="1"/>
  <c r="J1883" i="4"/>
  <c r="N502" i="1" l="1"/>
  <c r="P502" i="1"/>
  <c r="J411" i="4"/>
  <c r="J442" i="4"/>
  <c r="O121" i="1" l="1"/>
  <c r="K479" i="4" l="1"/>
  <c r="K171" i="4"/>
  <c r="K150" i="4"/>
  <c r="K2195" i="4" l="1"/>
  <c r="J1085" i="4"/>
  <c r="J751" i="4" l="1"/>
  <c r="J710" i="4"/>
  <c r="J625" i="4"/>
  <c r="J619" i="4"/>
  <c r="J616" i="4"/>
  <c r="J609" i="4"/>
  <c r="J586" i="4"/>
  <c r="J555" i="4"/>
  <c r="J525" i="4"/>
  <c r="J521" i="4"/>
  <c r="J479" i="4"/>
  <c r="J426" i="4"/>
  <c r="J373" i="4"/>
  <c r="J322" i="4"/>
  <c r="J293" i="4"/>
  <c r="J264" i="4"/>
  <c r="J150" i="4" l="1"/>
  <c r="J53" i="4"/>
  <c r="J30" i="4"/>
  <c r="I2684" i="4" l="1"/>
  <c r="I2683" i="4"/>
  <c r="I2682" i="4"/>
  <c r="I2681" i="4"/>
  <c r="I2680" i="4"/>
  <c r="I2685" i="4"/>
  <c r="I2705" i="4"/>
  <c r="I1981" i="4"/>
  <c r="I1980" i="4"/>
  <c r="K1979" i="4"/>
  <c r="I1922" i="4"/>
  <c r="I1921" i="4"/>
  <c r="K1920" i="4"/>
  <c r="I1894" i="4"/>
  <c r="I1893" i="4"/>
  <c r="K1892" i="4"/>
  <c r="I1824" i="4"/>
  <c r="I1823" i="4"/>
  <c r="K1822" i="4"/>
  <c r="I1811" i="4"/>
  <c r="K1810" i="4"/>
  <c r="I1678" i="4"/>
  <c r="K1677" i="4"/>
  <c r="I1626" i="4"/>
  <c r="I1625" i="4"/>
  <c r="I1624" i="4"/>
  <c r="K1623" i="4"/>
  <c r="I1569" i="4"/>
  <c r="I1568" i="4"/>
  <c r="K1567" i="4"/>
  <c r="I1677" i="4" l="1"/>
  <c r="J1625" i="4"/>
  <c r="J2680" i="4"/>
  <c r="J1624" i="4"/>
  <c r="J1568" i="4"/>
  <c r="J1823" i="4"/>
  <c r="J1980" i="4"/>
  <c r="J1921" i="4"/>
  <c r="J1678" i="4"/>
  <c r="Q507" i="1"/>
  <c r="Q478" i="1"/>
  <c r="J1894" i="4"/>
  <c r="Q527" i="1"/>
  <c r="J1981" i="4"/>
  <c r="I1979" i="4"/>
  <c r="Q418" i="1"/>
  <c r="J1569" i="4"/>
  <c r="I1567" i="4"/>
  <c r="Q435" i="1"/>
  <c r="J1626" i="4"/>
  <c r="Q480" i="1"/>
  <c r="J1824" i="4"/>
  <c r="I1822" i="4"/>
  <c r="Q423" i="1"/>
  <c r="Q447" i="1"/>
  <c r="I1812" i="4"/>
  <c r="J1893" i="4"/>
  <c r="Q514" i="1"/>
  <c r="J1922" i="4"/>
  <c r="I1920" i="4"/>
  <c r="I1892" i="4"/>
  <c r="J1811" i="4"/>
  <c r="I1623" i="4"/>
  <c r="J447" i="1" l="1"/>
  <c r="J1567" i="4"/>
  <c r="J1979" i="4"/>
  <c r="J1822" i="4"/>
  <c r="J1623" i="4"/>
  <c r="J1677" i="4"/>
  <c r="J1812" i="4"/>
  <c r="J423" i="1"/>
  <c r="J480" i="1"/>
  <c r="J418" i="1"/>
  <c r="J527" i="1"/>
  <c r="J1892" i="4"/>
  <c r="J435" i="1"/>
  <c r="I1810" i="4"/>
  <c r="J507" i="1"/>
  <c r="J1920" i="4"/>
  <c r="J514" i="1"/>
  <c r="N447" i="1" l="1"/>
  <c r="P447" i="1"/>
  <c r="J1810" i="4"/>
  <c r="P507" i="1"/>
  <c r="N507" i="1"/>
  <c r="J478" i="1"/>
  <c r="N435" i="1"/>
  <c r="P435" i="1"/>
  <c r="N527" i="1"/>
  <c r="P527" i="1"/>
  <c r="N418" i="1"/>
  <c r="P418" i="1"/>
  <c r="N514" i="1"/>
  <c r="P514" i="1"/>
  <c r="N480" i="1"/>
  <c r="P480" i="1"/>
  <c r="N423" i="1"/>
  <c r="P423" i="1"/>
  <c r="P478" i="1" l="1"/>
  <c r="N478" i="1"/>
  <c r="K855" i="4" l="1"/>
  <c r="I855" i="4" l="1"/>
  <c r="K854" i="4"/>
  <c r="J857" i="4"/>
  <c r="Q211" i="1" l="1"/>
  <c r="I854" i="4"/>
  <c r="J855" i="4"/>
  <c r="J211" i="1" l="1"/>
  <c r="J854" i="4"/>
  <c r="O784" i="1"/>
  <c r="M784" i="1"/>
  <c r="L784" i="1"/>
  <c r="K784" i="1"/>
  <c r="I784" i="1"/>
  <c r="H784" i="1"/>
  <c r="G784" i="1"/>
  <c r="A786" i="1"/>
  <c r="I3018" i="4"/>
  <c r="I3017" i="4"/>
  <c r="K3016" i="4"/>
  <c r="I3010" i="4"/>
  <c r="I3009" i="4"/>
  <c r="I3008" i="4"/>
  <c r="I3007" i="4"/>
  <c r="K3006" i="4"/>
  <c r="I3005" i="4"/>
  <c r="I3004" i="4"/>
  <c r="K3003" i="4"/>
  <c r="I3002" i="4"/>
  <c r="I3001" i="4"/>
  <c r="K3000" i="4"/>
  <c r="I2999" i="4"/>
  <c r="I2998" i="4"/>
  <c r="I2997" i="4"/>
  <c r="I2996" i="4"/>
  <c r="I2995" i="4"/>
  <c r="I2994" i="4"/>
  <c r="K2993" i="4"/>
  <c r="I2992" i="4"/>
  <c r="I2991" i="4"/>
  <c r="I2989" i="4"/>
  <c r="I2988" i="4"/>
  <c r="I2987" i="4"/>
  <c r="I2986" i="4"/>
  <c r="I2985" i="4"/>
  <c r="I2984" i="4"/>
  <c r="K2983" i="4"/>
  <c r="I2975" i="4"/>
  <c r="I2974" i="4"/>
  <c r="I2973" i="4"/>
  <c r="I2972" i="4"/>
  <c r="I2971" i="4"/>
  <c r="I2970" i="4"/>
  <c r="K2969" i="4"/>
  <c r="I2968" i="4"/>
  <c r="I2967" i="4"/>
  <c r="I2966" i="4"/>
  <c r="I2965" i="4"/>
  <c r="I2964" i="4"/>
  <c r="I2963" i="4"/>
  <c r="K2962" i="4"/>
  <c r="I2961" i="4"/>
  <c r="I2960" i="4"/>
  <c r="I2959" i="4"/>
  <c r="I2958" i="4"/>
  <c r="I2957" i="4"/>
  <c r="I2956" i="4"/>
  <c r="K2955" i="4"/>
  <c r="I2954" i="4"/>
  <c r="I2953" i="4"/>
  <c r="K2952" i="4"/>
  <c r="I2951" i="4"/>
  <c r="I2950" i="4"/>
  <c r="K2949" i="4"/>
  <c r="A2949" i="4"/>
  <c r="A2952" i="4" s="1"/>
  <c r="A2955" i="4" s="1"/>
  <c r="A2962" i="4" s="1"/>
  <c r="A2969" i="4" s="1"/>
  <c r="A2976" i="4" s="1"/>
  <c r="A2983" i="4" s="1"/>
  <c r="A2990" i="4" s="1"/>
  <c r="A2993" i="4" s="1"/>
  <c r="A3000" i="4" s="1"/>
  <c r="A3003" i="4" s="1"/>
  <c r="A3006" i="4" s="1"/>
  <c r="A3011" i="4" s="1"/>
  <c r="A3016" i="4" s="1"/>
  <c r="I2948" i="4"/>
  <c r="I2947" i="4"/>
  <c r="K2946" i="4"/>
  <c r="O596" i="1"/>
  <c r="M596" i="1"/>
  <c r="L596" i="1"/>
  <c r="K596" i="1"/>
  <c r="I596" i="1"/>
  <c r="H596" i="1"/>
  <c r="G596" i="1"/>
  <c r="K2344" i="4"/>
  <c r="I2347" i="4"/>
  <c r="I2346" i="4"/>
  <c r="I2345" i="4"/>
  <c r="I2343" i="4"/>
  <c r="I2342" i="4"/>
  <c r="K2341" i="4"/>
  <c r="I2339" i="4"/>
  <c r="I2338" i="4"/>
  <c r="I2337" i="4"/>
  <c r="I2336" i="4"/>
  <c r="I2335" i="4"/>
  <c r="I2334" i="4"/>
  <c r="K2333" i="4"/>
  <c r="I2332" i="4"/>
  <c r="I2331" i="4"/>
  <c r="I2330" i="4"/>
  <c r="I2329" i="4"/>
  <c r="I2328" i="4"/>
  <c r="I2327" i="4"/>
  <c r="K2326" i="4"/>
  <c r="P211" i="1" l="1"/>
  <c r="N211" i="1"/>
  <c r="A3019" i="4"/>
  <c r="J2328" i="4"/>
  <c r="J2330" i="4"/>
  <c r="J2332" i="4"/>
  <c r="J2334" i="4"/>
  <c r="J2336" i="4"/>
  <c r="J2948" i="4"/>
  <c r="J3004" i="4"/>
  <c r="J3010" i="4"/>
  <c r="J2345" i="4"/>
  <c r="J2347" i="4"/>
  <c r="J2950" i="4"/>
  <c r="J2954" i="4"/>
  <c r="J2956" i="4"/>
  <c r="J2958" i="4"/>
  <c r="J2960" i="4"/>
  <c r="J2964" i="4"/>
  <c r="J2966" i="4"/>
  <c r="J2968" i="4"/>
  <c r="J2970" i="4"/>
  <c r="J2972" i="4"/>
  <c r="J2974" i="4"/>
  <c r="Q621" i="1"/>
  <c r="Q785" i="1"/>
  <c r="Q786" i="1"/>
  <c r="Q788" i="1"/>
  <c r="Q790" i="1"/>
  <c r="Q793" i="1"/>
  <c r="Q795" i="1"/>
  <c r="Q797" i="1"/>
  <c r="Q800" i="1"/>
  <c r="Q622" i="1"/>
  <c r="Q787" i="1"/>
  <c r="Q789" i="1"/>
  <c r="Q792" i="1"/>
  <c r="Q794" i="1"/>
  <c r="Q796" i="1"/>
  <c r="Q799" i="1"/>
  <c r="J3009" i="4"/>
  <c r="I3016" i="4"/>
  <c r="J3018" i="4"/>
  <c r="J2965" i="4"/>
  <c r="J2997" i="4"/>
  <c r="J2988" i="4"/>
  <c r="J2992" i="4"/>
  <c r="J2994" i="4"/>
  <c r="J2996" i="4"/>
  <c r="J3001" i="4"/>
  <c r="J3005" i="4"/>
  <c r="I3003" i="4"/>
  <c r="J2339" i="4"/>
  <c r="J2953" i="4"/>
  <c r="I2955" i="4"/>
  <c r="J2957" i="4"/>
  <c r="J2984" i="4"/>
  <c r="J2986" i="4"/>
  <c r="J2987" i="4"/>
  <c r="J2998" i="4"/>
  <c r="J3002" i="4"/>
  <c r="J3008" i="4"/>
  <c r="J3017" i="4"/>
  <c r="A787" i="1"/>
  <c r="I2949" i="4"/>
  <c r="J2951" i="4"/>
  <c r="J2961" i="4"/>
  <c r="J2973" i="4"/>
  <c r="I2983" i="4"/>
  <c r="J2985" i="4"/>
  <c r="J2989" i="4"/>
  <c r="J2991" i="4"/>
  <c r="I2993" i="4"/>
  <c r="J2995" i="4"/>
  <c r="J2999" i="4"/>
  <c r="J3007" i="4"/>
  <c r="I2990" i="4"/>
  <c r="I3000" i="4"/>
  <c r="I3006" i="4"/>
  <c r="J2327" i="4"/>
  <c r="J2342" i="4"/>
  <c r="J2343" i="4"/>
  <c r="J2947" i="4"/>
  <c r="J2959" i="4"/>
  <c r="J2963" i="4"/>
  <c r="J2967" i="4"/>
  <c r="I2969" i="4"/>
  <c r="J2971" i="4"/>
  <c r="J2975" i="4"/>
  <c r="I2946" i="4"/>
  <c r="I2952" i="4"/>
  <c r="I2962" i="4"/>
  <c r="J2338" i="4"/>
  <c r="K2340" i="4"/>
  <c r="I2341" i="4"/>
  <c r="J2346" i="4"/>
  <c r="J2331" i="4"/>
  <c r="J2335" i="4"/>
  <c r="I2333" i="4"/>
  <c r="I2344" i="4"/>
  <c r="J2329" i="4"/>
  <c r="J2337" i="4"/>
  <c r="I2326" i="4"/>
  <c r="J3003" i="4" l="1"/>
  <c r="J799" i="1"/>
  <c r="J789" i="1"/>
  <c r="J621" i="1"/>
  <c r="P621" i="1" s="1"/>
  <c r="J787" i="1"/>
  <c r="N787" i="1" s="1"/>
  <c r="J790" i="1"/>
  <c r="J786" i="1"/>
  <c r="N786" i="1" s="1"/>
  <c r="J2946" i="4"/>
  <c r="J2949" i="4"/>
  <c r="J2344" i="4"/>
  <c r="J3016" i="4"/>
  <c r="J2952" i="4"/>
  <c r="J3000" i="4"/>
  <c r="J2993" i="4"/>
  <c r="J2990" i="4"/>
  <c r="J2333" i="4"/>
  <c r="J2955" i="4"/>
  <c r="J3006" i="4"/>
  <c r="J785" i="1"/>
  <c r="J800" i="1"/>
  <c r="J795" i="1"/>
  <c r="J788" i="1"/>
  <c r="J796" i="1"/>
  <c r="J2969" i="4"/>
  <c r="J2962" i="4"/>
  <c r="J797" i="1"/>
  <c r="J793" i="1"/>
  <c r="J794" i="1"/>
  <c r="J2983" i="4"/>
  <c r="J792" i="1"/>
  <c r="A788" i="1"/>
  <c r="J2326" i="4"/>
  <c r="J622" i="1"/>
  <c r="J2341" i="4"/>
  <c r="I2340" i="4"/>
  <c r="P787" i="1" l="1"/>
  <c r="P799" i="1"/>
  <c r="P790" i="1"/>
  <c r="N790" i="1"/>
  <c r="N799" i="1"/>
  <c r="N789" i="1"/>
  <c r="P789" i="1"/>
  <c r="N621" i="1"/>
  <c r="P786" i="1"/>
  <c r="J2340" i="4"/>
  <c r="N794" i="1"/>
  <c r="P794" i="1"/>
  <c r="N797" i="1"/>
  <c r="P797" i="1"/>
  <c r="P795" i="1"/>
  <c r="N795" i="1"/>
  <c r="N792" i="1"/>
  <c r="P792" i="1"/>
  <c r="P793" i="1"/>
  <c r="N793" i="1"/>
  <c r="N796" i="1"/>
  <c r="P796" i="1"/>
  <c r="N788" i="1"/>
  <c r="P788" i="1"/>
  <c r="P800" i="1"/>
  <c r="N800" i="1"/>
  <c r="P785" i="1"/>
  <c r="N785" i="1"/>
  <c r="A789" i="1"/>
  <c r="N622" i="1"/>
  <c r="P622" i="1"/>
  <c r="A790" i="1" l="1"/>
  <c r="A791" i="1" l="1"/>
  <c r="A792" i="1" l="1"/>
  <c r="A793" i="1" l="1"/>
  <c r="A794" i="1" l="1"/>
  <c r="A795" i="1" l="1"/>
  <c r="A796" i="1" l="1"/>
  <c r="A797" i="1" l="1"/>
  <c r="A798" i="1" l="1"/>
  <c r="A799" i="1" l="1"/>
  <c r="K2321" i="4"/>
  <c r="K2247" i="4"/>
  <c r="K2246" i="4"/>
  <c r="K2245" i="4"/>
  <c r="A800" i="1" l="1"/>
  <c r="I2247" i="4"/>
  <c r="I2246" i="4"/>
  <c r="Q620" i="1"/>
  <c r="J2323" i="4"/>
  <c r="J2325" i="4"/>
  <c r="J2322" i="4"/>
  <c r="J2324" i="4"/>
  <c r="I2245" i="4"/>
  <c r="K2244" i="4"/>
  <c r="I2321" i="4"/>
  <c r="J2247" i="4"/>
  <c r="J2246" i="4" l="1"/>
  <c r="I2244" i="4"/>
  <c r="Q602" i="1"/>
  <c r="J2245" i="4"/>
  <c r="J620" i="1"/>
  <c r="J2321" i="4"/>
  <c r="J2244" i="4" l="1"/>
  <c r="J602" i="1"/>
  <c r="I2268" i="4"/>
  <c r="I2267" i="4"/>
  <c r="K2266" i="4"/>
  <c r="I2265" i="4"/>
  <c r="I2264" i="4"/>
  <c r="K2263" i="4"/>
  <c r="I2262" i="4"/>
  <c r="I2261" i="4"/>
  <c r="K2260" i="4"/>
  <c r="I2258" i="4"/>
  <c r="I2257" i="4"/>
  <c r="I2256" i="4"/>
  <c r="I2255" i="4"/>
  <c r="I2254" i="4"/>
  <c r="I2253" i="4"/>
  <c r="K2252" i="4"/>
  <c r="I2294" i="4"/>
  <c r="I2293" i="4"/>
  <c r="I2292" i="4"/>
  <c r="I2291" i="4"/>
  <c r="I2290" i="4"/>
  <c r="I2289" i="4"/>
  <c r="K2288" i="4"/>
  <c r="I2263" i="4" l="1"/>
  <c r="I2260" i="4"/>
  <c r="I2266" i="4"/>
  <c r="Q604" i="1"/>
  <c r="Q610" i="1"/>
  <c r="J2293" i="4"/>
  <c r="J2253" i="4"/>
  <c r="K2259" i="4"/>
  <c r="J2265" i="4"/>
  <c r="J2290" i="4"/>
  <c r="J2292" i="4"/>
  <c r="J2261" i="4"/>
  <c r="J2264" i="4"/>
  <c r="J2267" i="4"/>
  <c r="J2262" i="4"/>
  <c r="J2268" i="4"/>
  <c r="J2289" i="4"/>
  <c r="J2257" i="4"/>
  <c r="J2291" i="4"/>
  <c r="I2252" i="4"/>
  <c r="J2255" i="4"/>
  <c r="J2254" i="4"/>
  <c r="J2256" i="4"/>
  <c r="J2258" i="4"/>
  <c r="I2288" i="4"/>
  <c r="J2294" i="4"/>
  <c r="A288" i="1"/>
  <c r="K1113" i="4"/>
  <c r="K1112" i="4"/>
  <c r="K1111" i="4"/>
  <c r="K1107" i="4"/>
  <c r="K1108" i="4"/>
  <c r="K1109" i="4"/>
  <c r="K1130" i="4"/>
  <c r="K1129" i="4"/>
  <c r="K1128" i="4"/>
  <c r="K1126" i="4"/>
  <c r="K1125" i="4"/>
  <c r="K1124" i="4"/>
  <c r="K1122" i="4"/>
  <c r="K1121" i="4"/>
  <c r="K1105" i="4"/>
  <c r="K1104" i="4"/>
  <c r="K1103" i="4"/>
  <c r="K1091" i="4"/>
  <c r="A1091" i="4"/>
  <c r="A1094" i="4" s="1"/>
  <c r="J2263" i="4" l="1"/>
  <c r="I2259" i="4"/>
  <c r="J2266" i="4"/>
  <c r="J2260" i="4"/>
  <c r="I1103" i="4"/>
  <c r="I1105" i="4"/>
  <c r="I1125" i="4"/>
  <c r="I1130" i="4"/>
  <c r="I1108" i="4"/>
  <c r="I1111" i="4"/>
  <c r="I1113" i="4"/>
  <c r="I1104" i="4"/>
  <c r="I1126" i="4"/>
  <c r="I1129" i="4"/>
  <c r="I1109" i="4"/>
  <c r="I1112" i="4"/>
  <c r="I1091" i="4"/>
  <c r="J610" i="1"/>
  <c r="Q288" i="1"/>
  <c r="A289" i="1"/>
  <c r="J604" i="1"/>
  <c r="K1110" i="4"/>
  <c r="J2288" i="4"/>
  <c r="K1123" i="4"/>
  <c r="K1127" i="4"/>
  <c r="J2252" i="4"/>
  <c r="K1106" i="4"/>
  <c r="I1107" i="4"/>
  <c r="K1102" i="4"/>
  <c r="K1120" i="4"/>
  <c r="J1124" i="4"/>
  <c r="J1121" i="4"/>
  <c r="J1122" i="4"/>
  <c r="J1128" i="4"/>
  <c r="J1093" i="4"/>
  <c r="J1112" i="4" l="1"/>
  <c r="J1105" i="4"/>
  <c r="J1109" i="4"/>
  <c r="J1113" i="4"/>
  <c r="J1108" i="4"/>
  <c r="J1103" i="4"/>
  <c r="I1110" i="4"/>
  <c r="J1111" i="4"/>
  <c r="I1127" i="4"/>
  <c r="J2259" i="4"/>
  <c r="J1130" i="4"/>
  <c r="J1129" i="4"/>
  <c r="I1102" i="4"/>
  <c r="J1125" i="4"/>
  <c r="J1104" i="4"/>
  <c r="J1126" i="4"/>
  <c r="I1123" i="4"/>
  <c r="J288" i="1"/>
  <c r="Q296" i="1"/>
  <c r="Q298" i="1"/>
  <c r="Q293" i="1"/>
  <c r="J1091" i="4"/>
  <c r="Q291" i="1"/>
  <c r="Q297" i="1"/>
  <c r="J296" i="1"/>
  <c r="J1107" i="4"/>
  <c r="I1106" i="4"/>
  <c r="J1120" i="4"/>
  <c r="J293" i="1" l="1"/>
  <c r="J1110" i="4"/>
  <c r="N288" i="1"/>
  <c r="J298" i="1"/>
  <c r="J1123" i="4"/>
  <c r="J297" i="1"/>
  <c r="J291" i="1"/>
  <c r="J1127" i="4"/>
  <c r="J1102" i="4"/>
  <c r="P288" i="1"/>
  <c r="J1106" i="4"/>
  <c r="N296" i="1"/>
  <c r="P296" i="1"/>
  <c r="I2865" i="4"/>
  <c r="I2864" i="4"/>
  <c r="K2863" i="4"/>
  <c r="N293" i="1" l="1"/>
  <c r="N298" i="1"/>
  <c r="P293" i="1"/>
  <c r="P298" i="1"/>
  <c r="P291" i="1"/>
  <c r="N297" i="1"/>
  <c r="P297" i="1"/>
  <c r="N291" i="1"/>
  <c r="Q757" i="1"/>
  <c r="I2863" i="4"/>
  <c r="J2864" i="4"/>
  <c r="J2865" i="4"/>
  <c r="I2862" i="4" l="1"/>
  <c r="J757" i="1"/>
  <c r="J2863" i="4"/>
  <c r="P757" i="1" l="1"/>
  <c r="J756" i="1"/>
  <c r="N757" i="1"/>
  <c r="N756" i="1" l="1"/>
  <c r="D46" i="4"/>
  <c r="K1214" i="4"/>
  <c r="K1213" i="4"/>
  <c r="K1211" i="4"/>
  <c r="D2385" i="4"/>
  <c r="O640" i="1"/>
  <c r="N640" i="1"/>
  <c r="M640" i="1"/>
  <c r="L640" i="1"/>
  <c r="K640" i="1"/>
  <c r="I640" i="1"/>
  <c r="H640" i="1"/>
  <c r="G640" i="1"/>
  <c r="I2388" i="4"/>
  <c r="I2387" i="4"/>
  <c r="K2386" i="4"/>
  <c r="A327" i="1"/>
  <c r="O325" i="1"/>
  <c r="M325" i="1"/>
  <c r="L325" i="1"/>
  <c r="K325" i="1"/>
  <c r="I325" i="1"/>
  <c r="H325" i="1"/>
  <c r="G325" i="1"/>
  <c r="D1203" i="4"/>
  <c r="K1208" i="4"/>
  <c r="A1207" i="4"/>
  <c r="I1206" i="4"/>
  <c r="I1205" i="4"/>
  <c r="K1204" i="4"/>
  <c r="K694" i="4"/>
  <c r="K692" i="4"/>
  <c r="K690" i="4"/>
  <c r="K693" i="4"/>
  <c r="K691" i="4"/>
  <c r="K689" i="4"/>
  <c r="K686" i="4" l="1"/>
  <c r="I1208" i="4"/>
  <c r="J1206" i="4"/>
  <c r="J2387" i="4"/>
  <c r="J1205" i="4"/>
  <c r="Q326" i="1"/>
  <c r="Q641" i="1"/>
  <c r="K1207" i="4"/>
  <c r="K1210" i="4"/>
  <c r="J1211" i="4"/>
  <c r="J1212" i="4"/>
  <c r="I1204" i="4"/>
  <c r="I2386" i="4"/>
  <c r="J2388" i="4"/>
  <c r="J1214" i="4" l="1"/>
  <c r="J1204" i="4"/>
  <c r="J1208" i="4"/>
  <c r="I1207" i="4"/>
  <c r="J326" i="1"/>
  <c r="N326" i="1" s="1"/>
  <c r="J2386" i="4"/>
  <c r="Q327" i="1"/>
  <c r="Q329" i="1"/>
  <c r="J1213" i="4"/>
  <c r="I1210" i="4"/>
  <c r="J641" i="1"/>
  <c r="I2385" i="4"/>
  <c r="I1203" i="4" l="1"/>
  <c r="J1207" i="4"/>
  <c r="J327" i="1"/>
  <c r="N327" i="1" s="1"/>
  <c r="P326" i="1"/>
  <c r="J1210" i="4"/>
  <c r="J329" i="1"/>
  <c r="J640" i="1"/>
  <c r="J325" i="1" l="1"/>
  <c r="P327" i="1"/>
  <c r="N325" i="1"/>
  <c r="N329" i="1"/>
  <c r="P329" i="1"/>
  <c r="K544" i="4" l="1"/>
  <c r="K432" i="4"/>
  <c r="J432" i="4"/>
  <c r="G121" i="1" l="1"/>
  <c r="K843" i="4"/>
  <c r="K888" i="4"/>
  <c r="K822" i="4"/>
  <c r="K798" i="4"/>
  <c r="K754" i="4"/>
  <c r="K551" i="4"/>
  <c r="J551" i="4"/>
  <c r="K550" i="4"/>
  <c r="J550" i="4"/>
  <c r="K549" i="4"/>
  <c r="J549" i="4"/>
  <c r="K548" i="4"/>
  <c r="J548" i="4"/>
  <c r="K547" i="4"/>
  <c r="K546" i="4"/>
  <c r="J546" i="4"/>
  <c r="K545" i="4"/>
  <c r="J545" i="4"/>
  <c r="K543" i="4"/>
  <c r="J543" i="4"/>
  <c r="I542" i="4"/>
  <c r="K556" i="4"/>
  <c r="K555" i="4"/>
  <c r="K554" i="4"/>
  <c r="K553" i="4"/>
  <c r="I798" i="4" l="1"/>
  <c r="I888" i="4"/>
  <c r="J888" i="4" s="1"/>
  <c r="I754" i="4"/>
  <c r="K821" i="4"/>
  <c r="I843" i="4"/>
  <c r="J824" i="4"/>
  <c r="K797" i="4"/>
  <c r="K887" i="4"/>
  <c r="I797" i="4"/>
  <c r="K842" i="4"/>
  <c r="I842" i="4"/>
  <c r="J843" i="4"/>
  <c r="K753" i="4"/>
  <c r="I822" i="4"/>
  <c r="I753" i="4"/>
  <c r="K542" i="4"/>
  <c r="J542" i="4"/>
  <c r="J130" i="1"/>
  <c r="K552" i="4"/>
  <c r="J556" i="4"/>
  <c r="I552" i="4"/>
  <c r="J554" i="4"/>
  <c r="M121" i="1"/>
  <c r="L121" i="1"/>
  <c r="K121" i="1"/>
  <c r="I121" i="1"/>
  <c r="H121" i="1"/>
  <c r="K507" i="4"/>
  <c r="J507" i="4"/>
  <c r="K506" i="4"/>
  <c r="J506" i="4"/>
  <c r="K505" i="4"/>
  <c r="J505" i="4"/>
  <c r="K504" i="4"/>
  <c r="J504" i="4"/>
  <c r="K503" i="4"/>
  <c r="K502" i="4"/>
  <c r="J502" i="4"/>
  <c r="K501" i="4"/>
  <c r="J501" i="4"/>
  <c r="K500" i="4"/>
  <c r="K499" i="4"/>
  <c r="J499" i="4"/>
  <c r="I498" i="4"/>
  <c r="K436" i="4"/>
  <c r="J436" i="4"/>
  <c r="K435" i="4"/>
  <c r="K434" i="4"/>
  <c r="J434" i="4"/>
  <c r="K433" i="4"/>
  <c r="J433" i="4"/>
  <c r="K431" i="4"/>
  <c r="J431" i="4"/>
  <c r="I430" i="4"/>
  <c r="I399" i="4"/>
  <c r="K398" i="4"/>
  <c r="K392" i="4"/>
  <c r="Q200" i="1" l="1"/>
  <c r="J798" i="4"/>
  <c r="I887" i="4"/>
  <c r="J754" i="4"/>
  <c r="P130" i="1"/>
  <c r="I392" i="4"/>
  <c r="K430" i="4"/>
  <c r="I821" i="4"/>
  <c r="J393" i="4"/>
  <c r="Q181" i="1"/>
  <c r="Q207" i="1"/>
  <c r="Q197" i="1"/>
  <c r="Q100" i="1"/>
  <c r="Q131" i="1"/>
  <c r="Q130" i="1"/>
  <c r="Q219" i="1"/>
  <c r="J430" i="4"/>
  <c r="J797" i="4"/>
  <c r="J887" i="4"/>
  <c r="J842" i="4"/>
  <c r="I398" i="4"/>
  <c r="J197" i="1"/>
  <c r="J207" i="1"/>
  <c r="J822" i="4"/>
  <c r="N130" i="1"/>
  <c r="J181" i="1"/>
  <c r="J552" i="4"/>
  <c r="J498" i="4"/>
  <c r="J131" i="1"/>
  <c r="K391" i="4"/>
  <c r="J122" i="1"/>
  <c r="J394" i="4"/>
  <c r="J399" i="4"/>
  <c r="K498" i="4"/>
  <c r="K384" i="4"/>
  <c r="J384" i="4"/>
  <c r="K383" i="4"/>
  <c r="J383" i="4"/>
  <c r="K382" i="4"/>
  <c r="J382" i="4"/>
  <c r="K381" i="4"/>
  <c r="J381" i="4"/>
  <c r="K379" i="4"/>
  <c r="J379" i="4"/>
  <c r="I378" i="4"/>
  <c r="J753" i="4" l="1"/>
  <c r="I391" i="4"/>
  <c r="J219" i="1"/>
  <c r="J392" i="4"/>
  <c r="P207" i="1"/>
  <c r="P181" i="1"/>
  <c r="J200" i="1"/>
  <c r="J100" i="1"/>
  <c r="K378" i="4"/>
  <c r="Q98" i="1"/>
  <c r="Q122" i="1"/>
  <c r="J398" i="4"/>
  <c r="J821" i="4"/>
  <c r="P197" i="1"/>
  <c r="N197" i="1"/>
  <c r="N207" i="1"/>
  <c r="P122" i="1"/>
  <c r="N181" i="1"/>
  <c r="J378" i="4"/>
  <c r="N131" i="1"/>
  <c r="P131" i="1"/>
  <c r="N122" i="1"/>
  <c r="H11" i="1"/>
  <c r="J98" i="1" l="1"/>
  <c r="J391" i="4"/>
  <c r="P219" i="1"/>
  <c r="N219" i="1"/>
  <c r="N200" i="1"/>
  <c r="P200" i="1"/>
  <c r="P100" i="1"/>
  <c r="N100" i="1"/>
  <c r="I2736" i="4"/>
  <c r="I2735" i="4"/>
  <c r="K2734" i="4"/>
  <c r="I1919" i="4"/>
  <c r="I1918" i="4"/>
  <c r="K1917" i="4"/>
  <c r="K841" i="4"/>
  <c r="K774" i="4"/>
  <c r="K684" i="4"/>
  <c r="K685" i="4"/>
  <c r="J685" i="4"/>
  <c r="K683" i="4"/>
  <c r="J683" i="4"/>
  <c r="I682" i="4"/>
  <c r="K642" i="4"/>
  <c r="N98" i="1" l="1"/>
  <c r="P98" i="1"/>
  <c r="I2734" i="4"/>
  <c r="I841" i="4"/>
  <c r="K2733" i="4"/>
  <c r="Q189" i="1"/>
  <c r="Q725" i="1"/>
  <c r="Q156" i="1"/>
  <c r="J1918" i="4"/>
  <c r="Q513" i="1"/>
  <c r="J682" i="4"/>
  <c r="K840" i="4"/>
  <c r="J777" i="4"/>
  <c r="J781" i="4"/>
  <c r="I2733" i="4"/>
  <c r="J2736" i="4"/>
  <c r="J1919" i="4"/>
  <c r="I1917" i="4"/>
  <c r="J2735" i="4"/>
  <c r="K682" i="4"/>
  <c r="J162" i="1"/>
  <c r="I774" i="4"/>
  <c r="J776" i="4"/>
  <c r="J778" i="4"/>
  <c r="J780" i="4"/>
  <c r="J782" i="4"/>
  <c r="J643" i="4"/>
  <c r="J2734" i="4" l="1"/>
  <c r="J841" i="4"/>
  <c r="I840" i="4"/>
  <c r="P162" i="1"/>
  <c r="Q162" i="1"/>
  <c r="Q206" i="1"/>
  <c r="J1917" i="4"/>
  <c r="J644" i="4"/>
  <c r="N162" i="1"/>
  <c r="J725" i="1"/>
  <c r="J513" i="1"/>
  <c r="J189" i="1"/>
  <c r="J774" i="4"/>
  <c r="J2733" i="4" l="1"/>
  <c r="J840" i="4"/>
  <c r="J206" i="1"/>
  <c r="J642" i="4"/>
  <c r="N725" i="1"/>
  <c r="J156" i="1"/>
  <c r="P725" i="1"/>
  <c r="N513" i="1"/>
  <c r="P513" i="1"/>
  <c r="N189" i="1"/>
  <c r="P189" i="1"/>
  <c r="N206" i="1" l="1"/>
  <c r="P206" i="1"/>
  <c r="P156" i="1"/>
  <c r="N156" i="1"/>
  <c r="K1389" i="4"/>
  <c r="K1364" i="4"/>
  <c r="J1362" i="4"/>
  <c r="K1360" i="4"/>
  <c r="K1326" i="4"/>
  <c r="K1322" i="4"/>
  <c r="J1302" i="4" l="1"/>
  <c r="Q366" i="1"/>
  <c r="I1360" i="4"/>
  <c r="J1361" i="4"/>
  <c r="J366" i="1" l="1"/>
  <c r="J1360" i="4"/>
  <c r="K208" i="4"/>
  <c r="J208" i="4"/>
  <c r="K207" i="4"/>
  <c r="J207" i="4"/>
  <c r="K206" i="4"/>
  <c r="I206" i="4"/>
  <c r="K205" i="4"/>
  <c r="J205" i="4"/>
  <c r="K204" i="4"/>
  <c r="J204" i="4"/>
  <c r="K203" i="4"/>
  <c r="I203" i="4"/>
  <c r="K202" i="4"/>
  <c r="J202" i="4"/>
  <c r="K201" i="4"/>
  <c r="J201" i="4"/>
  <c r="K200" i="4"/>
  <c r="I200" i="4"/>
  <c r="K187" i="4"/>
  <c r="I187" i="4"/>
  <c r="N366" i="1" l="1"/>
  <c r="J203" i="4"/>
  <c r="P366" i="1"/>
  <c r="K199" i="4"/>
  <c r="I199" i="4"/>
  <c r="J206" i="4"/>
  <c r="J200" i="4"/>
  <c r="J57" i="1" l="1"/>
  <c r="Q57" i="1"/>
  <c r="J199" i="4"/>
  <c r="N57" i="1" l="1"/>
  <c r="P57" i="1"/>
  <c r="O763" i="1"/>
  <c r="I763" i="1"/>
  <c r="H763" i="1"/>
  <c r="G763" i="1"/>
  <c r="A765" i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I2926" i="4"/>
  <c r="I2925" i="4"/>
  <c r="I2924" i="4"/>
  <c r="I2923" i="4"/>
  <c r="K2922" i="4"/>
  <c r="I2918" i="4"/>
  <c r="I2917" i="4"/>
  <c r="K2916" i="4"/>
  <c r="I2915" i="4"/>
  <c r="I2914" i="4"/>
  <c r="K2913" i="4"/>
  <c r="I2912" i="4"/>
  <c r="I2911" i="4"/>
  <c r="K2910" i="4"/>
  <c r="I2903" i="4"/>
  <c r="I2902" i="4"/>
  <c r="I2886" i="4"/>
  <c r="I2885" i="4"/>
  <c r="K2884" i="4"/>
  <c r="A2884" i="4"/>
  <c r="I2883" i="4"/>
  <c r="I2882" i="4"/>
  <c r="I2881" i="4"/>
  <c r="I2880" i="4"/>
  <c r="K2879" i="4"/>
  <c r="A554" i="1"/>
  <c r="K2182" i="4"/>
  <c r="K2181" i="4"/>
  <c r="I2179" i="4"/>
  <c r="K2177" i="4"/>
  <c r="K2175" i="4"/>
  <c r="K2174" i="4"/>
  <c r="K2170" i="4"/>
  <c r="I2168" i="4"/>
  <c r="K2166" i="4"/>
  <c r="I2165" i="4"/>
  <c r="I2164" i="4"/>
  <c r="K2163" i="4"/>
  <c r="I2162" i="4"/>
  <c r="I2161" i="4"/>
  <c r="K2160" i="4"/>
  <c r="K2158" i="4"/>
  <c r="K2155" i="4"/>
  <c r="K2153" i="4"/>
  <c r="I2150" i="4"/>
  <c r="K2148" i="4"/>
  <c r="I2147" i="4"/>
  <c r="K2145" i="4"/>
  <c r="I2144" i="4"/>
  <c r="K2142" i="4"/>
  <c r="I2141" i="4"/>
  <c r="K2139" i="4"/>
  <c r="K2136" i="4"/>
  <c r="K2133" i="4"/>
  <c r="I2132" i="4"/>
  <c r="I2130" i="4"/>
  <c r="K2128" i="4"/>
  <c r="K2123" i="4"/>
  <c r="K2118" i="4"/>
  <c r="I2117" i="4"/>
  <c r="K2116" i="4"/>
  <c r="I2115" i="4"/>
  <c r="I2114" i="4"/>
  <c r="K2113" i="4"/>
  <c r="K2112" i="4"/>
  <c r="I2110" i="4"/>
  <c r="I2109" i="4"/>
  <c r="I2108" i="4"/>
  <c r="I2107" i="4"/>
  <c r="K2106" i="4"/>
  <c r="K2103" i="4"/>
  <c r="A2103" i="4"/>
  <c r="A2106" i="4" s="1"/>
  <c r="A2111" i="4" s="1"/>
  <c r="A2113" i="4" s="1"/>
  <c r="A2116" i="4" s="1"/>
  <c r="A2118" i="4" s="1"/>
  <c r="K2102" i="4"/>
  <c r="K2101" i="4"/>
  <c r="A2887" i="4" l="1"/>
  <c r="A2892" i="4" s="1"/>
  <c r="A2895" i="4" s="1"/>
  <c r="A2898" i="4" s="1"/>
  <c r="A2901" i="4" s="1"/>
  <c r="I2174" i="4"/>
  <c r="I2182" i="4"/>
  <c r="A2121" i="4"/>
  <c r="A2123" i="4" s="1"/>
  <c r="A2126" i="4" s="1"/>
  <c r="A2128" i="4" s="1"/>
  <c r="A2133" i="4" s="1"/>
  <c r="A2136" i="4" s="1"/>
  <c r="A2139" i="4" s="1"/>
  <c r="A2142" i="4" s="1"/>
  <c r="A2145" i="4" s="1"/>
  <c r="A2148" i="4" s="1"/>
  <c r="I2139" i="4"/>
  <c r="I2170" i="4"/>
  <c r="I2181" i="4"/>
  <c r="I2102" i="4"/>
  <c r="I2101" i="4"/>
  <c r="I2112" i="4"/>
  <c r="I2127" i="4"/>
  <c r="J2105" i="4"/>
  <c r="J2107" i="4"/>
  <c r="J2109" i="4"/>
  <c r="J2114" i="4"/>
  <c r="J2119" i="4"/>
  <c r="J2886" i="4"/>
  <c r="J2124" i="4"/>
  <c r="J2131" i="4"/>
  <c r="J2137" i="4"/>
  <c r="J2143" i="4"/>
  <c r="J2149" i="4"/>
  <c r="J2161" i="4"/>
  <c r="J2167" i="4"/>
  <c r="J2880" i="4"/>
  <c r="J2882" i="4"/>
  <c r="J2902" i="4"/>
  <c r="J2912" i="4"/>
  <c r="J2914" i="4"/>
  <c r="J2918" i="4"/>
  <c r="J2923" i="4"/>
  <c r="J2925" i="4"/>
  <c r="Q554" i="1"/>
  <c r="Q558" i="1"/>
  <c r="Q561" i="1"/>
  <c r="Q563" i="1"/>
  <c r="Q565" i="1"/>
  <c r="Q566" i="1"/>
  <c r="Q568" i="1"/>
  <c r="Q571" i="1"/>
  <c r="Q573" i="1"/>
  <c r="Q575" i="1"/>
  <c r="Q580" i="1"/>
  <c r="Q773" i="1"/>
  <c r="Q775" i="1"/>
  <c r="Q555" i="1"/>
  <c r="Q557" i="1"/>
  <c r="Q559" i="1"/>
  <c r="Q564" i="1"/>
  <c r="Q567" i="1"/>
  <c r="Q569" i="1"/>
  <c r="Q572" i="1"/>
  <c r="Q574" i="1"/>
  <c r="Q576" i="1"/>
  <c r="Q581" i="1"/>
  <c r="Q764" i="1"/>
  <c r="Q765" i="1"/>
  <c r="Q774" i="1"/>
  <c r="Q777" i="1"/>
  <c r="A555" i="1"/>
  <c r="K2169" i="4"/>
  <c r="K2173" i="4"/>
  <c r="K2111" i="4"/>
  <c r="K2126" i="4"/>
  <c r="K2171" i="4"/>
  <c r="K2901" i="4"/>
  <c r="I2922" i="4"/>
  <c r="I2879" i="4"/>
  <c r="J2881" i="4"/>
  <c r="J2917" i="4"/>
  <c r="J2924" i="4"/>
  <c r="I2113" i="4"/>
  <c r="J2115" i="4"/>
  <c r="I2128" i="4"/>
  <c r="J2911" i="4"/>
  <c r="I2913" i="4"/>
  <c r="J2915" i="4"/>
  <c r="I2901" i="4"/>
  <c r="J2164" i="4"/>
  <c r="I2166" i="4"/>
  <c r="J2168" i="4"/>
  <c r="J2883" i="4"/>
  <c r="J2885" i="4"/>
  <c r="J2903" i="4"/>
  <c r="J2926" i="4"/>
  <c r="I2884" i="4"/>
  <c r="I2910" i="4"/>
  <c r="I2916" i="4"/>
  <c r="J2146" i="4"/>
  <c r="I2148" i="4"/>
  <c r="J2150" i="4"/>
  <c r="I2106" i="4"/>
  <c r="J2108" i="4"/>
  <c r="I2123" i="4"/>
  <c r="J2125" i="4"/>
  <c r="J2130" i="4"/>
  <c r="J2132" i="4"/>
  <c r="J2138" i="4"/>
  <c r="I2155" i="4"/>
  <c r="J2157" i="4"/>
  <c r="I2171" i="4"/>
  <c r="K2100" i="4"/>
  <c r="J2110" i="4"/>
  <c r="J2117" i="4"/>
  <c r="I2118" i="4"/>
  <c r="J2120" i="4"/>
  <c r="J2140" i="4"/>
  <c r="I2142" i="4"/>
  <c r="J2144" i="4"/>
  <c r="J2154" i="4"/>
  <c r="I2160" i="4"/>
  <c r="J2162" i="4"/>
  <c r="I2175" i="4"/>
  <c r="J2178" i="4"/>
  <c r="K2180" i="4"/>
  <c r="J2141" i="4"/>
  <c r="J2147" i="4"/>
  <c r="I2145" i="4"/>
  <c r="I2153" i="4"/>
  <c r="I2158" i="4"/>
  <c r="J2165" i="4"/>
  <c r="I2163" i="4"/>
  <c r="J2179" i="4"/>
  <c r="I2177" i="4"/>
  <c r="I2103" i="4"/>
  <c r="I2116" i="4"/>
  <c r="J2135" i="4"/>
  <c r="I2136" i="4"/>
  <c r="I2111" i="4" l="1"/>
  <c r="J2102" i="4"/>
  <c r="I2169" i="4"/>
  <c r="J577" i="1" s="1"/>
  <c r="I2173" i="4"/>
  <c r="J579" i="1" s="1"/>
  <c r="J2181" i="4"/>
  <c r="J2182" i="4"/>
  <c r="J2180" i="4" s="1"/>
  <c r="I2100" i="4"/>
  <c r="J553" i="1" s="1"/>
  <c r="I2878" i="4"/>
  <c r="J2174" i="4"/>
  <c r="J2173" i="4" s="1"/>
  <c r="J2127" i="4"/>
  <c r="J2170" i="4"/>
  <c r="J2169" i="4" s="1"/>
  <c r="I2126" i="4"/>
  <c r="A2904" i="4"/>
  <c r="A2907" i="4" s="1"/>
  <c r="A2910" i="4" s="1"/>
  <c r="A2913" i="4" s="1"/>
  <c r="A2916" i="4" s="1"/>
  <c r="J2101" i="4"/>
  <c r="I2180" i="4"/>
  <c r="J2112" i="4"/>
  <c r="A2151" i="4"/>
  <c r="A2153" i="4" s="1"/>
  <c r="A2155" i="4" s="1"/>
  <c r="A2158" i="4" s="1"/>
  <c r="A2160" i="4" s="1"/>
  <c r="A2163" i="4" s="1"/>
  <c r="A2166" i="4" s="1"/>
  <c r="A2169" i="4" s="1"/>
  <c r="A2171" i="4" s="1"/>
  <c r="A2173" i="4" s="1"/>
  <c r="A2175" i="4" s="1"/>
  <c r="A2177" i="4" s="1"/>
  <c r="A2180" i="4" s="1"/>
  <c r="J777" i="1"/>
  <c r="J764" i="1"/>
  <c r="J2128" i="4"/>
  <c r="J565" i="1"/>
  <c r="J557" i="1"/>
  <c r="Q582" i="1"/>
  <c r="J2160" i="4"/>
  <c r="J2142" i="4"/>
  <c r="J2118" i="4"/>
  <c r="J2116" i="4"/>
  <c r="J2106" i="4"/>
  <c r="J2136" i="4"/>
  <c r="J2123" i="4"/>
  <c r="J2103" i="4"/>
  <c r="J2148" i="4"/>
  <c r="J2884" i="4"/>
  <c r="J2166" i="4"/>
  <c r="J2113" i="4"/>
  <c r="Q578" i="1"/>
  <c r="Q562" i="1"/>
  <c r="Q579" i="1"/>
  <c r="J2177" i="4"/>
  <c r="Q553" i="1"/>
  <c r="J2155" i="4"/>
  <c r="J2901" i="4"/>
  <c r="J2910" i="4"/>
  <c r="J2916" i="4"/>
  <c r="Q770" i="1"/>
  <c r="Q556" i="1"/>
  <c r="Q577" i="1"/>
  <c r="A556" i="1"/>
  <c r="J2163" i="4"/>
  <c r="J2145" i="4"/>
  <c r="J2139" i="4"/>
  <c r="J2133" i="4"/>
  <c r="J2922" i="4"/>
  <c r="J2879" i="4"/>
  <c r="J2153" i="4"/>
  <c r="J576" i="1"/>
  <c r="J556" i="1"/>
  <c r="J773" i="1"/>
  <c r="J563" i="1"/>
  <c r="J775" i="1"/>
  <c r="J765" i="1"/>
  <c r="J2913" i="4"/>
  <c r="J770" i="1"/>
  <c r="J774" i="1"/>
  <c r="J2175" i="4"/>
  <c r="J564" i="1"/>
  <c r="J558" i="1"/>
  <c r="J580" i="1"/>
  <c r="J554" i="1"/>
  <c r="J581" i="1"/>
  <c r="J575" i="1"/>
  <c r="J573" i="1"/>
  <c r="J571" i="1"/>
  <c r="J568" i="1"/>
  <c r="J566" i="1"/>
  <c r="J574" i="1"/>
  <c r="J567" i="1"/>
  <c r="J559" i="1"/>
  <c r="J578" i="1"/>
  <c r="J572" i="1"/>
  <c r="J561" i="1"/>
  <c r="J555" i="1"/>
  <c r="J569" i="1"/>
  <c r="J2158" i="4"/>
  <c r="J2171" i="4"/>
  <c r="J2100" i="4" l="1"/>
  <c r="J582" i="1"/>
  <c r="P582" i="1" s="1"/>
  <c r="A2919" i="4"/>
  <c r="A2922" i="4" s="1"/>
  <c r="J562" i="1"/>
  <c r="J2126" i="4"/>
  <c r="N565" i="1"/>
  <c r="J2111" i="4"/>
  <c r="I2099" i="4"/>
  <c r="P576" i="1"/>
  <c r="P777" i="1"/>
  <c r="N764" i="1"/>
  <c r="P764" i="1"/>
  <c r="N777" i="1"/>
  <c r="P577" i="1"/>
  <c r="P557" i="1"/>
  <c r="P565" i="1"/>
  <c r="N577" i="1"/>
  <c r="A557" i="1"/>
  <c r="N563" i="1"/>
  <c r="P556" i="1"/>
  <c r="P555" i="1"/>
  <c r="P554" i="1"/>
  <c r="P558" i="1"/>
  <c r="P562" i="1"/>
  <c r="N576" i="1"/>
  <c r="P579" i="1"/>
  <c r="N579" i="1"/>
  <c r="N562" i="1"/>
  <c r="N765" i="1"/>
  <c r="P765" i="1"/>
  <c r="J763" i="1"/>
  <c r="N775" i="1"/>
  <c r="P775" i="1"/>
  <c r="N769" i="1"/>
  <c r="P769" i="1"/>
  <c r="N773" i="1"/>
  <c r="P773" i="1"/>
  <c r="P563" i="1"/>
  <c r="N774" i="1"/>
  <c r="P774" i="1"/>
  <c r="N768" i="1"/>
  <c r="P768" i="1"/>
  <c r="N770" i="1"/>
  <c r="P770" i="1"/>
  <c r="N569" i="1"/>
  <c r="P569" i="1"/>
  <c r="N561" i="1"/>
  <c r="P561" i="1"/>
  <c r="N572" i="1"/>
  <c r="P572" i="1"/>
  <c r="N578" i="1"/>
  <c r="P578" i="1"/>
  <c r="N559" i="1"/>
  <c r="P559" i="1"/>
  <c r="N567" i="1"/>
  <c r="P567" i="1"/>
  <c r="N574" i="1"/>
  <c r="P574" i="1"/>
  <c r="P566" i="1"/>
  <c r="N566" i="1"/>
  <c r="N568" i="1"/>
  <c r="P568" i="1"/>
  <c r="P571" i="1"/>
  <c r="N571" i="1"/>
  <c r="N573" i="1"/>
  <c r="P573" i="1"/>
  <c r="P575" i="1"/>
  <c r="N575" i="1"/>
  <c r="P581" i="1"/>
  <c r="N581" i="1"/>
  <c r="N580" i="1"/>
  <c r="P580" i="1"/>
  <c r="P564" i="1"/>
  <c r="N564" i="1"/>
  <c r="N553" i="1"/>
  <c r="P553" i="1"/>
  <c r="N582" i="1" l="1"/>
  <c r="A558" i="1"/>
  <c r="D2052" i="4"/>
  <c r="K2060" i="4"/>
  <c r="I2058" i="4"/>
  <c r="I2057" i="4"/>
  <c r="K2056" i="4"/>
  <c r="A2056" i="4"/>
  <c r="A2059" i="4" s="1"/>
  <c r="I2055" i="4"/>
  <c r="I2054" i="4"/>
  <c r="K2053" i="4"/>
  <c r="A539" i="1"/>
  <c r="K2086" i="4"/>
  <c r="D2080" i="4"/>
  <c r="D2872" i="4"/>
  <c r="I2098" i="4"/>
  <c r="I2097" i="4"/>
  <c r="I2096" i="4"/>
  <c r="I2095" i="4"/>
  <c r="K2094" i="4"/>
  <c r="J2096" i="4" l="1"/>
  <c r="J2098" i="4"/>
  <c r="J2054" i="4"/>
  <c r="J2095" i="4"/>
  <c r="J2097" i="4"/>
  <c r="J2058" i="4"/>
  <c r="Q538" i="1"/>
  <c r="Q539" i="1"/>
  <c r="A559" i="1"/>
  <c r="A540" i="1"/>
  <c r="K2059" i="4"/>
  <c r="I2059" i="4"/>
  <c r="I2053" i="4"/>
  <c r="J2055" i="4"/>
  <c r="J2057" i="4"/>
  <c r="I2056" i="4"/>
  <c r="J2060" i="4"/>
  <c r="I2094" i="4"/>
  <c r="A634" i="1"/>
  <c r="A635" i="1" s="1"/>
  <c r="A636" i="1" s="1"/>
  <c r="A637" i="1" s="1"/>
  <c r="A638" i="1" s="1"/>
  <c r="A639" i="1" s="1"/>
  <c r="K2382" i="4"/>
  <c r="K2379" i="4"/>
  <c r="K2376" i="4"/>
  <c r="A312" i="1"/>
  <c r="K1197" i="4"/>
  <c r="D1156" i="4"/>
  <c r="I1202" i="4"/>
  <c r="I1201" i="4"/>
  <c r="K1198" i="4"/>
  <c r="I1195" i="4"/>
  <c r="I1194" i="4"/>
  <c r="K1193" i="4"/>
  <c r="I1183" i="4"/>
  <c r="I1182" i="4"/>
  <c r="K1181" i="4"/>
  <c r="K1184" i="4"/>
  <c r="K1180" i="4"/>
  <c r="K1175" i="4"/>
  <c r="K1173" i="4"/>
  <c r="A560" i="1" l="1"/>
  <c r="J2094" i="4"/>
  <c r="J1183" i="4"/>
  <c r="J1182" i="4"/>
  <c r="J1194" i="4"/>
  <c r="Q320" i="1"/>
  <c r="Q324" i="1"/>
  <c r="Q637" i="1"/>
  <c r="J2059" i="4"/>
  <c r="J2056" i="4"/>
  <c r="Q319" i="1"/>
  <c r="Q322" i="1"/>
  <c r="Q638" i="1"/>
  <c r="Q639" i="1"/>
  <c r="J2053" i="4"/>
  <c r="Q540" i="1"/>
  <c r="A313" i="1"/>
  <c r="J540" i="1"/>
  <c r="J539" i="1"/>
  <c r="J538" i="1"/>
  <c r="I2052" i="4"/>
  <c r="P540" i="1"/>
  <c r="J1199" i="4"/>
  <c r="I1198" i="4"/>
  <c r="J1201" i="4"/>
  <c r="J1200" i="4"/>
  <c r="J1202" i="4"/>
  <c r="I1193" i="4"/>
  <c r="J1195" i="4"/>
  <c r="J1181" i="4"/>
  <c r="I1181" i="4"/>
  <c r="A561" i="1" l="1"/>
  <c r="A562" i="1" s="1"/>
  <c r="J1193" i="4"/>
  <c r="N540" i="1"/>
  <c r="A314" i="1"/>
  <c r="N538" i="1"/>
  <c r="P538" i="1"/>
  <c r="P539" i="1"/>
  <c r="N539" i="1"/>
  <c r="J319" i="1"/>
  <c r="J322" i="1"/>
  <c r="J324" i="1"/>
  <c r="J1198" i="4"/>
  <c r="A563" i="1" l="1"/>
  <c r="A315" i="1"/>
  <c r="P322" i="1"/>
  <c r="P319" i="1"/>
  <c r="P324" i="1"/>
  <c r="A564" i="1" l="1"/>
  <c r="A316" i="1"/>
  <c r="K1161" i="4"/>
  <c r="O306" i="1"/>
  <c r="M306" i="1"/>
  <c r="L306" i="1"/>
  <c r="K306" i="1"/>
  <c r="I306" i="1"/>
  <c r="H306" i="1"/>
  <c r="G306" i="1"/>
  <c r="A308" i="1"/>
  <c r="D1144" i="4"/>
  <c r="I1155" i="4"/>
  <c r="I1154" i="4"/>
  <c r="I1153" i="4"/>
  <c r="I1152" i="4"/>
  <c r="K1151" i="4"/>
  <c r="I1150" i="4"/>
  <c r="I1149" i="4"/>
  <c r="K1148" i="4"/>
  <c r="A1148" i="4"/>
  <c r="A1151" i="4" s="1"/>
  <c r="J1150" i="4" l="1"/>
  <c r="J1152" i="4"/>
  <c r="J1154" i="4"/>
  <c r="Q308" i="1"/>
  <c r="Q309" i="1"/>
  <c r="A565" i="1"/>
  <c r="A309" i="1"/>
  <c r="A317" i="1"/>
  <c r="J1149" i="4"/>
  <c r="I1151" i="4"/>
  <c r="J1153" i="4"/>
  <c r="J1155" i="4"/>
  <c r="I1148" i="4"/>
  <c r="J1148" i="4" l="1"/>
  <c r="A566" i="1"/>
  <c r="A318" i="1"/>
  <c r="J1151" i="4"/>
  <c r="J309" i="1"/>
  <c r="J308" i="1"/>
  <c r="A567" i="1" l="1"/>
  <c r="A319" i="1"/>
  <c r="N309" i="1"/>
  <c r="P309" i="1"/>
  <c r="N308" i="1"/>
  <c r="P308" i="1"/>
  <c r="A568" i="1" l="1"/>
  <c r="A320" i="1"/>
  <c r="O759" i="1"/>
  <c r="M759" i="1"/>
  <c r="L759" i="1"/>
  <c r="K759" i="1"/>
  <c r="I759" i="1"/>
  <c r="H759" i="1"/>
  <c r="G759" i="1"/>
  <c r="I2871" i="4"/>
  <c r="I2870" i="4"/>
  <c r="K2869" i="4"/>
  <c r="G541" i="1"/>
  <c r="A543" i="1"/>
  <c r="O541" i="1"/>
  <c r="M541" i="1"/>
  <c r="L541" i="1"/>
  <c r="K541" i="1"/>
  <c r="I541" i="1"/>
  <c r="H541" i="1"/>
  <c r="D2061" i="4"/>
  <c r="I2079" i="4"/>
  <c r="I2078" i="4"/>
  <c r="I2077" i="4"/>
  <c r="I2076" i="4"/>
  <c r="K2075" i="4"/>
  <c r="I2074" i="4"/>
  <c r="K2073" i="4"/>
  <c r="I2072" i="4"/>
  <c r="I2071" i="4"/>
  <c r="I2070" i="4"/>
  <c r="I2069" i="4"/>
  <c r="K2068" i="4"/>
  <c r="J543" i="1" l="1"/>
  <c r="J2870" i="4"/>
  <c r="J2070" i="4"/>
  <c r="J2072" i="4"/>
  <c r="J2074" i="4"/>
  <c r="J2076" i="4"/>
  <c r="J2078" i="4"/>
  <c r="Q542" i="1"/>
  <c r="Q545" i="1"/>
  <c r="Q546" i="1"/>
  <c r="Q543" i="1"/>
  <c r="Q544" i="1"/>
  <c r="Q760" i="1"/>
  <c r="A569" i="1"/>
  <c r="A321" i="1"/>
  <c r="J2069" i="4"/>
  <c r="I2075" i="4"/>
  <c r="J2077" i="4"/>
  <c r="I2869" i="4"/>
  <c r="J2871" i="4"/>
  <c r="J2071" i="4"/>
  <c r="I2073" i="4"/>
  <c r="J2079" i="4"/>
  <c r="I2068" i="4"/>
  <c r="A570" i="1" l="1"/>
  <c r="N543" i="1"/>
  <c r="I2868" i="4"/>
  <c r="J2073" i="4"/>
  <c r="P543" i="1"/>
  <c r="J760" i="1"/>
  <c r="J542" i="1"/>
  <c r="J2869" i="4"/>
  <c r="J2075" i="4"/>
  <c r="J2068" i="4"/>
  <c r="A322" i="1"/>
  <c r="J546" i="1"/>
  <c r="J544" i="1"/>
  <c r="J545" i="1"/>
  <c r="I2061" i="4"/>
  <c r="A571" i="1" l="1"/>
  <c r="P760" i="1"/>
  <c r="N760" i="1"/>
  <c r="P542" i="1"/>
  <c r="N542" i="1"/>
  <c r="A572" i="1"/>
  <c r="N546" i="1"/>
  <c r="A323" i="1"/>
  <c r="P546" i="1"/>
  <c r="J759" i="1"/>
  <c r="N545" i="1"/>
  <c r="P545" i="1"/>
  <c r="N544" i="1"/>
  <c r="P544" i="1"/>
  <c r="J541" i="1"/>
  <c r="A573" i="1" l="1"/>
  <c r="N541" i="1"/>
  <c r="N759" i="1"/>
  <c r="A324" i="1"/>
  <c r="A574" i="1" l="1"/>
  <c r="A575" i="1" l="1"/>
  <c r="A576" i="1" l="1"/>
  <c r="A577" i="1" l="1"/>
  <c r="D2931" i="4"/>
  <c r="I2198" i="4"/>
  <c r="I2197" i="4"/>
  <c r="I2199" i="4"/>
  <c r="I2196" i="4"/>
  <c r="A589" i="1"/>
  <c r="D2194" i="4"/>
  <c r="A2200" i="4"/>
  <c r="J2198" i="4" l="1"/>
  <c r="J2197" i="4"/>
  <c r="A578" i="1"/>
  <c r="I2195" i="4"/>
  <c r="O25" i="1"/>
  <c r="M25" i="1"/>
  <c r="L25" i="1"/>
  <c r="K25" i="1"/>
  <c r="I25" i="1"/>
  <c r="H25" i="1"/>
  <c r="G25" i="1"/>
  <c r="D43" i="4"/>
  <c r="K45" i="4"/>
  <c r="O11" i="1"/>
  <c r="M11" i="1"/>
  <c r="L11" i="1"/>
  <c r="K11" i="1"/>
  <c r="I11" i="1"/>
  <c r="G11" i="1"/>
  <c r="D6" i="4"/>
  <c r="I11" i="4"/>
  <c r="I9" i="4"/>
  <c r="K18" i="4"/>
  <c r="K17" i="4"/>
  <c r="K15" i="4"/>
  <c r="I15" i="4" l="1"/>
  <c r="I18" i="4"/>
  <c r="K44" i="4"/>
  <c r="I17" i="4"/>
  <c r="A579" i="1"/>
  <c r="K14" i="4"/>
  <c r="I45" i="4"/>
  <c r="K16" i="4"/>
  <c r="I16" i="4" l="1"/>
  <c r="J18" i="4"/>
  <c r="Q26" i="1"/>
  <c r="J15" i="4"/>
  <c r="J17" i="4"/>
  <c r="I14" i="4"/>
  <c r="I44" i="4"/>
  <c r="J45" i="4"/>
  <c r="Q15" i="1"/>
  <c r="Q14" i="1"/>
  <c r="A580" i="1"/>
  <c r="J15" i="1"/>
  <c r="J14" i="1" l="1"/>
  <c r="J16" i="4"/>
  <c r="J26" i="1"/>
  <c r="P26" i="1" s="1"/>
  <c r="J14" i="4"/>
  <c r="I43" i="4"/>
  <c r="J44" i="4"/>
  <c r="A581" i="1"/>
  <c r="N15" i="1"/>
  <c r="P15" i="1"/>
  <c r="P14" i="1" l="1"/>
  <c r="N14" i="1"/>
  <c r="N26" i="1"/>
  <c r="J25" i="1"/>
  <c r="A582" i="1"/>
  <c r="D1055" i="4"/>
  <c r="O275" i="1"/>
  <c r="M275" i="1"/>
  <c r="L275" i="1"/>
  <c r="K275" i="1"/>
  <c r="I275" i="1"/>
  <c r="H275" i="1"/>
  <c r="G275" i="1"/>
  <c r="G280" i="1"/>
  <c r="H280" i="1"/>
  <c r="I280" i="1"/>
  <c r="K280" i="1"/>
  <c r="L280" i="1"/>
  <c r="M280" i="1"/>
  <c r="O280" i="1"/>
  <c r="A282" i="1"/>
  <c r="K1069" i="4"/>
  <c r="K1068" i="4"/>
  <c r="K1066" i="4"/>
  <c r="K1065" i="4"/>
  <c r="J1063" i="4"/>
  <c r="I1062" i="4"/>
  <c r="J1061" i="4"/>
  <c r="I1060" i="4"/>
  <c r="K1059" i="4"/>
  <c r="N25" i="1" l="1"/>
  <c r="J1060" i="4"/>
  <c r="Q277" i="1"/>
  <c r="A283" i="1"/>
  <c r="K1064" i="4"/>
  <c r="K1067" i="4"/>
  <c r="I1064" i="4"/>
  <c r="I1067" i="4"/>
  <c r="I1059" i="4"/>
  <c r="J1062" i="4"/>
  <c r="J1065" i="4"/>
  <c r="J1066" i="4"/>
  <c r="J1068" i="4"/>
  <c r="J1069" i="4"/>
  <c r="J1059" i="4" l="1"/>
  <c r="Q279" i="1"/>
  <c r="Q278" i="1"/>
  <c r="A284" i="1"/>
  <c r="J279" i="1"/>
  <c r="J278" i="1"/>
  <c r="J277" i="1"/>
  <c r="J1067" i="4"/>
  <c r="J1064" i="4"/>
  <c r="A285" i="1" l="1"/>
  <c r="N277" i="1"/>
  <c r="P277" i="1"/>
  <c r="N279" i="1"/>
  <c r="P279" i="1"/>
  <c r="N278" i="1"/>
  <c r="P278" i="1"/>
  <c r="O271" i="1"/>
  <c r="I271" i="1"/>
  <c r="H271" i="1"/>
  <c r="G271" i="1"/>
  <c r="A273" i="1"/>
  <c r="D1045" i="4"/>
  <c r="A1049" i="4"/>
  <c r="A1052" i="4" s="1"/>
  <c r="K1048" i="4"/>
  <c r="K1047" i="4"/>
  <c r="K1049" i="4"/>
  <c r="I1049" i="4" l="1"/>
  <c r="A274" i="1"/>
  <c r="K1046" i="4"/>
  <c r="I1046" i="4"/>
  <c r="J1051" i="4"/>
  <c r="J1047" i="4"/>
  <c r="J1048" i="4"/>
  <c r="O244" i="1"/>
  <c r="I244" i="1"/>
  <c r="H244" i="1"/>
  <c r="G244" i="1"/>
  <c r="J1049" i="4" l="1"/>
  <c r="Q272" i="1"/>
  <c r="J272" i="1"/>
  <c r="J1046" i="4"/>
  <c r="N272" i="1" l="1"/>
  <c r="P272" i="1"/>
  <c r="A246" i="1"/>
  <c r="A247" i="1" s="1"/>
  <c r="K992" i="4" l="1"/>
  <c r="K1005" i="4"/>
  <c r="K1022" i="4"/>
  <c r="K1017" i="4"/>
  <c r="K1015" i="4"/>
  <c r="K1013" i="4"/>
  <c r="K1011" i="4"/>
  <c r="K1009" i="4"/>
  <c r="K1007" i="4"/>
  <c r="K1003" i="4"/>
  <c r="K999" i="4"/>
  <c r="K1001" i="4"/>
  <c r="K997" i="4"/>
  <c r="K996" i="4"/>
  <c r="K991" i="4"/>
  <c r="K989" i="4"/>
  <c r="K980" i="4"/>
  <c r="K979" i="4"/>
  <c r="A978" i="4"/>
  <c r="K977" i="4"/>
  <c r="A981" i="4" l="1"/>
  <c r="A988" i="4" s="1"/>
  <c r="A990" i="4" s="1"/>
  <c r="A992" i="4" s="1"/>
  <c r="I979" i="4"/>
  <c r="I1015" i="4"/>
  <c r="I1021" i="4"/>
  <c r="I980" i="4"/>
  <c r="I1013" i="4"/>
  <c r="K1021" i="4"/>
  <c r="K1012" i="4"/>
  <c r="K1014" i="4"/>
  <c r="K1016" i="4"/>
  <c r="K1004" i="4"/>
  <c r="K1010" i="4"/>
  <c r="I1010" i="4"/>
  <c r="I1016" i="4"/>
  <c r="K976" i="4"/>
  <c r="K990" i="4"/>
  <c r="K1008" i="4"/>
  <c r="I1008" i="4"/>
  <c r="K1006" i="4"/>
  <c r="J1017" i="4"/>
  <c r="I1006" i="4"/>
  <c r="J1009" i="4"/>
  <c r="J1007" i="4"/>
  <c r="I990" i="4"/>
  <c r="K978" i="4"/>
  <c r="J991" i="4"/>
  <c r="I976" i="4"/>
  <c r="J977" i="4"/>
  <c r="J980" i="4" l="1"/>
  <c r="J1015" i="4"/>
  <c r="I978" i="4"/>
  <c r="J246" i="1" s="1"/>
  <c r="J979" i="4"/>
  <c r="I1014" i="4"/>
  <c r="J1022" i="4"/>
  <c r="J1013" i="4"/>
  <c r="J1005" i="4"/>
  <c r="I1004" i="4"/>
  <c r="I1012" i="4"/>
  <c r="J1011" i="4"/>
  <c r="J263" i="1"/>
  <c r="J245" i="1"/>
  <c r="J256" i="1"/>
  <c r="J257" i="1"/>
  <c r="J249" i="1"/>
  <c r="J990" i="4"/>
  <c r="J1006" i="4"/>
  <c r="J1016" i="4"/>
  <c r="Q256" i="1"/>
  <c r="Q249" i="1"/>
  <c r="Q260" i="1"/>
  <c r="Q263" i="1"/>
  <c r="J976" i="4"/>
  <c r="Q246" i="1"/>
  <c r="J1008" i="4"/>
  <c r="Q257" i="1"/>
  <c r="Q245" i="1"/>
  <c r="Q255" i="1"/>
  <c r="Q261" i="1"/>
  <c r="Q259" i="1"/>
  <c r="A248" i="1"/>
  <c r="J261" i="1"/>
  <c r="J1014" i="4" l="1"/>
  <c r="J260" i="1"/>
  <c r="N260" i="1" s="1"/>
  <c r="J978" i="4"/>
  <c r="J1010" i="4"/>
  <c r="J1012" i="4"/>
  <c r="J255" i="1"/>
  <c r="P255" i="1" s="1"/>
  <c r="J1021" i="4"/>
  <c r="P260" i="1"/>
  <c r="J259" i="1"/>
  <c r="J1004" i="4"/>
  <c r="P263" i="1"/>
  <c r="N257" i="1"/>
  <c r="P245" i="1"/>
  <c r="P249" i="1"/>
  <c r="P246" i="1"/>
  <c r="N263" i="1"/>
  <c r="P257" i="1"/>
  <c r="N249" i="1"/>
  <c r="A249" i="1"/>
  <c r="N261" i="1"/>
  <c r="P261" i="1"/>
  <c r="O237" i="1"/>
  <c r="M237" i="1"/>
  <c r="L237" i="1"/>
  <c r="K237" i="1"/>
  <c r="I237" i="1"/>
  <c r="H237" i="1"/>
  <c r="G237" i="1"/>
  <c r="A239" i="1"/>
  <c r="K959" i="4"/>
  <c r="D957" i="4"/>
  <c r="K974" i="4"/>
  <c r="K973" i="4"/>
  <c r="K971" i="4"/>
  <c r="K970" i="4"/>
  <c r="K961" i="4"/>
  <c r="A961" i="4"/>
  <c r="A964" i="4" s="1"/>
  <c r="O230" i="1"/>
  <c r="M230" i="1"/>
  <c r="L230" i="1"/>
  <c r="K230" i="1"/>
  <c r="I230" i="1"/>
  <c r="H230" i="1"/>
  <c r="G230" i="1"/>
  <c r="A235" i="1"/>
  <c r="D939" i="4"/>
  <c r="A949" i="4"/>
  <c r="A954" i="4" s="1"/>
  <c r="K956" i="4"/>
  <c r="K955" i="4"/>
  <c r="K948" i="4"/>
  <c r="K946" i="4"/>
  <c r="K945" i="4"/>
  <c r="O226" i="1"/>
  <c r="M226" i="1"/>
  <c r="L226" i="1"/>
  <c r="K226" i="1"/>
  <c r="I226" i="1"/>
  <c r="H226" i="1"/>
  <c r="G226" i="1"/>
  <c r="A228" i="1"/>
  <c r="D931" i="4"/>
  <c r="K935" i="4"/>
  <c r="A934" i="4"/>
  <c r="A936" i="4" s="1"/>
  <c r="K933" i="4"/>
  <c r="I837" i="4"/>
  <c r="I836" i="4"/>
  <c r="K835" i="4"/>
  <c r="J834" i="4"/>
  <c r="J833" i="4"/>
  <c r="K832" i="4"/>
  <c r="I832" i="4"/>
  <c r="K787" i="4"/>
  <c r="J787" i="4"/>
  <c r="J693" i="4"/>
  <c r="J691" i="4"/>
  <c r="I559" i="4"/>
  <c r="I558" i="4"/>
  <c r="K557" i="4"/>
  <c r="I475" i="4"/>
  <c r="I473" i="4"/>
  <c r="I471" i="4"/>
  <c r="I469" i="4"/>
  <c r="I453" i="4"/>
  <c r="I451" i="4"/>
  <c r="I449" i="4"/>
  <c r="I447" i="4"/>
  <c r="I374" i="4"/>
  <c r="K312" i="4"/>
  <c r="I312" i="4"/>
  <c r="I300" i="4"/>
  <c r="I298" i="4"/>
  <c r="I296" i="4"/>
  <c r="I291" i="4"/>
  <c r="I289" i="4"/>
  <c r="I287" i="4"/>
  <c r="K358" i="4"/>
  <c r="J358" i="4"/>
  <c r="K357" i="4"/>
  <c r="J357" i="4"/>
  <c r="K356" i="4"/>
  <c r="K355" i="4"/>
  <c r="J355" i="4"/>
  <c r="K354" i="4"/>
  <c r="J354" i="4"/>
  <c r="K353" i="4"/>
  <c r="K352" i="4"/>
  <c r="J352" i="4"/>
  <c r="K351" i="4"/>
  <c r="J351" i="4"/>
  <c r="K350" i="4"/>
  <c r="K349" i="4"/>
  <c r="J349" i="4"/>
  <c r="K347" i="4"/>
  <c r="K346" i="4"/>
  <c r="J346" i="4"/>
  <c r="K344" i="4"/>
  <c r="K343" i="4"/>
  <c r="J343" i="4"/>
  <c r="K341" i="4"/>
  <c r="K340" i="4"/>
  <c r="J340" i="4"/>
  <c r="K338" i="4"/>
  <c r="K336" i="4"/>
  <c r="J336" i="4"/>
  <c r="K335" i="4"/>
  <c r="J335" i="4"/>
  <c r="K334" i="4"/>
  <c r="K333" i="4"/>
  <c r="J333" i="4"/>
  <c r="K332" i="4"/>
  <c r="J332" i="4"/>
  <c r="K331" i="4"/>
  <c r="K330" i="4"/>
  <c r="J330" i="4"/>
  <c r="K328" i="4"/>
  <c r="K327" i="4"/>
  <c r="J327" i="4"/>
  <c r="K325" i="4"/>
  <c r="J303" i="4"/>
  <c r="K301" i="4"/>
  <c r="K67" i="4"/>
  <c r="I67" i="4"/>
  <c r="J255" i="4"/>
  <c r="K254" i="4"/>
  <c r="I254" i="4"/>
  <c r="K232" i="4"/>
  <c r="K230" i="4"/>
  <c r="J230" i="4"/>
  <c r="K229" i="4"/>
  <c r="I229" i="4"/>
  <c r="K228" i="4"/>
  <c r="J228" i="4"/>
  <c r="K227" i="4"/>
  <c r="I227" i="4"/>
  <c r="K226" i="4"/>
  <c r="K225" i="4"/>
  <c r="I225" i="4"/>
  <c r="K224" i="4"/>
  <c r="J224" i="4"/>
  <c r="K223" i="4"/>
  <c r="I223" i="4"/>
  <c r="K222" i="4"/>
  <c r="J222" i="4"/>
  <c r="K221" i="4"/>
  <c r="I221" i="4"/>
  <c r="J180" i="4"/>
  <c r="K178" i="4"/>
  <c r="K170" i="4"/>
  <c r="I170" i="4"/>
  <c r="J166" i="4"/>
  <c r="I165" i="4"/>
  <c r="J164" i="4"/>
  <c r="I163" i="4"/>
  <c r="J162" i="4"/>
  <c r="I161" i="4"/>
  <c r="J160" i="4"/>
  <c r="I159" i="4"/>
  <c r="K158" i="4"/>
  <c r="K155" i="4"/>
  <c r="I155" i="4"/>
  <c r="K152" i="4"/>
  <c r="I152" i="4"/>
  <c r="K132" i="4"/>
  <c r="J132" i="4"/>
  <c r="K131" i="4"/>
  <c r="J131" i="4"/>
  <c r="K130" i="4"/>
  <c r="I130" i="4"/>
  <c r="K129" i="4"/>
  <c r="J129" i="4"/>
  <c r="K128" i="4"/>
  <c r="J128" i="4"/>
  <c r="K127" i="4"/>
  <c r="I127" i="4"/>
  <c r="K126" i="4"/>
  <c r="J126" i="4"/>
  <c r="K125" i="4"/>
  <c r="J125" i="4"/>
  <c r="K124" i="4"/>
  <c r="I124" i="4"/>
  <c r="K123" i="4"/>
  <c r="J123" i="4"/>
  <c r="K122" i="4"/>
  <c r="J122" i="4"/>
  <c r="K121" i="4"/>
  <c r="I121" i="4"/>
  <c r="I149" i="4"/>
  <c r="I146" i="4"/>
  <c r="I143" i="4"/>
  <c r="I140" i="4"/>
  <c r="I137" i="4"/>
  <c r="I134" i="4"/>
  <c r="K149" i="4"/>
  <c r="K146" i="4"/>
  <c r="K143" i="4"/>
  <c r="K140" i="4"/>
  <c r="K137" i="4"/>
  <c r="K134" i="4"/>
  <c r="K117" i="4"/>
  <c r="K114" i="4"/>
  <c r="K111" i="4"/>
  <c r="K108" i="4"/>
  <c r="K105" i="4"/>
  <c r="K102" i="4"/>
  <c r="J100" i="4"/>
  <c r="I99" i="4"/>
  <c r="J98" i="4"/>
  <c r="I97" i="4"/>
  <c r="K96" i="4"/>
  <c r="J93" i="4"/>
  <c r="K92" i="4"/>
  <c r="K82" i="4"/>
  <c r="I82" i="4"/>
  <c r="K79" i="4"/>
  <c r="I79" i="4"/>
  <c r="K75" i="4"/>
  <c r="I75" i="4"/>
  <c r="K72" i="4"/>
  <c r="I72" i="4"/>
  <c r="M27" i="1"/>
  <c r="L27" i="1"/>
  <c r="K27" i="1"/>
  <c r="G27" i="1"/>
  <c r="K62" i="4"/>
  <c r="K61" i="4"/>
  <c r="K55" i="4"/>
  <c r="A55" i="4"/>
  <c r="A60" i="4" s="1"/>
  <c r="G16" i="1"/>
  <c r="D19" i="4"/>
  <c r="K38" i="4"/>
  <c r="K37" i="4"/>
  <c r="K35" i="4"/>
  <c r="K33" i="4"/>
  <c r="J27" i="4"/>
  <c r="K26" i="4"/>
  <c r="N255" i="1" l="1"/>
  <c r="J449" i="4"/>
  <c r="P259" i="1"/>
  <c r="N259" i="1"/>
  <c r="I971" i="4"/>
  <c r="I974" i="4"/>
  <c r="I959" i="4"/>
  <c r="I970" i="4"/>
  <c r="I973" i="4"/>
  <c r="K85" i="4"/>
  <c r="J85" i="4"/>
  <c r="K34" i="4"/>
  <c r="J72" i="4"/>
  <c r="J82" i="4"/>
  <c r="J97" i="4"/>
  <c r="J102" i="4"/>
  <c r="J105" i="4"/>
  <c r="J108" i="4"/>
  <c r="J137" i="4"/>
  <c r="J143" i="4"/>
  <c r="J149" i="4"/>
  <c r="J159" i="4"/>
  <c r="J163" i="4"/>
  <c r="I311" i="4"/>
  <c r="K32" i="4"/>
  <c r="J134" i="4"/>
  <c r="J140" i="4"/>
  <c r="J146" i="4"/>
  <c r="J153" i="4"/>
  <c r="J221" i="4"/>
  <c r="J223" i="4"/>
  <c r="J227" i="4"/>
  <c r="J229" i="4"/>
  <c r="J325" i="4"/>
  <c r="J328" i="4"/>
  <c r="J331" i="4"/>
  <c r="J334" i="4"/>
  <c r="J338" i="4"/>
  <c r="J341" i="4"/>
  <c r="J344" i="4"/>
  <c r="J347" i="4"/>
  <c r="J350" i="4"/>
  <c r="J353" i="4"/>
  <c r="J356" i="4"/>
  <c r="J56" i="4"/>
  <c r="J58" i="4"/>
  <c r="J233" i="4"/>
  <c r="J106" i="4"/>
  <c r="Q19" i="1"/>
  <c r="Q40" i="1"/>
  <c r="Q46" i="1"/>
  <c r="Q77" i="1"/>
  <c r="Q192" i="1"/>
  <c r="Q204" i="1"/>
  <c r="Q239" i="1"/>
  <c r="Q30" i="1"/>
  <c r="Q44" i="1"/>
  <c r="Q45" i="1"/>
  <c r="Q50" i="1"/>
  <c r="Q69" i="1"/>
  <c r="Q132" i="1"/>
  <c r="Q193" i="1"/>
  <c r="Q203" i="1"/>
  <c r="J832" i="4"/>
  <c r="J254" i="4"/>
  <c r="A240" i="1"/>
  <c r="A250" i="1"/>
  <c r="A229" i="1"/>
  <c r="I961" i="4"/>
  <c r="I761" i="4"/>
  <c r="I764" i="4"/>
  <c r="I874" i="4"/>
  <c r="I301" i="4"/>
  <c r="K944" i="4"/>
  <c r="K969" i="4"/>
  <c r="J203" i="1"/>
  <c r="K947" i="4"/>
  <c r="K954" i="4"/>
  <c r="K972" i="4"/>
  <c r="I947" i="4"/>
  <c r="I954" i="4"/>
  <c r="I944" i="4"/>
  <c r="K934" i="4"/>
  <c r="J239" i="1"/>
  <c r="K932" i="4"/>
  <c r="I932" i="4"/>
  <c r="I557" i="4"/>
  <c r="I934" i="4"/>
  <c r="J312" i="4"/>
  <c r="Q95" i="1"/>
  <c r="J558" i="4"/>
  <c r="I790" i="4"/>
  <c r="I835" i="4"/>
  <c r="J95" i="1"/>
  <c r="J933" i="4"/>
  <c r="J963" i="4"/>
  <c r="J955" i="4"/>
  <c r="J956" i="4"/>
  <c r="J945" i="4"/>
  <c r="J946" i="4"/>
  <c r="J948" i="4"/>
  <c r="J935" i="4"/>
  <c r="J692" i="4"/>
  <c r="I787" i="4"/>
  <c r="J791" i="4"/>
  <c r="J836" i="4"/>
  <c r="J837" i="4"/>
  <c r="J792" i="4"/>
  <c r="J690" i="4"/>
  <c r="J694" i="4"/>
  <c r="I324" i="4"/>
  <c r="J559" i="4"/>
  <c r="K60" i="4"/>
  <c r="J114" i="4"/>
  <c r="J117" i="4"/>
  <c r="J69" i="1"/>
  <c r="I337" i="4"/>
  <c r="K337" i="4"/>
  <c r="J45" i="1"/>
  <c r="K324" i="4"/>
  <c r="J38" i="1"/>
  <c r="J44" i="1"/>
  <c r="K120" i="4"/>
  <c r="I60" i="4"/>
  <c r="I120" i="4"/>
  <c r="I220" i="4"/>
  <c r="K220" i="4"/>
  <c r="J225" i="4"/>
  <c r="K231" i="4"/>
  <c r="I96" i="4"/>
  <c r="J99" i="4"/>
  <c r="J156" i="4"/>
  <c r="I158" i="4"/>
  <c r="J161" i="4"/>
  <c r="J79" i="4"/>
  <c r="I101" i="4"/>
  <c r="I133" i="4"/>
  <c r="I178" i="4"/>
  <c r="J179" i="4"/>
  <c r="I169" i="4"/>
  <c r="J59" i="4"/>
  <c r="J75" i="4"/>
  <c r="J111" i="4"/>
  <c r="J165" i="4"/>
  <c r="J170" i="4"/>
  <c r="J121" i="4"/>
  <c r="J124" i="4"/>
  <c r="J127" i="4"/>
  <c r="J130" i="4"/>
  <c r="I71" i="4"/>
  <c r="I55" i="4"/>
  <c r="J57" i="4"/>
  <c r="J61" i="4"/>
  <c r="J62" i="4"/>
  <c r="I78" i="4"/>
  <c r="I33" i="4"/>
  <c r="K36" i="4"/>
  <c r="J38" i="4"/>
  <c r="K3025" i="4"/>
  <c r="D3024" i="4"/>
  <c r="A629" i="1"/>
  <c r="K2357" i="4"/>
  <c r="D2352" i="4"/>
  <c r="A2356" i="4"/>
  <c r="I2355" i="4"/>
  <c r="I2354" i="4"/>
  <c r="K2353" i="4"/>
  <c r="O299" i="1"/>
  <c r="M299" i="1"/>
  <c r="L299" i="1"/>
  <c r="K299" i="1"/>
  <c r="I299" i="1"/>
  <c r="H299" i="1"/>
  <c r="G299" i="1"/>
  <c r="D1131" i="4"/>
  <c r="K1142" i="4"/>
  <c r="I1139" i="4"/>
  <c r="K1138" i="4"/>
  <c r="K1135" i="4"/>
  <c r="J686" i="4" l="1"/>
  <c r="J974" i="4"/>
  <c r="J232" i="4"/>
  <c r="J959" i="4"/>
  <c r="I231" i="4"/>
  <c r="J971" i="4"/>
  <c r="J973" i="4"/>
  <c r="J970" i="4"/>
  <c r="I969" i="4"/>
  <c r="I972" i="4"/>
  <c r="Q21" i="1"/>
  <c r="K2356" i="4"/>
  <c r="J324" i="4"/>
  <c r="J220" i="4"/>
  <c r="Q22" i="1"/>
  <c r="J152" i="4"/>
  <c r="J337" i="4"/>
  <c r="J2354" i="4"/>
  <c r="J50" i="1"/>
  <c r="J40" i="1"/>
  <c r="J61" i="1"/>
  <c r="J1136" i="4"/>
  <c r="J1140" i="4"/>
  <c r="I36" i="4"/>
  <c r="J33" i="4"/>
  <c r="J46" i="1"/>
  <c r="J42" i="1"/>
  <c r="J227" i="1"/>
  <c r="Q301" i="1"/>
  <c r="Q23" i="1"/>
  <c r="J32" i="4"/>
  <c r="Q38" i="1"/>
  <c r="J96" i="4"/>
  <c r="J301" i="4"/>
  <c r="Q85" i="1"/>
  <c r="Q31" i="1"/>
  <c r="J934" i="4"/>
  <c r="J961" i="4"/>
  <c r="Q227" i="1"/>
  <c r="Q228" i="1"/>
  <c r="Q236" i="1"/>
  <c r="Q233" i="1"/>
  <c r="Q302" i="1"/>
  <c r="Q628" i="1"/>
  <c r="Q62" i="1"/>
  <c r="Q61" i="1"/>
  <c r="Q42" i="1"/>
  <c r="Q84" i="1"/>
  <c r="Q163" i="1"/>
  <c r="J947" i="4"/>
  <c r="J932" i="4"/>
  <c r="Q243" i="1"/>
  <c r="Q234" i="1"/>
  <c r="Q242" i="1"/>
  <c r="J158" i="4"/>
  <c r="J178" i="4"/>
  <c r="J155" i="4"/>
  <c r="A251" i="1"/>
  <c r="N95" i="1"/>
  <c r="P203" i="1"/>
  <c r="N203" i="1"/>
  <c r="J77" i="1"/>
  <c r="N38" i="1"/>
  <c r="N44" i="1"/>
  <c r="N45" i="1"/>
  <c r="N69" i="1"/>
  <c r="J233" i="1"/>
  <c r="J132" i="1"/>
  <c r="P239" i="1"/>
  <c r="N239" i="1"/>
  <c r="J236" i="1"/>
  <c r="J234" i="1"/>
  <c r="P234" i="1" s="1"/>
  <c r="J84" i="1"/>
  <c r="J790" i="4"/>
  <c r="P95" i="1"/>
  <c r="J192" i="1"/>
  <c r="J204" i="1"/>
  <c r="J228" i="1"/>
  <c r="J557" i="4"/>
  <c r="J163" i="1"/>
  <c r="J193" i="1"/>
  <c r="J954" i="4"/>
  <c r="J944" i="4"/>
  <c r="J835" i="4"/>
  <c r="P69" i="1"/>
  <c r="J85" i="1"/>
  <c r="P45" i="1"/>
  <c r="P38" i="1"/>
  <c r="P44" i="1"/>
  <c r="J31" i="1"/>
  <c r="J55" i="4"/>
  <c r="I32" i="4"/>
  <c r="J60" i="4"/>
  <c r="J120" i="4"/>
  <c r="J30" i="1"/>
  <c r="J37" i="4"/>
  <c r="J35" i="4"/>
  <c r="I34" i="4"/>
  <c r="J28" i="4"/>
  <c r="I26" i="4"/>
  <c r="K1141" i="4"/>
  <c r="I1141" i="4"/>
  <c r="I2353" i="4"/>
  <c r="J2355" i="4"/>
  <c r="I1135" i="4"/>
  <c r="J1137" i="4"/>
  <c r="J1139" i="4"/>
  <c r="I1138" i="4"/>
  <c r="J1142" i="4"/>
  <c r="P132" i="1" l="1"/>
  <c r="J972" i="4"/>
  <c r="N50" i="1"/>
  <c r="N42" i="1"/>
  <c r="P227" i="1"/>
  <c r="J231" i="4"/>
  <c r="J969" i="4"/>
  <c r="J243" i="1"/>
  <c r="J62" i="1"/>
  <c r="N62" i="1" s="1"/>
  <c r="N61" i="1"/>
  <c r="J242" i="1"/>
  <c r="P77" i="1"/>
  <c r="P40" i="1"/>
  <c r="N46" i="1"/>
  <c r="J23" i="1"/>
  <c r="P50" i="1"/>
  <c r="P42" i="1"/>
  <c r="P46" i="1"/>
  <c r="N227" i="1"/>
  <c r="P61" i="1"/>
  <c r="N40" i="1"/>
  <c r="J628" i="1"/>
  <c r="N628" i="1" s="1"/>
  <c r="J1135" i="4"/>
  <c r="J2353" i="4"/>
  <c r="Q303" i="1"/>
  <c r="J26" i="4"/>
  <c r="J1141" i="4"/>
  <c r="J1138" i="4"/>
  <c r="J34" i="4"/>
  <c r="J36" i="4"/>
  <c r="A252" i="1"/>
  <c r="N234" i="1"/>
  <c r="N77" i="1"/>
  <c r="N132" i="1"/>
  <c r="J21" i="1"/>
  <c r="P21" i="1" s="1"/>
  <c r="N233" i="1"/>
  <c r="P233" i="1"/>
  <c r="N236" i="1"/>
  <c r="P236" i="1"/>
  <c r="N228" i="1"/>
  <c r="P228" i="1"/>
  <c r="P204" i="1"/>
  <c r="N204" i="1"/>
  <c r="P192" i="1"/>
  <c r="N192" i="1"/>
  <c r="P193" i="1"/>
  <c r="N193" i="1"/>
  <c r="N163" i="1"/>
  <c r="P163" i="1"/>
  <c r="N31" i="1"/>
  <c r="P31" i="1"/>
  <c r="N30" i="1"/>
  <c r="P30" i="1"/>
  <c r="J19" i="1"/>
  <c r="J22" i="1"/>
  <c r="J302" i="1"/>
  <c r="J301" i="1"/>
  <c r="J303" i="1"/>
  <c r="P242" i="1" l="1"/>
  <c r="N243" i="1"/>
  <c r="N23" i="1"/>
  <c r="P628" i="1"/>
  <c r="N242" i="1"/>
  <c r="P62" i="1"/>
  <c r="P23" i="1"/>
  <c r="A253" i="1"/>
  <c r="N21" i="1"/>
  <c r="P22" i="1"/>
  <c r="N22" i="1"/>
  <c r="N19" i="1"/>
  <c r="P19" i="1"/>
  <c r="N303" i="1"/>
  <c r="P303" i="1"/>
  <c r="N301" i="1"/>
  <c r="P301" i="1"/>
  <c r="P302" i="1"/>
  <c r="N302" i="1"/>
  <c r="A254" i="1" l="1"/>
  <c r="A255" i="1" s="1"/>
  <c r="A256" i="1" s="1"/>
  <c r="A257" i="1" s="1"/>
  <c r="A258" i="1" s="1"/>
  <c r="A259" i="1" s="1"/>
  <c r="A260" i="1" s="1"/>
  <c r="A261" i="1" s="1"/>
  <c r="A262" i="1" s="1"/>
  <c r="A263" i="1" s="1"/>
  <c r="D2927" i="4"/>
  <c r="I2191" i="4"/>
  <c r="I2190" i="4"/>
  <c r="I2189" i="4"/>
  <c r="I2188" i="4"/>
  <c r="K2187" i="4"/>
  <c r="O264" i="1"/>
  <c r="I264" i="1"/>
  <c r="H264" i="1"/>
  <c r="G264" i="1"/>
  <c r="A266" i="1"/>
  <c r="M265" i="1"/>
  <c r="L265" i="1"/>
  <c r="K265" i="1"/>
  <c r="D1023" i="4"/>
  <c r="K1028" i="4"/>
  <c r="K1027" i="4"/>
  <c r="A1026" i="4"/>
  <c r="A1029" i="4" s="1"/>
  <c r="K1025" i="4"/>
  <c r="K1039" i="4"/>
  <c r="I1039" i="4" l="1"/>
  <c r="Q585" i="1"/>
  <c r="A267" i="1"/>
  <c r="K1026" i="4"/>
  <c r="K1024" i="4"/>
  <c r="I2187" i="4"/>
  <c r="I1024" i="4"/>
  <c r="J2190" i="4"/>
  <c r="I1026" i="4"/>
  <c r="J1025" i="4"/>
  <c r="J2188" i="4"/>
  <c r="J2189" i="4"/>
  <c r="J2191" i="4"/>
  <c r="J1027" i="4"/>
  <c r="J1028" i="4"/>
  <c r="I2183" i="4" l="1"/>
  <c r="J585" i="1"/>
  <c r="P585" i="1" s="1"/>
  <c r="Q266" i="1"/>
  <c r="J1024" i="4"/>
  <c r="Q265" i="1"/>
  <c r="J1026" i="4"/>
  <c r="J2187" i="4"/>
  <c r="J265" i="1"/>
  <c r="J266" i="1"/>
  <c r="K671" i="4"/>
  <c r="J671" i="4"/>
  <c r="K670" i="4"/>
  <c r="J670" i="4"/>
  <c r="K669" i="4"/>
  <c r="J669" i="4"/>
  <c r="K668" i="4"/>
  <c r="J668" i="4"/>
  <c r="K667" i="4"/>
  <c r="J667" i="4"/>
  <c r="K666" i="4"/>
  <c r="J666" i="4"/>
  <c r="K665" i="4"/>
  <c r="K664" i="4"/>
  <c r="I663" i="4"/>
  <c r="K711" i="4"/>
  <c r="J711" i="4"/>
  <c r="K710" i="4"/>
  <c r="K709" i="4"/>
  <c r="J709" i="4"/>
  <c r="K708" i="4"/>
  <c r="J583" i="1" l="1"/>
  <c r="N585" i="1"/>
  <c r="P265" i="1"/>
  <c r="N265" i="1"/>
  <c r="N266" i="1"/>
  <c r="P266" i="1"/>
  <c r="Q109" i="1"/>
  <c r="K707" i="4"/>
  <c r="J707" i="4"/>
  <c r="J663" i="4"/>
  <c r="K663" i="4"/>
  <c r="J109" i="1"/>
  <c r="J168" i="1"/>
  <c r="J160" i="1"/>
  <c r="K817" i="4"/>
  <c r="J817" i="4"/>
  <c r="K816" i="4"/>
  <c r="J816" i="4"/>
  <c r="K815" i="4"/>
  <c r="J815" i="4"/>
  <c r="K814" i="4"/>
  <c r="J814" i="4"/>
  <c r="K813" i="4"/>
  <c r="J813" i="4"/>
  <c r="K812" i="4"/>
  <c r="J812" i="4"/>
  <c r="K811" i="4"/>
  <c r="J811" i="4"/>
  <c r="K810" i="4"/>
  <c r="K809" i="4"/>
  <c r="J809" i="4"/>
  <c r="K808" i="4"/>
  <c r="J808" i="4"/>
  <c r="K807" i="4"/>
  <c r="J807" i="4"/>
  <c r="K806" i="4"/>
  <c r="J806" i="4"/>
  <c r="K805" i="4"/>
  <c r="J805" i="4"/>
  <c r="K804" i="4"/>
  <c r="K803" i="4"/>
  <c r="J803" i="4"/>
  <c r="K802" i="4"/>
  <c r="J802" i="4"/>
  <c r="K801" i="4"/>
  <c r="K800" i="4"/>
  <c r="J800" i="4"/>
  <c r="I799" i="4"/>
  <c r="N583" i="1" l="1"/>
  <c r="Q160" i="1"/>
  <c r="Q168" i="1"/>
  <c r="N160" i="1"/>
  <c r="N109" i="1"/>
  <c r="N168" i="1"/>
  <c r="P168" i="1"/>
  <c r="K799" i="4"/>
  <c r="P109" i="1"/>
  <c r="J799" i="4"/>
  <c r="J198" i="1"/>
  <c r="P160" i="1"/>
  <c r="Q198" i="1" l="1"/>
  <c r="N198" i="1"/>
  <c r="P198" i="1"/>
  <c r="I3027" i="4" l="1"/>
  <c r="I3026" i="4"/>
  <c r="J3027" i="4" l="1"/>
  <c r="J3026" i="4"/>
  <c r="I3025" i="4"/>
  <c r="I3024" i="4" l="1"/>
  <c r="J3025" i="4"/>
  <c r="A232" i="1"/>
  <c r="K943" i="4"/>
  <c r="A942" i="4"/>
  <c r="K941" i="4"/>
  <c r="K940" i="4" l="1"/>
  <c r="K942" i="4"/>
  <c r="I942" i="4"/>
  <c r="I940" i="4"/>
  <c r="J941" i="4"/>
  <c r="J943" i="4"/>
  <c r="J942" i="4" l="1"/>
  <c r="Q232" i="1"/>
  <c r="J940" i="4"/>
  <c r="Q231" i="1"/>
  <c r="J232" i="1"/>
  <c r="J231" i="1"/>
  <c r="N232" i="1" l="1"/>
  <c r="P231" i="1"/>
  <c r="P232" i="1"/>
  <c r="N231" i="1"/>
  <c r="K936" i="4" l="1"/>
  <c r="O71" i="1"/>
  <c r="M71" i="1"/>
  <c r="L71" i="1"/>
  <c r="K71" i="1"/>
  <c r="I71" i="1"/>
  <c r="G71" i="1"/>
  <c r="Q229" i="1" l="1"/>
  <c r="I936" i="4"/>
  <c r="J938" i="4"/>
  <c r="I931" i="4" l="1"/>
  <c r="J936" i="4"/>
  <c r="J229" i="1"/>
  <c r="J226" i="1" l="1"/>
  <c r="N229" i="1"/>
  <c r="P229" i="1"/>
  <c r="N226" i="1" l="1"/>
  <c r="K314" i="4"/>
  <c r="J314" i="4"/>
  <c r="K313" i="4"/>
  <c r="J313" i="4"/>
  <c r="J80" i="1"/>
  <c r="I323" i="4"/>
  <c r="I320" i="4"/>
  <c r="I317" i="4"/>
  <c r="A13" i="1"/>
  <c r="A12" i="4"/>
  <c r="A14" i="4" s="1"/>
  <c r="A16" i="4" s="1"/>
  <c r="J311" i="4" l="1"/>
  <c r="A14" i="1"/>
  <c r="K311" i="4"/>
  <c r="N80" i="1"/>
  <c r="P80" i="1"/>
  <c r="Q80" i="1" l="1"/>
  <c r="A15" i="1"/>
  <c r="N85" i="1"/>
  <c r="P85" i="1"/>
  <c r="P84" i="1"/>
  <c r="N84" i="1"/>
  <c r="I1185" i="4" l="1"/>
  <c r="A1160" i="4"/>
  <c r="A1162" i="4" s="1"/>
  <c r="A1169" i="4" s="1"/>
  <c r="A1172" i="4" s="1"/>
  <c r="A1179" i="4"/>
  <c r="A18" i="1"/>
  <c r="A23" i="4"/>
  <c r="A26" i="4" s="1"/>
  <c r="A29" i="4" s="1"/>
  <c r="K23" i="4"/>
  <c r="Q18" i="1" l="1"/>
  <c r="A19" i="1"/>
  <c r="I1186" i="4"/>
  <c r="A1181" i="4"/>
  <c r="A1184" i="4" s="1"/>
  <c r="A1189" i="4" s="1"/>
  <c r="J1188" i="4"/>
  <c r="J1185" i="4"/>
  <c r="J1187" i="4"/>
  <c r="J25" i="4"/>
  <c r="I23" i="4"/>
  <c r="A20" i="1" l="1"/>
  <c r="J1186" i="4"/>
  <c r="A1193" i="4"/>
  <c r="A1196" i="4" s="1"/>
  <c r="A1198" i="4" s="1"/>
  <c r="I1184" i="4"/>
  <c r="A32" i="4"/>
  <c r="A34" i="4" s="1"/>
  <c r="A36" i="4" s="1"/>
  <c r="A39" i="4" s="1"/>
  <c r="J18" i="1"/>
  <c r="J23" i="4"/>
  <c r="J320" i="1" l="1"/>
  <c r="J1184" i="4"/>
  <c r="A21" i="1"/>
  <c r="N18" i="1"/>
  <c r="P18" i="1"/>
  <c r="P320" i="1" l="1"/>
  <c r="A22" i="1"/>
  <c r="I2656" i="4"/>
  <c r="A23" i="1" l="1"/>
  <c r="K741" i="4"/>
  <c r="J741" i="4"/>
  <c r="K740" i="4"/>
  <c r="J740" i="4"/>
  <c r="K739" i="4"/>
  <c r="J739" i="4"/>
  <c r="K738" i="4"/>
  <c r="J738" i="4"/>
  <c r="K737" i="4"/>
  <c r="J737" i="4"/>
  <c r="K736" i="4"/>
  <c r="J736" i="4"/>
  <c r="K735" i="4"/>
  <c r="J735" i="4"/>
  <c r="K734" i="4"/>
  <c r="I733" i="4"/>
  <c r="A24" i="1" l="1"/>
  <c r="J733" i="4"/>
  <c r="K733" i="4"/>
  <c r="J177" i="1"/>
  <c r="Q177" i="1" l="1"/>
  <c r="N177" i="1"/>
  <c r="P177" i="1"/>
  <c r="K676" i="4" l="1"/>
  <c r="J676" i="4"/>
  <c r="K675" i="4"/>
  <c r="K674" i="4"/>
  <c r="J674" i="4"/>
  <c r="K673" i="4"/>
  <c r="K629" i="4"/>
  <c r="K628" i="4"/>
  <c r="K627" i="4"/>
  <c r="K626" i="4"/>
  <c r="K625" i="4"/>
  <c r="K624" i="4"/>
  <c r="K623" i="4"/>
  <c r="K622" i="4"/>
  <c r="K621" i="4"/>
  <c r="K620" i="4"/>
  <c r="K619" i="4"/>
  <c r="K618" i="4"/>
  <c r="K617" i="4"/>
  <c r="K616" i="4"/>
  <c r="K615" i="4"/>
  <c r="K589" i="4"/>
  <c r="K587" i="4"/>
  <c r="K586" i="4"/>
  <c r="K672" i="4" l="1"/>
  <c r="J672" i="4"/>
  <c r="J161" i="1"/>
  <c r="I562" i="4"/>
  <c r="K516" i="4"/>
  <c r="J516" i="4"/>
  <c r="K515" i="4"/>
  <c r="J515" i="4"/>
  <c r="K514" i="4"/>
  <c r="J514" i="4"/>
  <c r="K513" i="4"/>
  <c r="K512" i="4"/>
  <c r="J512" i="4"/>
  <c r="K511" i="4"/>
  <c r="K510" i="4"/>
  <c r="J510" i="4"/>
  <c r="K509" i="4"/>
  <c r="J509" i="4"/>
  <c r="I508" i="4"/>
  <c r="K454" i="4"/>
  <c r="J454" i="4"/>
  <c r="K453" i="4"/>
  <c r="J453" i="4"/>
  <c r="K452" i="4"/>
  <c r="J452" i="4"/>
  <c r="K451" i="4"/>
  <c r="J451" i="4"/>
  <c r="K450" i="4"/>
  <c r="J450" i="4"/>
  <c r="K449" i="4"/>
  <c r="K448" i="4"/>
  <c r="J448" i="4"/>
  <c r="K447" i="4"/>
  <c r="J447" i="4"/>
  <c r="I446" i="4"/>
  <c r="Q161" i="1" l="1"/>
  <c r="J446" i="4"/>
  <c r="P161" i="1"/>
  <c r="N161" i="1"/>
  <c r="J508" i="4"/>
  <c r="K508" i="4"/>
  <c r="K446" i="4"/>
  <c r="J123" i="1"/>
  <c r="J111" i="1"/>
  <c r="K2349" i="4"/>
  <c r="I2350" i="4"/>
  <c r="K172" i="4"/>
  <c r="J172" i="4"/>
  <c r="J171" i="4"/>
  <c r="K151" i="4"/>
  <c r="J151" i="4"/>
  <c r="K148" i="4"/>
  <c r="J148" i="4"/>
  <c r="K147" i="4"/>
  <c r="J147" i="4"/>
  <c r="K145" i="4"/>
  <c r="J145" i="4"/>
  <c r="K144" i="4"/>
  <c r="J144" i="4"/>
  <c r="K142" i="4"/>
  <c r="J142" i="4"/>
  <c r="K141" i="4"/>
  <c r="J141" i="4"/>
  <c r="K139" i="4"/>
  <c r="J139" i="4"/>
  <c r="K138" i="4"/>
  <c r="J138" i="4"/>
  <c r="K136" i="4"/>
  <c r="J136" i="4"/>
  <c r="K135" i="4"/>
  <c r="J135" i="4"/>
  <c r="K119" i="4"/>
  <c r="J119" i="4"/>
  <c r="K118" i="4"/>
  <c r="J118" i="4"/>
  <c r="K116" i="4"/>
  <c r="J116" i="4"/>
  <c r="K115" i="4"/>
  <c r="J115" i="4"/>
  <c r="K113" i="4"/>
  <c r="J113" i="4"/>
  <c r="K112" i="4"/>
  <c r="J112" i="4"/>
  <c r="K110" i="4"/>
  <c r="J110" i="4"/>
  <c r="K109" i="4"/>
  <c r="K107" i="4"/>
  <c r="J107" i="4"/>
  <c r="K106" i="4"/>
  <c r="K104" i="4"/>
  <c r="J104" i="4"/>
  <c r="K103" i="4"/>
  <c r="K84" i="4"/>
  <c r="J84" i="4"/>
  <c r="K83" i="4"/>
  <c r="J83" i="4"/>
  <c r="K81" i="4"/>
  <c r="J81" i="4"/>
  <c r="K80" i="4"/>
  <c r="J80" i="4"/>
  <c r="K77" i="4"/>
  <c r="J77" i="4"/>
  <c r="K74" i="4"/>
  <c r="J74" i="4"/>
  <c r="K73" i="4"/>
  <c r="J73" i="4"/>
  <c r="K71" i="4" l="1"/>
  <c r="J71" i="4"/>
  <c r="Q111" i="1"/>
  <c r="Q123" i="1"/>
  <c r="J101" i="4"/>
  <c r="K101" i="4"/>
  <c r="N111" i="1"/>
  <c r="N123" i="1"/>
  <c r="J78" i="4"/>
  <c r="J133" i="4"/>
  <c r="K169" i="4"/>
  <c r="K133" i="4"/>
  <c r="J169" i="4"/>
  <c r="K78" i="4"/>
  <c r="P123" i="1"/>
  <c r="P111" i="1"/>
  <c r="I2351" i="4"/>
  <c r="J36" i="1"/>
  <c r="J41" i="1"/>
  <c r="J48" i="1"/>
  <c r="J37" i="1"/>
  <c r="J43" i="1"/>
  <c r="Q36" i="1" l="1"/>
  <c r="Q37" i="1"/>
  <c r="Q43" i="1"/>
  <c r="Q41" i="1"/>
  <c r="Q48" i="1"/>
  <c r="P43" i="1"/>
  <c r="N48" i="1"/>
  <c r="N37" i="1"/>
  <c r="P37" i="1"/>
  <c r="P48" i="1"/>
  <c r="N43" i="1"/>
  <c r="J2351" i="4"/>
  <c r="I2349" i="4"/>
  <c r="N41" i="1"/>
  <c r="P41" i="1"/>
  <c r="P36" i="1"/>
  <c r="N36" i="1"/>
  <c r="O778" i="1" l="1"/>
  <c r="I778" i="1"/>
  <c r="H778" i="1"/>
  <c r="G778" i="1"/>
  <c r="M778" i="1"/>
  <c r="L778" i="1"/>
  <c r="K778" i="1"/>
  <c r="K1042" i="4" l="1"/>
  <c r="Q270" i="1" l="1"/>
  <c r="I1042" i="4"/>
  <c r="J1044" i="4"/>
  <c r="J1042" i="4" l="1"/>
  <c r="J270" i="1"/>
  <c r="K2217" i="4" l="1"/>
  <c r="K2936" i="4" l="1"/>
  <c r="K2933" i="4"/>
  <c r="K1054" i="4"/>
  <c r="K1053" i="4"/>
  <c r="D1070" i="4" l="1"/>
  <c r="D5" i="4" s="1"/>
  <c r="A1073" i="4"/>
  <c r="K1072" i="4"/>
  <c r="K1071" i="4" l="1"/>
  <c r="Q281" i="1" s="1"/>
  <c r="K968" i="4"/>
  <c r="K967" i="4"/>
  <c r="K965" i="4"/>
  <c r="K960" i="4"/>
  <c r="M267" i="1"/>
  <c r="L267" i="1"/>
  <c r="K267" i="1"/>
  <c r="A268" i="1"/>
  <c r="A1034" i="4"/>
  <c r="K1029" i="4"/>
  <c r="K958" i="4" l="1"/>
  <c r="K964" i="4"/>
  <c r="Q267" i="1"/>
  <c r="L264" i="1"/>
  <c r="K264" i="1"/>
  <c r="M264" i="1"/>
  <c r="A269" i="1"/>
  <c r="I1071" i="4"/>
  <c r="J1072" i="4"/>
  <c r="J1032" i="4"/>
  <c r="I1029" i="4"/>
  <c r="J1030" i="4"/>
  <c r="J1031" i="4"/>
  <c r="J1033" i="4"/>
  <c r="A270" i="1" l="1"/>
  <c r="J281" i="1"/>
  <c r="J1071" i="4"/>
  <c r="J267" i="1"/>
  <c r="J1029" i="4"/>
  <c r="P281" i="1" l="1"/>
  <c r="N281" i="1"/>
  <c r="N267" i="1"/>
  <c r="P267" i="1"/>
  <c r="O537" i="1" l="1"/>
  <c r="M537" i="1"/>
  <c r="L537" i="1"/>
  <c r="K537" i="1"/>
  <c r="I537" i="1"/>
  <c r="H537" i="1"/>
  <c r="G537" i="1"/>
  <c r="K13" i="4" l="1"/>
  <c r="K985" i="4" l="1"/>
  <c r="K982" i="4"/>
  <c r="K2315" i="4"/>
  <c r="K2314" i="4"/>
  <c r="K2312" i="4"/>
  <c r="K2307" i="4"/>
  <c r="K2306" i="4"/>
  <c r="K2304" i="4"/>
  <c r="K2302" i="4"/>
  <c r="K2300" i="4"/>
  <c r="K2299" i="4"/>
  <c r="K2298" i="4"/>
  <c r="K2280" i="4"/>
  <c r="K2279" i="4"/>
  <c r="K2278" i="4"/>
  <c r="K2276" i="4"/>
  <c r="K2275" i="4"/>
  <c r="K2274" i="4"/>
  <c r="K2272" i="4"/>
  <c r="K2271" i="4"/>
  <c r="K2270" i="4"/>
  <c r="K2251" i="4"/>
  <c r="K2250" i="4"/>
  <c r="K2249" i="4"/>
  <c r="K2229" i="4"/>
  <c r="K2227" i="4"/>
  <c r="K2225" i="4"/>
  <c r="K2303" i="4" l="1"/>
  <c r="K2301" i="4"/>
  <c r="K981" i="4"/>
  <c r="J986" i="4"/>
  <c r="I981" i="4"/>
  <c r="J984" i="4"/>
  <c r="J987" i="4"/>
  <c r="J982" i="4"/>
  <c r="J985" i="4"/>
  <c r="Q247" i="1" l="1"/>
  <c r="J247" i="1"/>
  <c r="J981" i="4"/>
  <c r="P247" i="1" l="1"/>
  <c r="N247" i="1"/>
  <c r="O286" i="1"/>
  <c r="M286" i="1"/>
  <c r="L286" i="1"/>
  <c r="K286" i="1"/>
  <c r="I286" i="1"/>
  <c r="H286" i="1"/>
  <c r="G286" i="1"/>
  <c r="A290" i="1"/>
  <c r="K1119" i="4"/>
  <c r="K1118" i="4"/>
  <c r="K1101" i="4"/>
  <c r="K1100" i="4"/>
  <c r="K1099" i="4"/>
  <c r="K1097" i="4"/>
  <c r="K1096" i="4"/>
  <c r="K1095" i="4"/>
  <c r="A1098" i="4"/>
  <c r="I2384" i="4"/>
  <c r="I2383" i="4"/>
  <c r="A2365" i="4"/>
  <c r="K1171" i="4"/>
  <c r="K1170" i="4"/>
  <c r="K1159" i="4"/>
  <c r="K1158" i="4"/>
  <c r="K1474" i="4"/>
  <c r="K1473" i="4"/>
  <c r="K1472" i="4"/>
  <c r="K1467" i="4"/>
  <c r="K1466" i="4"/>
  <c r="K1465" i="4"/>
  <c r="K1463" i="4"/>
  <c r="K1462" i="4"/>
  <c r="K1461" i="4"/>
  <c r="K1459" i="4"/>
  <c r="K1458" i="4"/>
  <c r="K1457" i="4"/>
  <c r="K1455" i="4"/>
  <c r="K1454" i="4"/>
  <c r="K1453" i="4"/>
  <c r="K1451" i="4"/>
  <c r="K1450" i="4"/>
  <c r="K1449" i="4"/>
  <c r="K1427" i="4"/>
  <c r="K1426" i="4"/>
  <c r="K1425" i="4"/>
  <c r="K1423" i="4"/>
  <c r="K1422" i="4"/>
  <c r="K1421" i="4"/>
  <c r="I1095" i="4" l="1"/>
  <c r="I1097" i="4"/>
  <c r="I1100" i="4"/>
  <c r="I1096" i="4"/>
  <c r="I1101" i="4"/>
  <c r="A2368" i="4"/>
  <c r="A2373" i="4" s="1"/>
  <c r="A2376" i="4" s="1"/>
  <c r="A2379" i="4" s="1"/>
  <c r="A2382" i="4" s="1"/>
  <c r="A291" i="1"/>
  <c r="A1102" i="4"/>
  <c r="J2383" i="4"/>
  <c r="K1117" i="4"/>
  <c r="K1094" i="4"/>
  <c r="K1098" i="4"/>
  <c r="I1099" i="4"/>
  <c r="Q292" i="1"/>
  <c r="J1118" i="4"/>
  <c r="J1119" i="4"/>
  <c r="J1095" i="4"/>
  <c r="I2382" i="4"/>
  <c r="J2384" i="4"/>
  <c r="K1403" i="4"/>
  <c r="K1401" i="4"/>
  <c r="K1396" i="4"/>
  <c r="K1394" i="4"/>
  <c r="K1392" i="4"/>
  <c r="K1379" i="4"/>
  <c r="K1377" i="4"/>
  <c r="K1375" i="4"/>
  <c r="K1372" i="4"/>
  <c r="K1370" i="4"/>
  <c r="K1368" i="4"/>
  <c r="K1295" i="4"/>
  <c r="K1294" i="4"/>
  <c r="K1293" i="4"/>
  <c r="K1263" i="4"/>
  <c r="K260" i="4"/>
  <c r="K258" i="4"/>
  <c r="J1096" i="4" l="1"/>
  <c r="J1097" i="4"/>
  <c r="J1094" i="4" s="1"/>
  <c r="J1101" i="4"/>
  <c r="J1100" i="4"/>
  <c r="I1094" i="4"/>
  <c r="Q290" i="1"/>
  <c r="Q295" i="1"/>
  <c r="Q289" i="1"/>
  <c r="A292" i="1"/>
  <c r="J295" i="1"/>
  <c r="A1106" i="4"/>
  <c r="A1110" i="4" s="1"/>
  <c r="J639" i="1"/>
  <c r="J1099" i="4"/>
  <c r="J292" i="1"/>
  <c r="I1098" i="4"/>
  <c r="J1117" i="4"/>
  <c r="J2382" i="4"/>
  <c r="J289" i="1" l="1"/>
  <c r="A1114" i="4"/>
  <c r="A1117" i="4" s="1"/>
  <c r="A1120" i="4" s="1"/>
  <c r="A1123" i="4" s="1"/>
  <c r="A1127" i="4" s="1"/>
  <c r="P295" i="1"/>
  <c r="J1098" i="4"/>
  <c r="A293" i="1"/>
  <c r="A294" i="1" s="1"/>
  <c r="A295" i="1" s="1"/>
  <c r="A296" i="1" s="1"/>
  <c r="A297" i="1" s="1"/>
  <c r="A298" i="1" s="1"/>
  <c r="P292" i="1"/>
  <c r="P639" i="1"/>
  <c r="N639" i="1"/>
  <c r="N292" i="1"/>
  <c r="J290" i="1"/>
  <c r="N295" i="1"/>
  <c r="P289" i="1" l="1"/>
  <c r="N289" i="1"/>
  <c r="P290" i="1"/>
  <c r="N290" i="1"/>
  <c r="I2600" i="4"/>
  <c r="I2599" i="4"/>
  <c r="I2598" i="4"/>
  <c r="I2597" i="4"/>
  <c r="K1709" i="4"/>
  <c r="K859" i="4" l="1"/>
  <c r="K826" i="4"/>
  <c r="K749" i="4"/>
  <c r="K748" i="4"/>
  <c r="K747" i="4"/>
  <c r="K746" i="4"/>
  <c r="K480" i="4"/>
  <c r="I826" i="4" l="1"/>
  <c r="I825" i="4" s="1"/>
  <c r="J201" i="1" s="1"/>
  <c r="J827" i="4"/>
  <c r="K825" i="4"/>
  <c r="J828" i="4"/>
  <c r="K422" i="4"/>
  <c r="K418" i="4"/>
  <c r="K407" i="4"/>
  <c r="K375" i="4"/>
  <c r="K388" i="4"/>
  <c r="K385" i="4"/>
  <c r="K367" i="4"/>
  <c r="J826" i="4" l="1"/>
  <c r="I422" i="4"/>
  <c r="I407" i="4"/>
  <c r="K417" i="4"/>
  <c r="Q201" i="1"/>
  <c r="P201" i="1"/>
  <c r="J416" i="4"/>
  <c r="J424" i="4"/>
  <c r="J408" i="4"/>
  <c r="J415" i="4"/>
  <c r="K421" i="4"/>
  <c r="K413" i="4"/>
  <c r="K406" i="4"/>
  <c r="I418" i="4"/>
  <c r="J825" i="4"/>
  <c r="J419" i="4"/>
  <c r="J420" i="4"/>
  <c r="N201" i="1"/>
  <c r="J414" i="4"/>
  <c r="I413" i="4"/>
  <c r="I406" i="4"/>
  <c r="J409" i="4"/>
  <c r="J407" i="4"/>
  <c r="J422" i="4" l="1"/>
  <c r="I421" i="4"/>
  <c r="Q107" i="1"/>
  <c r="Q105" i="1"/>
  <c r="Q106" i="1"/>
  <c r="Q103" i="1"/>
  <c r="J413" i="4"/>
  <c r="J406" i="4"/>
  <c r="J418" i="4"/>
  <c r="I417" i="4"/>
  <c r="J103" i="1"/>
  <c r="J105" i="1"/>
  <c r="J421" i="4" l="1"/>
  <c r="J106" i="1"/>
  <c r="J107" i="1"/>
  <c r="J417" i="4"/>
  <c r="N103" i="1"/>
  <c r="P103" i="1"/>
  <c r="N105" i="1"/>
  <c r="P105" i="1"/>
  <c r="N106" i="1" l="1"/>
  <c r="P106" i="1"/>
  <c r="N107" i="1" l="1"/>
  <c r="P107" i="1"/>
  <c r="G632" i="1" l="1"/>
  <c r="O552" i="1" l="1"/>
  <c r="I552" i="1"/>
  <c r="H552" i="1"/>
  <c r="G552" i="1"/>
  <c r="K1018" i="4"/>
  <c r="A995" i="4"/>
  <c r="A998" i="4" s="1"/>
  <c r="A1000" i="4" s="1"/>
  <c r="A1002" i="4" s="1"/>
  <c r="A1004" i="4" s="1"/>
  <c r="A1006" i="4" s="1"/>
  <c r="O632" i="1"/>
  <c r="M632" i="1"/>
  <c r="L632" i="1"/>
  <c r="K632" i="1"/>
  <c r="I632" i="1"/>
  <c r="H632" i="1"/>
  <c r="I2381" i="4"/>
  <c r="I2380" i="4"/>
  <c r="I2378" i="4"/>
  <c r="I2377" i="4"/>
  <c r="I2375" i="4"/>
  <c r="I2374" i="4"/>
  <c r="K2373" i="4"/>
  <c r="I2372" i="4"/>
  <c r="I2371" i="4"/>
  <c r="I2370" i="4"/>
  <c r="I2369" i="4"/>
  <c r="K2368" i="4"/>
  <c r="I2367" i="4"/>
  <c r="I2366" i="4"/>
  <c r="K2365" i="4"/>
  <c r="I2364" i="4"/>
  <c r="I2363" i="4"/>
  <c r="I2362" i="4"/>
  <c r="I2361" i="4"/>
  <c r="K2360" i="4"/>
  <c r="M310" i="1"/>
  <c r="L310" i="1"/>
  <c r="K310" i="1"/>
  <c r="I310" i="1"/>
  <c r="H310" i="1"/>
  <c r="G310" i="1"/>
  <c r="K1176" i="4"/>
  <c r="O16" i="1"/>
  <c r="M16" i="1"/>
  <c r="L16" i="1"/>
  <c r="K16" i="1"/>
  <c r="I16" i="1"/>
  <c r="H16" i="1"/>
  <c r="K40" i="4"/>
  <c r="K29" i="4"/>
  <c r="K20" i="4"/>
  <c r="O644" i="1"/>
  <c r="M644" i="1"/>
  <c r="L644" i="1"/>
  <c r="K644" i="1"/>
  <c r="I644" i="1"/>
  <c r="H644" i="1"/>
  <c r="G644" i="1"/>
  <c r="A646" i="1"/>
  <c r="J2514" i="4"/>
  <c r="I2513" i="4"/>
  <c r="J2512" i="4"/>
  <c r="I2511" i="4"/>
  <c r="K2510" i="4"/>
  <c r="J2506" i="4"/>
  <c r="I2505" i="4"/>
  <c r="J2504" i="4"/>
  <c r="I2503" i="4"/>
  <c r="J2502" i="4"/>
  <c r="I2501" i="4"/>
  <c r="K2500" i="4"/>
  <c r="J2499" i="4"/>
  <c r="I2498" i="4"/>
  <c r="K2497" i="4"/>
  <c r="J2493" i="4"/>
  <c r="I2492" i="4"/>
  <c r="J2491" i="4"/>
  <c r="I2490" i="4"/>
  <c r="J2489" i="4"/>
  <c r="I2488" i="4"/>
  <c r="K2487" i="4"/>
  <c r="J2486" i="4"/>
  <c r="I2485" i="4"/>
  <c r="J2484" i="4"/>
  <c r="I2483" i="4"/>
  <c r="J2482" i="4"/>
  <c r="I2481" i="4"/>
  <c r="K2480" i="4"/>
  <c r="I2465" i="4"/>
  <c r="I2464" i="4"/>
  <c r="K2463" i="4"/>
  <c r="J2462" i="4"/>
  <c r="I2461" i="4"/>
  <c r="K2460" i="4"/>
  <c r="J2459" i="4"/>
  <c r="I2458" i="4"/>
  <c r="J2457" i="4"/>
  <c r="I2456" i="4"/>
  <c r="J2455" i="4"/>
  <c r="I2454" i="4"/>
  <c r="K2453" i="4"/>
  <c r="K2452" i="4"/>
  <c r="J2447" i="4"/>
  <c r="I2446" i="4"/>
  <c r="K2445" i="4"/>
  <c r="J2444" i="4"/>
  <c r="I2443" i="4"/>
  <c r="K2442" i="4"/>
  <c r="I2441" i="4"/>
  <c r="I2440" i="4"/>
  <c r="K2439" i="4"/>
  <c r="I2438" i="4"/>
  <c r="I2437" i="4"/>
  <c r="K2436" i="4"/>
  <c r="J2435" i="4"/>
  <c r="I2434" i="4"/>
  <c r="J2433" i="4"/>
  <c r="I2432" i="4"/>
  <c r="J2431" i="4"/>
  <c r="I2430" i="4"/>
  <c r="K2429" i="4"/>
  <c r="J2428" i="4"/>
  <c r="I2427" i="4"/>
  <c r="K2426" i="4"/>
  <c r="I2408" i="4"/>
  <c r="I2407" i="4"/>
  <c r="K2406" i="4"/>
  <c r="J2405" i="4"/>
  <c r="K2403" i="4"/>
  <c r="J2402" i="4"/>
  <c r="I2401" i="4"/>
  <c r="K2400" i="4"/>
  <c r="A2400" i="4"/>
  <c r="A2403" i="4" s="1"/>
  <c r="J2399" i="4"/>
  <c r="I2398" i="4"/>
  <c r="J2397" i="4"/>
  <c r="I2396" i="4"/>
  <c r="J2395" i="4"/>
  <c r="I2394" i="4"/>
  <c r="K2393" i="4"/>
  <c r="A647" i="1" l="1"/>
  <c r="A2406" i="4"/>
  <c r="A2409" i="4" s="1"/>
  <c r="A2412" i="4" s="1"/>
  <c r="A2415" i="4" s="1"/>
  <c r="A2426" i="4" s="1"/>
  <c r="A2429" i="4" s="1"/>
  <c r="A2436" i="4" s="1"/>
  <c r="K2451" i="4"/>
  <c r="Q317" i="1"/>
  <c r="Q634" i="1"/>
  <c r="Q635" i="1"/>
  <c r="Q633" i="1"/>
  <c r="Q636" i="1"/>
  <c r="A1008" i="4"/>
  <c r="I2487" i="4"/>
  <c r="J2408" i="4"/>
  <c r="J2438" i="4"/>
  <c r="J2441" i="4"/>
  <c r="J1019" i="4"/>
  <c r="J2465" i="4"/>
  <c r="K988" i="4"/>
  <c r="J2394" i="4"/>
  <c r="J2396" i="4"/>
  <c r="J2398" i="4"/>
  <c r="J2430" i="4"/>
  <c r="J2432" i="4"/>
  <c r="J2434" i="4"/>
  <c r="J2443" i="4"/>
  <c r="J2464" i="4"/>
  <c r="J2481" i="4"/>
  <c r="J2483" i="4"/>
  <c r="J2485" i="4"/>
  <c r="J2488" i="4"/>
  <c r="J2490" i="4"/>
  <c r="J2492" i="4"/>
  <c r="J2501" i="4"/>
  <c r="J2503" i="4"/>
  <c r="J2505" i="4"/>
  <c r="J40" i="4"/>
  <c r="J42" i="4"/>
  <c r="J1158" i="4"/>
  <c r="J1173" i="4"/>
  <c r="J2362" i="4"/>
  <c r="J2364" i="4"/>
  <c r="J2366" i="4"/>
  <c r="J2369" i="4"/>
  <c r="J2371" i="4"/>
  <c r="J2375" i="4"/>
  <c r="J2377" i="4"/>
  <c r="J2381" i="4"/>
  <c r="J996" i="4"/>
  <c r="J1001" i="4"/>
  <c r="J2407" i="4"/>
  <c r="J2440" i="4"/>
  <c r="J2456" i="4"/>
  <c r="J2458" i="4"/>
  <c r="J2498" i="4"/>
  <c r="J2511" i="4"/>
  <c r="J2513" i="4"/>
  <c r="J41" i="4"/>
  <c r="J1171" i="4"/>
  <c r="J2361" i="4"/>
  <c r="J2363" i="4"/>
  <c r="J2367" i="4"/>
  <c r="J2370" i="4"/>
  <c r="J2372" i="4"/>
  <c r="J2374" i="4"/>
  <c r="J2378" i="4"/>
  <c r="J2380" i="4"/>
  <c r="J997" i="4"/>
  <c r="K1160" i="4"/>
  <c r="K1169" i="4"/>
  <c r="K1174" i="4"/>
  <c r="K1002" i="4"/>
  <c r="Q258" i="1"/>
  <c r="K995" i="4"/>
  <c r="Q648" i="1"/>
  <c r="Q652" i="1"/>
  <c r="Q655" i="1"/>
  <c r="Q661" i="1"/>
  <c r="Q668" i="1"/>
  <c r="Q17" i="1"/>
  <c r="Q647" i="1"/>
  <c r="Q665" i="1"/>
  <c r="Q666" i="1"/>
  <c r="Q262" i="1"/>
  <c r="Q654" i="1"/>
  <c r="Q657" i="1"/>
  <c r="Q660" i="1"/>
  <c r="Q671" i="1"/>
  <c r="Q20" i="1"/>
  <c r="Q250" i="1"/>
  <c r="Q645" i="1"/>
  <c r="Q646" i="1"/>
  <c r="Q653" i="1"/>
  <c r="Q656" i="1"/>
  <c r="Q662" i="1"/>
  <c r="Q669" i="1"/>
  <c r="I2442" i="4"/>
  <c r="I2500" i="4"/>
  <c r="K998" i="4"/>
  <c r="K1000" i="4"/>
  <c r="K1179" i="4"/>
  <c r="K1196" i="4"/>
  <c r="J993" i="4"/>
  <c r="I2368" i="4"/>
  <c r="K39" i="4"/>
  <c r="I995" i="4"/>
  <c r="I1000" i="4"/>
  <c r="I2365" i="4"/>
  <c r="I2376" i="4"/>
  <c r="K1157" i="4"/>
  <c r="K1172" i="4"/>
  <c r="I2360" i="4"/>
  <c r="I2373" i="4"/>
  <c r="I2379" i="4"/>
  <c r="J1159" i="4"/>
  <c r="I1157" i="4"/>
  <c r="I1172" i="4"/>
  <c r="I2406" i="4"/>
  <c r="I2439" i="4"/>
  <c r="J21" i="4"/>
  <c r="I2452" i="4"/>
  <c r="I2463" i="4"/>
  <c r="I39" i="4"/>
  <c r="I2429" i="4"/>
  <c r="J2401" i="4"/>
  <c r="I2400" i="4"/>
  <c r="J2404" i="4"/>
  <c r="I2403" i="4"/>
  <c r="J2446" i="4"/>
  <c r="I2445" i="4"/>
  <c r="I2393" i="4"/>
  <c r="J2427" i="4"/>
  <c r="I2426" i="4"/>
  <c r="J2437" i="4"/>
  <c r="I2436" i="4"/>
  <c r="J2454" i="4"/>
  <c r="I2453" i="4"/>
  <c r="J2461" i="4"/>
  <c r="I2460" i="4"/>
  <c r="I2480" i="4"/>
  <c r="I2497" i="4"/>
  <c r="I2510" i="4"/>
  <c r="A332" i="1"/>
  <c r="J1409" i="4"/>
  <c r="J1407" i="4"/>
  <c r="K1405" i="4"/>
  <c r="I1404" i="4"/>
  <c r="I1403" i="4"/>
  <c r="I1402" i="4"/>
  <c r="I1401" i="4"/>
  <c r="I1397" i="4"/>
  <c r="I1396" i="4"/>
  <c r="I1395" i="4"/>
  <c r="I1394" i="4"/>
  <c r="I1393" i="4"/>
  <c r="I1390" i="4"/>
  <c r="I1380" i="4"/>
  <c r="I1379" i="4"/>
  <c r="I1378" i="4"/>
  <c r="I1377" i="4"/>
  <c r="I1376" i="4"/>
  <c r="I1375" i="4"/>
  <c r="I1373" i="4"/>
  <c r="I1372" i="4"/>
  <c r="I1371" i="4"/>
  <c r="I1370" i="4"/>
  <c r="I1369" i="4"/>
  <c r="K1337" i="4"/>
  <c r="J1335" i="4"/>
  <c r="K1333" i="4"/>
  <c r="K1330" i="4"/>
  <c r="K1308" i="4"/>
  <c r="I1303" i="4"/>
  <c r="K1301" i="4"/>
  <c r="I1300" i="4"/>
  <c r="K1298" i="4"/>
  <c r="I1295" i="4"/>
  <c r="I1294" i="4"/>
  <c r="I1293" i="4"/>
  <c r="I1284" i="4"/>
  <c r="K1283" i="4"/>
  <c r="I1281" i="4"/>
  <c r="K1280" i="4"/>
  <c r="K1276" i="4"/>
  <c r="J1274" i="4"/>
  <c r="K1272" i="4"/>
  <c r="I1271" i="4"/>
  <c r="K1270" i="4"/>
  <c r="I1264" i="4"/>
  <c r="I1261" i="4"/>
  <c r="J1235" i="4"/>
  <c r="K1233" i="4"/>
  <c r="I1232" i="4"/>
  <c r="K1230" i="4"/>
  <c r="K1229" i="4"/>
  <c r="A1223" i="4"/>
  <c r="A1226" i="4" s="1"/>
  <c r="A1228" i="4" s="1"/>
  <c r="A1230" i="4" s="1"/>
  <c r="A1233" i="4" s="1"/>
  <c r="A1236" i="4" s="1"/>
  <c r="A1238" i="4" s="1"/>
  <c r="I1218" i="4"/>
  <c r="A1010" i="4" l="1"/>
  <c r="A1012" i="4" s="1"/>
  <c r="A1014" i="4" s="1"/>
  <c r="A1016" i="4" s="1"/>
  <c r="A1018" i="4" s="1"/>
  <c r="A1021" i="4" s="1"/>
  <c r="A2439" i="4"/>
  <c r="A2442" i="4" s="1"/>
  <c r="A2445" i="4" s="1"/>
  <c r="Q649" i="1"/>
  <c r="K1329" i="4"/>
  <c r="K1336" i="4"/>
  <c r="K1275" i="4"/>
  <c r="Q658" i="1"/>
  <c r="Q659" i="1"/>
  <c r="K1228" i="4"/>
  <c r="K1279" i="4"/>
  <c r="K1307" i="4"/>
  <c r="A1241" i="4"/>
  <c r="A1243" i="4" s="1"/>
  <c r="A1259" i="4" s="1"/>
  <c r="A1262" i="4" s="1"/>
  <c r="A1269" i="4" s="1"/>
  <c r="A1272" i="4" s="1"/>
  <c r="A1275" i="4" s="1"/>
  <c r="A1279" i="4" s="1"/>
  <c r="A1282" i="4" s="1"/>
  <c r="A1285" i="4" s="1"/>
  <c r="I2359" i="4"/>
  <c r="I992" i="4"/>
  <c r="Q315" i="1"/>
  <c r="Q311" i="1"/>
  <c r="Q323" i="1"/>
  <c r="Q318" i="1"/>
  <c r="Q251" i="1"/>
  <c r="Q254" i="1"/>
  <c r="Q314" i="1"/>
  <c r="J2442" i="4"/>
  <c r="Q248" i="1"/>
  <c r="Q313" i="1"/>
  <c r="Q321" i="1"/>
  <c r="Q316" i="1"/>
  <c r="Q312" i="1"/>
  <c r="A333" i="1"/>
  <c r="J638" i="1"/>
  <c r="J637" i="1"/>
  <c r="J635" i="1"/>
  <c r="J636" i="1"/>
  <c r="J633" i="1"/>
  <c r="J634" i="1"/>
  <c r="J315" i="1"/>
  <c r="J311" i="1"/>
  <c r="J313" i="1"/>
  <c r="I20" i="4"/>
  <c r="J666" i="1"/>
  <c r="J1178" i="4"/>
  <c r="J22" i="4"/>
  <c r="I1176" i="4"/>
  <c r="J2439" i="4"/>
  <c r="J2406" i="4"/>
  <c r="J2463" i="4"/>
  <c r="J2487" i="4"/>
  <c r="J2373" i="4"/>
  <c r="J2376" i="4"/>
  <c r="J2379" i="4"/>
  <c r="J39" i="4"/>
  <c r="J2429" i="4"/>
  <c r="J2393" i="4"/>
  <c r="J2360" i="4"/>
  <c r="J2510" i="4"/>
  <c r="J2497" i="4"/>
  <c r="J1000" i="4"/>
  <c r="J995" i="4"/>
  <c r="J2368" i="4"/>
  <c r="J2365" i="4"/>
  <c r="J2500" i="4"/>
  <c r="J2480" i="4"/>
  <c r="J994" i="4"/>
  <c r="J1232" i="4"/>
  <c r="J1303" i="4"/>
  <c r="J1300" i="4"/>
  <c r="J1218" i="4"/>
  <c r="J1224" i="4"/>
  <c r="J1234" i="4"/>
  <c r="J1260" i="4"/>
  <c r="J1270" i="4"/>
  <c r="J1281" i="4"/>
  <c r="J1284" i="4"/>
  <c r="J1295" i="4"/>
  <c r="J1322" i="4"/>
  <c r="J1326" i="4"/>
  <c r="J1369" i="4"/>
  <c r="J1371" i="4"/>
  <c r="J1373" i="4"/>
  <c r="J1376" i="4"/>
  <c r="J1378" i="4"/>
  <c r="J1380" i="4"/>
  <c r="J1389" i="4"/>
  <c r="J1394" i="4"/>
  <c r="J1396" i="4"/>
  <c r="J1399" i="4"/>
  <c r="J1403" i="4"/>
  <c r="J1406" i="4"/>
  <c r="J1408" i="4"/>
  <c r="J668" i="1"/>
  <c r="J661" i="1"/>
  <c r="J660" i="1"/>
  <c r="J654" i="1"/>
  <c r="J645" i="1"/>
  <c r="J653" i="1"/>
  <c r="J662" i="1"/>
  <c r="J1175" i="4"/>
  <c r="J1161" i="4"/>
  <c r="J1197" i="4"/>
  <c r="J253" i="1"/>
  <c r="J1003" i="4"/>
  <c r="J989" i="4"/>
  <c r="J669" i="1"/>
  <c r="J656" i="1"/>
  <c r="J1225" i="4"/>
  <c r="J1231" i="4"/>
  <c r="J1261" i="4"/>
  <c r="J1264" i="4"/>
  <c r="J1271" i="4"/>
  <c r="J1273" i="4"/>
  <c r="J1276" i="4"/>
  <c r="J1283" i="4"/>
  <c r="J1294" i="4"/>
  <c r="J1297" i="4"/>
  <c r="J1370" i="4"/>
  <c r="J1372" i="4"/>
  <c r="J1375" i="4"/>
  <c r="J1377" i="4"/>
  <c r="J1379" i="4"/>
  <c r="J1390" i="4"/>
  <c r="J1393" i="4"/>
  <c r="J1395" i="4"/>
  <c r="J1397" i="4"/>
  <c r="J1402" i="4"/>
  <c r="J1404" i="4"/>
  <c r="J671" i="1"/>
  <c r="J665" i="1"/>
  <c r="J652" i="1"/>
  <c r="J657" i="1"/>
  <c r="J647" i="1"/>
  <c r="J646" i="1"/>
  <c r="J31" i="4"/>
  <c r="J24" i="1"/>
  <c r="J2452" i="4"/>
  <c r="J1170" i="4"/>
  <c r="J655" i="1"/>
  <c r="J648" i="1"/>
  <c r="J1020" i="4"/>
  <c r="N256" i="1"/>
  <c r="J251" i="1"/>
  <c r="J1180" i="4"/>
  <c r="J999" i="4"/>
  <c r="Q353" i="1"/>
  <c r="Q336" i="1"/>
  <c r="J2460" i="4"/>
  <c r="J2453" i="4"/>
  <c r="J2436" i="4"/>
  <c r="J1172" i="4"/>
  <c r="Q253" i="1"/>
  <c r="Q335" i="1"/>
  <c r="Q344" i="1"/>
  <c r="Q354" i="1"/>
  <c r="J2445" i="4"/>
  <c r="J2403" i="4"/>
  <c r="Q252" i="1"/>
  <c r="Q376" i="1"/>
  <c r="J1157" i="4"/>
  <c r="Q362" i="1"/>
  <c r="J2426" i="4"/>
  <c r="J2400" i="4"/>
  <c r="Q24" i="1"/>
  <c r="I1333" i="4"/>
  <c r="I1405" i="4"/>
  <c r="I988" i="4"/>
  <c r="I1002" i="4"/>
  <c r="I998" i="4"/>
  <c r="K1282" i="4"/>
  <c r="I1018" i="4"/>
  <c r="I1160" i="4"/>
  <c r="I1179" i="4"/>
  <c r="I1196" i="4"/>
  <c r="K1325" i="4"/>
  <c r="I2451" i="4"/>
  <c r="I1174" i="4"/>
  <c r="K1321" i="4"/>
  <c r="K1363" i="4"/>
  <c r="I1169" i="4"/>
  <c r="K1216" i="4"/>
  <c r="I1229" i="4"/>
  <c r="K1259" i="4"/>
  <c r="K1269" i="4"/>
  <c r="K1388" i="4"/>
  <c r="I29" i="4"/>
  <c r="K1223" i="4"/>
  <c r="K1226" i="4"/>
  <c r="K1262" i="4"/>
  <c r="K1285" i="4"/>
  <c r="K1296" i="4"/>
  <c r="K1374" i="4"/>
  <c r="K1391" i="4"/>
  <c r="I1223" i="4"/>
  <c r="I1259" i="4"/>
  <c r="I1263" i="4"/>
  <c r="I1269" i="4"/>
  <c r="I1282" i="4"/>
  <c r="K1367" i="4"/>
  <c r="K1386" i="4"/>
  <c r="I1388" i="4"/>
  <c r="I1392" i="4"/>
  <c r="K1400" i="4"/>
  <c r="I1398" i="4"/>
  <c r="J1293" i="4"/>
  <c r="I1292" i="4"/>
  <c r="I1301" i="4"/>
  <c r="J1401" i="4"/>
  <c r="I1400" i="4"/>
  <c r="I1230" i="4"/>
  <c r="I1233" i="4"/>
  <c r="I1272" i="4"/>
  <c r="K1292" i="4"/>
  <c r="I1296" i="4"/>
  <c r="J1299" i="4"/>
  <c r="I1298" i="4"/>
  <c r="I1368" i="4"/>
  <c r="I1374" i="4"/>
  <c r="K1398" i="4"/>
  <c r="O32" i="1"/>
  <c r="M32" i="1"/>
  <c r="L32" i="1"/>
  <c r="K32" i="1"/>
  <c r="G32" i="1"/>
  <c r="A34" i="1"/>
  <c r="I975" i="4" l="1"/>
  <c r="I2392" i="4"/>
  <c r="A2448" i="4"/>
  <c r="A2451" i="4" s="1"/>
  <c r="A2453" i="4" s="1"/>
  <c r="Q356" i="1"/>
  <c r="A1287" i="4"/>
  <c r="J1275" i="4"/>
  <c r="Q346" i="1"/>
  <c r="Q363" i="1"/>
  <c r="Q361" i="1"/>
  <c r="Q334" i="1"/>
  <c r="J998" i="4"/>
  <c r="J1018" i="4"/>
  <c r="J1169" i="4"/>
  <c r="J988" i="4"/>
  <c r="J1174" i="4"/>
  <c r="J992" i="4"/>
  <c r="J1179" i="4"/>
  <c r="J2451" i="4"/>
  <c r="J29" i="4"/>
  <c r="J1002" i="4"/>
  <c r="J1196" i="4"/>
  <c r="J1160" i="4"/>
  <c r="J20" i="4"/>
  <c r="J1176" i="4"/>
  <c r="N251" i="1"/>
  <c r="N253" i="1"/>
  <c r="N24" i="1"/>
  <c r="A648" i="1"/>
  <c r="P648" i="1"/>
  <c r="N647" i="1"/>
  <c r="N657" i="1"/>
  <c r="P665" i="1"/>
  <c r="P656" i="1"/>
  <c r="N653" i="1"/>
  <c r="N654" i="1"/>
  <c r="N661" i="1"/>
  <c r="P666" i="1"/>
  <c r="P655" i="1"/>
  <c r="P646" i="1"/>
  <c r="P652" i="1"/>
  <c r="P671" i="1"/>
  <c r="N669" i="1"/>
  <c r="N662" i="1"/>
  <c r="P660" i="1"/>
  <c r="N668" i="1"/>
  <c r="A334" i="1"/>
  <c r="P633" i="1"/>
  <c r="N633" i="1"/>
  <c r="P634" i="1"/>
  <c r="N634" i="1"/>
  <c r="P636" i="1"/>
  <c r="N636" i="1"/>
  <c r="P635" i="1"/>
  <c r="N635" i="1"/>
  <c r="P638" i="1"/>
  <c r="N638" i="1"/>
  <c r="P637" i="1"/>
  <c r="N637" i="1"/>
  <c r="J314" i="1"/>
  <c r="J318" i="1"/>
  <c r="P313" i="1"/>
  <c r="P311" i="1"/>
  <c r="P315" i="1"/>
  <c r="J316" i="1"/>
  <c r="J323" i="1"/>
  <c r="J312" i="1"/>
  <c r="J321" i="1"/>
  <c r="J317" i="1"/>
  <c r="I1156" i="4"/>
  <c r="J17" i="1"/>
  <c r="I19" i="4"/>
  <c r="N666" i="1"/>
  <c r="J649" i="1"/>
  <c r="J250" i="1"/>
  <c r="P657" i="1"/>
  <c r="N665" i="1"/>
  <c r="P645" i="1"/>
  <c r="J1269" i="4"/>
  <c r="J1230" i="4"/>
  <c r="J1233" i="4"/>
  <c r="J1333" i="4"/>
  <c r="J1282" i="4"/>
  <c r="P662" i="1"/>
  <c r="J1374" i="4"/>
  <c r="J1272" i="4"/>
  <c r="J1405" i="4"/>
  <c r="J1321" i="4"/>
  <c r="P654" i="1"/>
  <c r="J1388" i="4"/>
  <c r="J1259" i="4"/>
  <c r="N671" i="1"/>
  <c r="J1325" i="4"/>
  <c r="J1296" i="4"/>
  <c r="J1223" i="4"/>
  <c r="N645" i="1"/>
  <c r="P661" i="1"/>
  <c r="P647" i="1"/>
  <c r="P256" i="1"/>
  <c r="N646" i="1"/>
  <c r="N652" i="1"/>
  <c r="P24" i="1"/>
  <c r="P669" i="1"/>
  <c r="N656" i="1"/>
  <c r="N660" i="1"/>
  <c r="P653" i="1"/>
  <c r="P668" i="1"/>
  <c r="N648" i="1"/>
  <c r="N655" i="1"/>
  <c r="P251" i="1"/>
  <c r="P253" i="1"/>
  <c r="J353" i="1"/>
  <c r="J352" i="1"/>
  <c r="J344" i="1"/>
  <c r="J335" i="1"/>
  <c r="J354" i="1"/>
  <c r="J351" i="1"/>
  <c r="I1391" i="4"/>
  <c r="J359" i="1"/>
  <c r="J1286" i="4"/>
  <c r="J1280" i="4"/>
  <c r="J343" i="1"/>
  <c r="J341" i="1"/>
  <c r="J1227" i="4"/>
  <c r="J1364" i="4"/>
  <c r="J20" i="1"/>
  <c r="J1229" i="4"/>
  <c r="J252" i="1"/>
  <c r="J254" i="1"/>
  <c r="J376" i="1"/>
  <c r="J362" i="1"/>
  <c r="J369" i="1"/>
  <c r="J336" i="1"/>
  <c r="J375" i="1"/>
  <c r="J374" i="1"/>
  <c r="J372" i="1"/>
  <c r="J360" i="1"/>
  <c r="J1308" i="4"/>
  <c r="J347" i="1"/>
  <c r="J345" i="1"/>
  <c r="J1263" i="4"/>
  <c r="J1217" i="4"/>
  <c r="J332" i="1"/>
  <c r="J659" i="1"/>
  <c r="J258" i="1"/>
  <c r="J262" i="1"/>
  <c r="J248" i="1"/>
  <c r="N375" i="1"/>
  <c r="J1301" i="4"/>
  <c r="Q368" i="1"/>
  <c r="Q372" i="1"/>
  <c r="Q331" i="1"/>
  <c r="Q359" i="1"/>
  <c r="Q360" i="1"/>
  <c r="Q373" i="1"/>
  <c r="Q352" i="1"/>
  <c r="Q333" i="1"/>
  <c r="Q343" i="1"/>
  <c r="Q374" i="1"/>
  <c r="J1400" i="4"/>
  <c r="J1398" i="4"/>
  <c r="Q371" i="1"/>
  <c r="Q369" i="1"/>
  <c r="Q348" i="1"/>
  <c r="Q332" i="1"/>
  <c r="Q341" i="1"/>
  <c r="Q351" i="1"/>
  <c r="J1298" i="4"/>
  <c r="J1292" i="4"/>
  <c r="Q375" i="1"/>
  <c r="Q342" i="1"/>
  <c r="Q367" i="1"/>
  <c r="Q345" i="1"/>
  <c r="Q347" i="1"/>
  <c r="I1307" i="4"/>
  <c r="J552" i="1"/>
  <c r="I1228" i="4"/>
  <c r="I1216" i="4"/>
  <c r="J658" i="1"/>
  <c r="I1363" i="4"/>
  <c r="J1330" i="4"/>
  <c r="I1262" i="4"/>
  <c r="I1279" i="4"/>
  <c r="J1392" i="4"/>
  <c r="I1285" i="4"/>
  <c r="I1226" i="4"/>
  <c r="J1387" i="4"/>
  <c r="I1386" i="4"/>
  <c r="J1368" i="4"/>
  <c r="I1367" i="4"/>
  <c r="J1337" i="4"/>
  <c r="J253" i="4"/>
  <c r="K251" i="4"/>
  <c r="J250" i="4"/>
  <c r="J249" i="4"/>
  <c r="J248" i="4"/>
  <c r="J247" i="4"/>
  <c r="K246" i="4"/>
  <c r="I246" i="4"/>
  <c r="J242" i="4"/>
  <c r="K240" i="4"/>
  <c r="J236" i="4"/>
  <c r="K234" i="4"/>
  <c r="J198" i="4"/>
  <c r="K196" i="4"/>
  <c r="J195" i="4"/>
  <c r="J194" i="4"/>
  <c r="J193" i="4"/>
  <c r="J192" i="4"/>
  <c r="K191" i="4"/>
  <c r="I191" i="4"/>
  <c r="K185" i="4"/>
  <c r="J177" i="4"/>
  <c r="J175" i="4"/>
  <c r="K173" i="4"/>
  <c r="A67" i="4"/>
  <c r="A69" i="4" s="1"/>
  <c r="A71" i="4" s="1"/>
  <c r="K65" i="4"/>
  <c r="A674" i="1"/>
  <c r="I2574" i="4"/>
  <c r="I2573" i="4"/>
  <c r="I2572" i="4"/>
  <c r="I2571" i="4"/>
  <c r="I2570" i="4"/>
  <c r="I2569" i="4"/>
  <c r="K2568" i="4"/>
  <c r="I2567" i="4"/>
  <c r="I2566" i="4"/>
  <c r="I2565" i="4"/>
  <c r="I2564" i="4"/>
  <c r="I2563" i="4"/>
  <c r="I2562" i="4"/>
  <c r="K2561" i="4"/>
  <c r="I2560" i="4"/>
  <c r="I2559" i="4"/>
  <c r="I2558" i="4"/>
  <c r="I2557" i="4"/>
  <c r="I2556" i="4"/>
  <c r="I2555" i="4"/>
  <c r="K2554" i="4"/>
  <c r="I2553" i="4"/>
  <c r="I2552" i="4"/>
  <c r="I2551" i="4"/>
  <c r="I2550" i="4"/>
  <c r="I2549" i="4"/>
  <c r="I2548" i="4"/>
  <c r="K2547" i="4"/>
  <c r="I2546" i="4"/>
  <c r="I2545" i="4"/>
  <c r="I2544" i="4"/>
  <c r="I2543" i="4"/>
  <c r="I2542" i="4"/>
  <c r="I2541" i="4"/>
  <c r="K2540" i="4"/>
  <c r="I2539" i="4"/>
  <c r="I2538" i="4"/>
  <c r="I2537" i="4"/>
  <c r="I2536" i="4"/>
  <c r="I2535" i="4"/>
  <c r="I2534" i="4"/>
  <c r="K2533" i="4"/>
  <c r="I2532" i="4"/>
  <c r="I2531" i="4"/>
  <c r="K2530" i="4"/>
  <c r="I2529" i="4"/>
  <c r="I2528" i="4"/>
  <c r="I2527" i="4"/>
  <c r="I2526" i="4"/>
  <c r="I2525" i="4"/>
  <c r="I2524" i="4"/>
  <c r="K2523" i="4"/>
  <c r="A2523" i="4"/>
  <c r="A2530" i="4" s="1"/>
  <c r="A2533" i="4" s="1"/>
  <c r="A2540" i="4" s="1"/>
  <c r="A2547" i="4" s="1"/>
  <c r="A2554" i="4" s="1"/>
  <c r="A2561" i="4" s="1"/>
  <c r="A2568" i="4" s="1"/>
  <c r="A2575" i="4" s="1"/>
  <c r="A2580" i="4" s="1"/>
  <c r="I2522" i="4"/>
  <c r="I2521" i="4"/>
  <c r="I2520" i="4"/>
  <c r="I2519" i="4"/>
  <c r="I2518" i="4"/>
  <c r="I2517" i="4"/>
  <c r="K2516" i="4"/>
  <c r="A379" i="1"/>
  <c r="J1477" i="4"/>
  <c r="K1475" i="4"/>
  <c r="K1468" i="4"/>
  <c r="I1467" i="4"/>
  <c r="I1466" i="4"/>
  <c r="I1463" i="4"/>
  <c r="I1462" i="4"/>
  <c r="I1455" i="4"/>
  <c r="I1454" i="4"/>
  <c r="I1453" i="4"/>
  <c r="I1451" i="4"/>
  <c r="I1450" i="4"/>
  <c r="I1449" i="4"/>
  <c r="K1447" i="4"/>
  <c r="K1437" i="4"/>
  <c r="K1428" i="4"/>
  <c r="I1427" i="4"/>
  <c r="I1426" i="4"/>
  <c r="I1425" i="4"/>
  <c r="I1423" i="4"/>
  <c r="I1422" i="4"/>
  <c r="I1421" i="4"/>
  <c r="A1420" i="4"/>
  <c r="A1424" i="4" s="1"/>
  <c r="A1428" i="4" s="1"/>
  <c r="A1437" i="4" s="1"/>
  <c r="A1446" i="4" s="1"/>
  <c r="A1448" i="4" s="1"/>
  <c r="A1452" i="4" s="1"/>
  <c r="A1456" i="4" s="1"/>
  <c r="A1460" i="4" s="1"/>
  <c r="A1464" i="4" s="1"/>
  <c r="A1468" i="4" s="1"/>
  <c r="A1471" i="4" s="1"/>
  <c r="A1475" i="4" s="1"/>
  <c r="A1478" i="4" s="1"/>
  <c r="A1481" i="4" s="1"/>
  <c r="A1488" i="4" s="1"/>
  <c r="J1418" i="4"/>
  <c r="J1416" i="4"/>
  <c r="J1414" i="4"/>
  <c r="K1411" i="4"/>
  <c r="A73" i="1"/>
  <c r="K321" i="4"/>
  <c r="K318" i="4"/>
  <c r="K315" i="4"/>
  <c r="K304" i="4"/>
  <c r="J299" i="4"/>
  <c r="J297" i="4"/>
  <c r="J295" i="4"/>
  <c r="K292" i="4"/>
  <c r="J290" i="4"/>
  <c r="J288" i="4"/>
  <c r="J286" i="4"/>
  <c r="J284" i="4"/>
  <c r="K283" i="4"/>
  <c r="K282" i="4"/>
  <c r="I279" i="4"/>
  <c r="I277" i="4"/>
  <c r="I276" i="4"/>
  <c r="J275" i="4"/>
  <c r="J273" i="4"/>
  <c r="K272" i="4"/>
  <c r="A272" i="4"/>
  <c r="A281" i="4" s="1"/>
  <c r="A283" i="4" s="1"/>
  <c r="A292" i="4" s="1"/>
  <c r="A301" i="4" s="1"/>
  <c r="A304" i="4" s="1"/>
  <c r="A307" i="4" s="1"/>
  <c r="A311" i="4" s="1"/>
  <c r="J270" i="4"/>
  <c r="I269" i="4"/>
  <c r="J268" i="4"/>
  <c r="J266" i="4"/>
  <c r="I265" i="4"/>
  <c r="K263" i="4"/>
  <c r="I1215" i="4" l="1"/>
  <c r="A1289" i="4"/>
  <c r="A1292" i="4" s="1"/>
  <c r="A1296" i="4" s="1"/>
  <c r="A1298" i="4" s="1"/>
  <c r="A1301" i="4" s="1"/>
  <c r="A2460" i="4"/>
  <c r="A2463" i="4" s="1"/>
  <c r="A2466" i="4" s="1"/>
  <c r="A2473" i="4" s="1"/>
  <c r="J356" i="1"/>
  <c r="J1336" i="4"/>
  <c r="J1329" i="4"/>
  <c r="I282" i="4"/>
  <c r="J1216" i="4"/>
  <c r="J1307" i="4"/>
  <c r="J1285" i="4"/>
  <c r="J1279" i="4"/>
  <c r="N262" i="1"/>
  <c r="P252" i="1"/>
  <c r="P250" i="1"/>
  <c r="P258" i="1"/>
  <c r="N254" i="1"/>
  <c r="A74" i="1"/>
  <c r="A380" i="1"/>
  <c r="A675" i="1"/>
  <c r="N17" i="1"/>
  <c r="N20" i="1"/>
  <c r="A649" i="1"/>
  <c r="N649" i="1"/>
  <c r="N659" i="1"/>
  <c r="P332" i="1"/>
  <c r="P347" i="1"/>
  <c r="P360" i="1"/>
  <c r="N374" i="1"/>
  <c r="P336" i="1"/>
  <c r="N362" i="1"/>
  <c r="P341" i="1"/>
  <c r="P359" i="1"/>
  <c r="N335" i="1"/>
  <c r="P352" i="1"/>
  <c r="N345" i="1"/>
  <c r="P372" i="1"/>
  <c r="P375" i="1"/>
  <c r="N369" i="1"/>
  <c r="N376" i="1"/>
  <c r="P343" i="1"/>
  <c r="N351" i="1"/>
  <c r="P354" i="1"/>
  <c r="P344" i="1"/>
  <c r="P353" i="1"/>
  <c r="A37" i="1"/>
  <c r="A335" i="1"/>
  <c r="P17" i="1"/>
  <c r="P317" i="1"/>
  <c r="P321" i="1"/>
  <c r="P312" i="1"/>
  <c r="P323" i="1"/>
  <c r="P316" i="1"/>
  <c r="P318" i="1"/>
  <c r="P314" i="1"/>
  <c r="J244" i="1"/>
  <c r="A315" i="4"/>
  <c r="A318" i="4" s="1"/>
  <c r="A321" i="4" s="1"/>
  <c r="P649" i="1"/>
  <c r="A78" i="4"/>
  <c r="N250" i="1"/>
  <c r="N248" i="1"/>
  <c r="J1262" i="4"/>
  <c r="J1228" i="4"/>
  <c r="J1363" i="4"/>
  <c r="J1226" i="4"/>
  <c r="I94" i="4"/>
  <c r="N360" i="1"/>
  <c r="J16" i="1"/>
  <c r="P369" i="1"/>
  <c r="N372" i="1"/>
  <c r="P351" i="1"/>
  <c r="P335" i="1"/>
  <c r="P659" i="1"/>
  <c r="P248" i="1"/>
  <c r="N258" i="1"/>
  <c r="N341" i="1"/>
  <c r="N359" i="1"/>
  <c r="P254" i="1"/>
  <c r="N343" i="1"/>
  <c r="N344" i="1"/>
  <c r="P20" i="1"/>
  <c r="P362" i="1"/>
  <c r="N354" i="1"/>
  <c r="N347" i="1"/>
  <c r="N352" i="1"/>
  <c r="P345" i="1"/>
  <c r="P374" i="1"/>
  <c r="N336" i="1"/>
  <c r="N353" i="1"/>
  <c r="P262" i="1"/>
  <c r="N332" i="1"/>
  <c r="P376" i="1"/>
  <c r="N252" i="1"/>
  <c r="J265" i="4"/>
  <c r="J267" i="4"/>
  <c r="J269" i="4"/>
  <c r="J271" i="4"/>
  <c r="J274" i="4"/>
  <c r="J276" i="4"/>
  <c r="J280" i="4"/>
  <c r="J285" i="4"/>
  <c r="J287" i="4"/>
  <c r="J289" i="4"/>
  <c r="J291" i="4"/>
  <c r="J306" i="4"/>
  <c r="J316" i="4"/>
  <c r="J320" i="4"/>
  <c r="J1422" i="4"/>
  <c r="J1425" i="4"/>
  <c r="J1427" i="4"/>
  <c r="J1429" i="4"/>
  <c r="J1431" i="4"/>
  <c r="J1433" i="4"/>
  <c r="J1435" i="4"/>
  <c r="J1439" i="4"/>
  <c r="J1441" i="4"/>
  <c r="J1443" i="4"/>
  <c r="J1445" i="4"/>
  <c r="J1449" i="4"/>
  <c r="J1451" i="4"/>
  <c r="J1454" i="4"/>
  <c r="J1459" i="4"/>
  <c r="J1465" i="4"/>
  <c r="J1467" i="4"/>
  <c r="J1469" i="4"/>
  <c r="J1472" i="4"/>
  <c r="J1474" i="4"/>
  <c r="J1476" i="4"/>
  <c r="J2517" i="4"/>
  <c r="J2519" i="4"/>
  <c r="J2521" i="4"/>
  <c r="J2524" i="4"/>
  <c r="J2526" i="4"/>
  <c r="J2528" i="4"/>
  <c r="J2532" i="4"/>
  <c r="J2534" i="4"/>
  <c r="J2536" i="4"/>
  <c r="J2538" i="4"/>
  <c r="J2542" i="4"/>
  <c r="J2544" i="4"/>
  <c r="J2546" i="4"/>
  <c r="J2548" i="4"/>
  <c r="J2550" i="4"/>
  <c r="J2552" i="4"/>
  <c r="J2556" i="4"/>
  <c r="J2558" i="4"/>
  <c r="J2560" i="4"/>
  <c r="J2562" i="4"/>
  <c r="J2564" i="4"/>
  <c r="J2566" i="4"/>
  <c r="J2570" i="4"/>
  <c r="J2572" i="4"/>
  <c r="J2574" i="4"/>
  <c r="J65" i="4"/>
  <c r="J68" i="4"/>
  <c r="J95" i="4"/>
  <c r="J188" i="4"/>
  <c r="J197" i="4"/>
  <c r="J235" i="4"/>
  <c r="J244" i="4"/>
  <c r="J67" i="1"/>
  <c r="J260" i="4"/>
  <c r="J363" i="1"/>
  <c r="J368" i="1"/>
  <c r="J371" i="1"/>
  <c r="J331" i="1"/>
  <c r="J334" i="1"/>
  <c r="J277" i="4"/>
  <c r="J279" i="4"/>
  <c r="J294" i="4"/>
  <c r="J296" i="4"/>
  <c r="J298" i="4"/>
  <c r="J300" i="4"/>
  <c r="J305" i="4"/>
  <c r="J317" i="4"/>
  <c r="J319" i="4"/>
  <c r="J323" i="4"/>
  <c r="J1413" i="4"/>
  <c r="J1415" i="4"/>
  <c r="J1417" i="4"/>
  <c r="J1419" i="4"/>
  <c r="J1421" i="4"/>
  <c r="J1423" i="4"/>
  <c r="J1426" i="4"/>
  <c r="J1430" i="4"/>
  <c r="J1432" i="4"/>
  <c r="J1434" i="4"/>
  <c r="J1436" i="4"/>
  <c r="J1440" i="4"/>
  <c r="J1442" i="4"/>
  <c r="J1444" i="4"/>
  <c r="J1450" i="4"/>
  <c r="J1453" i="4"/>
  <c r="J1455" i="4"/>
  <c r="J1458" i="4"/>
  <c r="J1463" i="4"/>
  <c r="J1466" i="4"/>
  <c r="J1470" i="4"/>
  <c r="J1473" i="4"/>
  <c r="J2518" i="4"/>
  <c r="J2520" i="4"/>
  <c r="J2522" i="4"/>
  <c r="J2525" i="4"/>
  <c r="J2527" i="4"/>
  <c r="J2529" i="4"/>
  <c r="J2531" i="4"/>
  <c r="J2535" i="4"/>
  <c r="J2537" i="4"/>
  <c r="J2539" i="4"/>
  <c r="J2541" i="4"/>
  <c r="J2543" i="4"/>
  <c r="J2545" i="4"/>
  <c r="J2549" i="4"/>
  <c r="J2551" i="4"/>
  <c r="J2553" i="4"/>
  <c r="J2555" i="4"/>
  <c r="J2557" i="4"/>
  <c r="J2559" i="4"/>
  <c r="J2563" i="4"/>
  <c r="J2565" i="4"/>
  <c r="J2567" i="4"/>
  <c r="J2569" i="4"/>
  <c r="J2571" i="4"/>
  <c r="J2573" i="4"/>
  <c r="J66" i="4"/>
  <c r="J174" i="4"/>
  <c r="J176" i="4"/>
  <c r="J185" i="4"/>
  <c r="J55" i="1"/>
  <c r="J241" i="4"/>
  <c r="J252" i="4"/>
  <c r="J259" i="4"/>
  <c r="J261" i="4"/>
  <c r="J348" i="1"/>
  <c r="J346" i="1"/>
  <c r="J342" i="1"/>
  <c r="J367" i="1"/>
  <c r="J361" i="1"/>
  <c r="J373" i="1"/>
  <c r="Q73" i="1"/>
  <c r="Q78" i="1"/>
  <c r="Q675" i="1"/>
  <c r="Q679" i="1"/>
  <c r="Q49" i="1"/>
  <c r="Q55" i="1"/>
  <c r="Q65" i="1"/>
  <c r="Q68" i="1"/>
  <c r="J1386" i="4"/>
  <c r="Q83" i="1"/>
  <c r="Q378" i="1"/>
  <c r="Q381" i="1"/>
  <c r="Q391" i="1"/>
  <c r="Q673" i="1"/>
  <c r="Q674" i="1"/>
  <c r="Q678" i="1"/>
  <c r="Q34" i="1"/>
  <c r="Q51" i="1"/>
  <c r="Q53" i="1"/>
  <c r="Q56" i="1"/>
  <c r="Q63" i="1"/>
  <c r="Q75" i="1"/>
  <c r="Q82" i="1"/>
  <c r="Q382" i="1"/>
  <c r="Q677" i="1"/>
  <c r="Q681" i="1"/>
  <c r="J1367" i="4"/>
  <c r="Q72" i="1"/>
  <c r="Q76" i="1"/>
  <c r="Q81" i="1"/>
  <c r="Q389" i="1"/>
  <c r="Q676" i="1"/>
  <c r="Q680" i="1"/>
  <c r="Q66" i="1"/>
  <c r="Q67" i="1"/>
  <c r="J1391" i="4"/>
  <c r="I234" i="4"/>
  <c r="I196" i="4"/>
  <c r="N632" i="1"/>
  <c r="J632" i="1"/>
  <c r="K184" i="4"/>
  <c r="J310" i="1"/>
  <c r="K1446" i="4"/>
  <c r="K1452" i="4"/>
  <c r="P658" i="1"/>
  <c r="N658" i="1"/>
  <c r="J644" i="1"/>
  <c r="J1447" i="4"/>
  <c r="I1446" i="4"/>
  <c r="K1456" i="4"/>
  <c r="K1471" i="4"/>
  <c r="K64" i="4"/>
  <c r="K94" i="4"/>
  <c r="K257" i="4"/>
  <c r="J333" i="1"/>
  <c r="J246" i="4"/>
  <c r="J191" i="4"/>
  <c r="I64" i="4"/>
  <c r="I173" i="4"/>
  <c r="I184" i="4"/>
  <c r="I240" i="4"/>
  <c r="I251" i="4"/>
  <c r="K1420" i="4"/>
  <c r="K1460" i="4"/>
  <c r="I1428" i="4"/>
  <c r="I1437" i="4"/>
  <c r="K281" i="4"/>
  <c r="I1461" i="4"/>
  <c r="I1468" i="4"/>
  <c r="I2516" i="4"/>
  <c r="I2523" i="4"/>
  <c r="I2530" i="4"/>
  <c r="I2533" i="4"/>
  <c r="I2540" i="4"/>
  <c r="I2547" i="4"/>
  <c r="I2554" i="4"/>
  <c r="I2561" i="4"/>
  <c r="I2568" i="4"/>
  <c r="I1411" i="4"/>
  <c r="J1462" i="4"/>
  <c r="I1420" i="4"/>
  <c r="K1424" i="4"/>
  <c r="K1448" i="4"/>
  <c r="I1452" i="4"/>
  <c r="K1464" i="4"/>
  <c r="I1471" i="4"/>
  <c r="I1424" i="4"/>
  <c r="I1448" i="4"/>
  <c r="I1464" i="4"/>
  <c r="I1475" i="4"/>
  <c r="I263" i="4"/>
  <c r="I283" i="4"/>
  <c r="I292" i="4"/>
  <c r="I304" i="4"/>
  <c r="I315" i="4"/>
  <c r="I318" i="4"/>
  <c r="I321" i="4"/>
  <c r="I281" i="4" l="1"/>
  <c r="A2480" i="4"/>
  <c r="A2487" i="4" s="1"/>
  <c r="J282" i="4"/>
  <c r="A1304" i="4"/>
  <c r="A1307" i="4" s="1"/>
  <c r="A1309" i="4" s="1"/>
  <c r="A1313" i="4" s="1"/>
  <c r="A1321" i="4" s="1"/>
  <c r="A1325" i="4" s="1"/>
  <c r="A1329" i="4" s="1"/>
  <c r="A1333" i="4" s="1"/>
  <c r="A1336" i="4" s="1"/>
  <c r="A1340" i="4" s="1"/>
  <c r="A1349" i="4" s="1"/>
  <c r="A1360" i="4" s="1"/>
  <c r="I2515" i="4"/>
  <c r="A650" i="1"/>
  <c r="Q59" i="1"/>
  <c r="J243" i="4"/>
  <c r="J1475" i="4"/>
  <c r="J67" i="4"/>
  <c r="J187" i="4"/>
  <c r="N16" i="1"/>
  <c r="A676" i="1"/>
  <c r="A381" i="1"/>
  <c r="A75" i="1"/>
  <c r="A38" i="1"/>
  <c r="N644" i="1"/>
  <c r="P342" i="1"/>
  <c r="N348" i="1"/>
  <c r="P356" i="1"/>
  <c r="N331" i="1"/>
  <c r="P368" i="1"/>
  <c r="P367" i="1"/>
  <c r="N346" i="1"/>
  <c r="N55" i="1"/>
  <c r="P334" i="1"/>
  <c r="P371" i="1"/>
  <c r="N363" i="1"/>
  <c r="P67" i="1"/>
  <c r="A336" i="1"/>
  <c r="A324" i="4"/>
  <c r="A337" i="4" s="1"/>
  <c r="A85" i="4"/>
  <c r="A94" i="4" s="1"/>
  <c r="A96" i="4" s="1"/>
  <c r="A101" i="4" s="1"/>
  <c r="A120" i="4" s="1"/>
  <c r="A133" i="4" s="1"/>
  <c r="A152" i="4" s="1"/>
  <c r="A155" i="4" s="1"/>
  <c r="A158" i="4" s="1"/>
  <c r="J278" i="4"/>
  <c r="I272" i="4"/>
  <c r="J2530" i="4"/>
  <c r="J321" i="4"/>
  <c r="J315" i="4"/>
  <c r="J304" i="4"/>
  <c r="J292" i="4"/>
  <c r="J251" i="4"/>
  <c r="J240" i="4"/>
  <c r="J184" i="4"/>
  <c r="J2568" i="4"/>
  <c r="J1452" i="4"/>
  <c r="J234" i="4"/>
  <c r="J196" i="4"/>
  <c r="J2516" i="4"/>
  <c r="J1464" i="4"/>
  <c r="P348" i="1"/>
  <c r="N342" i="1"/>
  <c r="N356" i="1"/>
  <c r="J2561" i="4"/>
  <c r="J1468" i="4"/>
  <c r="J2540" i="4"/>
  <c r="J1437" i="4"/>
  <c r="J1411" i="4"/>
  <c r="J2533" i="4"/>
  <c r="J1424" i="4"/>
  <c r="J173" i="4"/>
  <c r="J2554" i="4"/>
  <c r="J1420" i="4"/>
  <c r="J64" i="4"/>
  <c r="J2547" i="4"/>
  <c r="J2523" i="4"/>
  <c r="J1471" i="4"/>
  <c r="J1448" i="4"/>
  <c r="J1428" i="4"/>
  <c r="J318" i="4"/>
  <c r="J283" i="4"/>
  <c r="J263" i="4"/>
  <c r="N368" i="1"/>
  <c r="N334" i="1"/>
  <c r="N67" i="1"/>
  <c r="P55" i="1"/>
  <c r="P346" i="1"/>
  <c r="N371" i="1"/>
  <c r="P363" i="1"/>
  <c r="P331" i="1"/>
  <c r="N367" i="1"/>
  <c r="J82" i="1"/>
  <c r="J78" i="1"/>
  <c r="J75" i="1"/>
  <c r="J388" i="1"/>
  <c r="J380" i="1"/>
  <c r="J385" i="1"/>
  <c r="J680" i="1"/>
  <c r="J678" i="1"/>
  <c r="J676" i="1"/>
  <c r="J674" i="1"/>
  <c r="J1461" i="4"/>
  <c r="J382" i="1"/>
  <c r="J68" i="1"/>
  <c r="J52" i="1"/>
  <c r="J49" i="1"/>
  <c r="J33" i="1"/>
  <c r="J258" i="4"/>
  <c r="J383" i="1"/>
  <c r="J66" i="1"/>
  <c r="J63" i="1"/>
  <c r="J83" i="1"/>
  <c r="J81" i="1"/>
  <c r="J76" i="1"/>
  <c r="J72" i="1"/>
  <c r="J391" i="1"/>
  <c r="J384" i="1"/>
  <c r="J390" i="1"/>
  <c r="J1457" i="4"/>
  <c r="J379" i="1"/>
  <c r="J74" i="1"/>
  <c r="J378" i="1"/>
  <c r="J681" i="1"/>
  <c r="J679" i="1"/>
  <c r="J677" i="1"/>
  <c r="J675" i="1"/>
  <c r="J673" i="1"/>
  <c r="J389" i="1"/>
  <c r="J381" i="1"/>
  <c r="J65" i="1"/>
  <c r="J56" i="1"/>
  <c r="P373" i="1"/>
  <c r="N373" i="1"/>
  <c r="N361" i="1"/>
  <c r="P361" i="1"/>
  <c r="Q384" i="1"/>
  <c r="Q388" i="1"/>
  <c r="Q380" i="1"/>
  <c r="Q387" i="1"/>
  <c r="Q390" i="1"/>
  <c r="Q383" i="1"/>
  <c r="Q52" i="1"/>
  <c r="Q74" i="1"/>
  <c r="Q379" i="1"/>
  <c r="Q70" i="1"/>
  <c r="Q386" i="1"/>
  <c r="Q39" i="1"/>
  <c r="Q385" i="1"/>
  <c r="Q33" i="1"/>
  <c r="J1446" i="4"/>
  <c r="N333" i="1"/>
  <c r="P333" i="1"/>
  <c r="I257" i="4"/>
  <c r="I1460" i="4"/>
  <c r="I1456" i="4"/>
  <c r="A2494" i="4" l="1"/>
  <c r="A2497" i="4" s="1"/>
  <c r="A2500" i="4" s="1"/>
  <c r="A2507" i="4" s="1"/>
  <c r="A2510" i="4" s="1"/>
  <c r="J281" i="4"/>
  <c r="A1363" i="4"/>
  <c r="A1367" i="4"/>
  <c r="A1374" i="4" s="1"/>
  <c r="A1386" i="4" s="1"/>
  <c r="A1388" i="4" s="1"/>
  <c r="A1391" i="4" s="1"/>
  <c r="A1398" i="4" s="1"/>
  <c r="A1400" i="4" s="1"/>
  <c r="A1405" i="4" s="1"/>
  <c r="A337" i="1"/>
  <c r="I1410" i="4"/>
  <c r="I262" i="4"/>
  <c r="J672" i="1"/>
  <c r="A651" i="1"/>
  <c r="I63" i="4"/>
  <c r="A167" i="4"/>
  <c r="A169" i="4" s="1"/>
  <c r="A173" i="4" s="1"/>
  <c r="A178" i="4" s="1"/>
  <c r="A181" i="4" s="1"/>
  <c r="A184" i="4" s="1"/>
  <c r="A187" i="4" s="1"/>
  <c r="J1460" i="4"/>
  <c r="J1456" i="4"/>
  <c r="J272" i="4"/>
  <c r="J257" i="4"/>
  <c r="A39" i="1"/>
  <c r="P381" i="1"/>
  <c r="N677" i="1"/>
  <c r="N681" i="1"/>
  <c r="P74" i="1"/>
  <c r="N384" i="1"/>
  <c r="P81" i="1"/>
  <c r="N383" i="1"/>
  <c r="N382" i="1"/>
  <c r="P674" i="1"/>
  <c r="N678" i="1"/>
  <c r="N385" i="1"/>
  <c r="N388" i="1"/>
  <c r="P78" i="1"/>
  <c r="N389" i="1"/>
  <c r="P675" i="1"/>
  <c r="P679" i="1"/>
  <c r="N378" i="1"/>
  <c r="N379" i="1"/>
  <c r="P390" i="1"/>
  <c r="N391" i="1"/>
  <c r="N76" i="1"/>
  <c r="P83" i="1"/>
  <c r="N676" i="1"/>
  <c r="N680" i="1"/>
  <c r="N380" i="1"/>
  <c r="N75" i="1"/>
  <c r="P82" i="1"/>
  <c r="A76" i="1"/>
  <c r="A382" i="1"/>
  <c r="A677" i="1"/>
  <c r="P56" i="1"/>
  <c r="N65" i="1"/>
  <c r="P66" i="1"/>
  <c r="N49" i="1"/>
  <c r="P68" i="1"/>
  <c r="P63" i="1"/>
  <c r="N33" i="1"/>
  <c r="P52" i="1"/>
  <c r="J73" i="1"/>
  <c r="P380" i="1"/>
  <c r="N83" i="1"/>
  <c r="N66" i="1"/>
  <c r="N675" i="1"/>
  <c r="P680" i="1"/>
  <c r="P391" i="1"/>
  <c r="P389" i="1"/>
  <c r="N390" i="1"/>
  <c r="P681" i="1"/>
  <c r="N673" i="1"/>
  <c r="P49" i="1"/>
  <c r="P383" i="1"/>
  <c r="N679" i="1"/>
  <c r="N56" i="1"/>
  <c r="P72" i="1"/>
  <c r="P75" i="1"/>
  <c r="N78" i="1"/>
  <c r="P385" i="1"/>
  <c r="P378" i="1"/>
  <c r="P673" i="1"/>
  <c r="P676" i="1"/>
  <c r="P382" i="1"/>
  <c r="P33" i="1"/>
  <c r="N52" i="1"/>
  <c r="N68" i="1"/>
  <c r="N72" i="1"/>
  <c r="P65" i="1"/>
  <c r="N381" i="1"/>
  <c r="N81" i="1"/>
  <c r="P384" i="1"/>
  <c r="P678" i="1"/>
  <c r="P388" i="1"/>
  <c r="P76" i="1"/>
  <c r="N82" i="1"/>
  <c r="P379" i="1"/>
  <c r="N74" i="1"/>
  <c r="N674" i="1"/>
  <c r="P677" i="1"/>
  <c r="N63" i="1"/>
  <c r="J386" i="1"/>
  <c r="J387" i="1"/>
  <c r="J70" i="1"/>
  <c r="J39" i="1"/>
  <c r="J34" i="1"/>
  <c r="J51" i="1"/>
  <c r="J53" i="1"/>
  <c r="J59" i="1"/>
  <c r="J94" i="4"/>
  <c r="A338" i="1" l="1"/>
  <c r="N672" i="1"/>
  <c r="J377" i="1"/>
  <c r="A652" i="1"/>
  <c r="A189" i="4"/>
  <c r="A191" i="4" s="1"/>
  <c r="A196" i="4" s="1"/>
  <c r="A199" i="4" s="1"/>
  <c r="A40" i="1"/>
  <c r="N386" i="1"/>
  <c r="N387" i="1"/>
  <c r="P73" i="1"/>
  <c r="A678" i="1"/>
  <c r="A383" i="1"/>
  <c r="A77" i="1"/>
  <c r="N53" i="1"/>
  <c r="N70" i="1"/>
  <c r="P59" i="1"/>
  <c r="P51" i="1"/>
  <c r="P39" i="1"/>
  <c r="P34" i="1"/>
  <c r="N73" i="1"/>
  <c r="J71" i="1"/>
  <c r="P387" i="1"/>
  <c r="P386" i="1"/>
  <c r="N51" i="1"/>
  <c r="N39" i="1"/>
  <c r="N59" i="1"/>
  <c r="P70" i="1"/>
  <c r="P53" i="1"/>
  <c r="N34" i="1"/>
  <c r="A687" i="1"/>
  <c r="A688" i="1" l="1"/>
  <c r="A41" i="1"/>
  <c r="A339" i="1"/>
  <c r="N377" i="1"/>
  <c r="A653" i="1"/>
  <c r="A209" i="4"/>
  <c r="A212" i="4" s="1"/>
  <c r="A215" i="4" s="1"/>
  <c r="N71" i="1"/>
  <c r="A78" i="1"/>
  <c r="A384" i="1"/>
  <c r="A679" i="1"/>
  <c r="A42" i="1"/>
  <c r="N32" i="1"/>
  <c r="G684" i="1"/>
  <c r="I684" i="1"/>
  <c r="L684" i="1"/>
  <c r="O684" i="1"/>
  <c r="H684" i="1"/>
  <c r="K684" i="1"/>
  <c r="M684" i="1"/>
  <c r="I2842" i="4"/>
  <c r="K2841" i="4"/>
  <c r="I2817" i="4"/>
  <c r="I2816" i="4"/>
  <c r="K2815" i="4"/>
  <c r="I2810" i="4"/>
  <c r="K2809" i="4"/>
  <c r="I2777" i="4"/>
  <c r="I2775" i="4"/>
  <c r="I2774" i="4"/>
  <c r="I2773" i="4"/>
  <c r="K2772" i="4"/>
  <c r="I2771" i="4"/>
  <c r="I2770" i="4"/>
  <c r="K2769" i="4"/>
  <c r="I2755" i="4"/>
  <c r="K2754" i="4"/>
  <c r="I2739" i="4"/>
  <c r="I2738" i="4"/>
  <c r="K2737" i="4"/>
  <c r="I2731" i="4"/>
  <c r="K2730" i="4"/>
  <c r="I2712" i="4"/>
  <c r="I2711" i="4"/>
  <c r="K2710" i="4"/>
  <c r="I2708" i="4"/>
  <c r="K2707" i="4"/>
  <c r="I2706" i="4"/>
  <c r="K2704" i="4"/>
  <c r="I2703" i="4"/>
  <c r="I2702" i="4"/>
  <c r="K2701" i="4"/>
  <c r="I2697" i="4"/>
  <c r="I2696" i="4"/>
  <c r="K2695" i="4"/>
  <c r="K2679" i="4"/>
  <c r="K2654" i="4"/>
  <c r="I2652" i="4"/>
  <c r="K2651" i="4"/>
  <c r="I2649" i="4"/>
  <c r="K2648" i="4"/>
  <c r="I2629" i="4"/>
  <c r="I2628" i="4"/>
  <c r="K2627" i="4"/>
  <c r="I2625" i="4"/>
  <c r="K2624" i="4"/>
  <c r="I2605" i="4"/>
  <c r="I2604" i="4"/>
  <c r="I2602" i="4"/>
  <c r="K2601" i="4"/>
  <c r="A2601" i="4"/>
  <c r="J2597" i="4"/>
  <c r="K2596" i="4"/>
  <c r="O452" i="1"/>
  <c r="M452" i="1"/>
  <c r="L452" i="1"/>
  <c r="K452" i="1"/>
  <c r="I452" i="1"/>
  <c r="H452" i="1"/>
  <c r="H449" i="1"/>
  <c r="G449" i="1"/>
  <c r="A398" i="1"/>
  <c r="K1976" i="4"/>
  <c r="K1973" i="4"/>
  <c r="K1965" i="4"/>
  <c r="I1963" i="4"/>
  <c r="I1937" i="4"/>
  <c r="K1936" i="4"/>
  <c r="K1929" i="4"/>
  <c r="I1927" i="4"/>
  <c r="K1926" i="4"/>
  <c r="K1912" i="4"/>
  <c r="K1889" i="4"/>
  <c r="K1880" i="4"/>
  <c r="K1813" i="4"/>
  <c r="K1802" i="4"/>
  <c r="I1801" i="4"/>
  <c r="I1800" i="4"/>
  <c r="K1799" i="4"/>
  <c r="K1774" i="4"/>
  <c r="I1766" i="4"/>
  <c r="K1765" i="4"/>
  <c r="I1753" i="4"/>
  <c r="K1736" i="4"/>
  <c r="I1725" i="4"/>
  <c r="K1724" i="4"/>
  <c r="K1721" i="4"/>
  <c r="I1713" i="4"/>
  <c r="I1702" i="4"/>
  <c r="I1700" i="4"/>
  <c r="I1698" i="4"/>
  <c r="K1697" i="4"/>
  <c r="K1694" i="4"/>
  <c r="K1691" i="4"/>
  <c r="K1688" i="4"/>
  <c r="I1675" i="4"/>
  <c r="K1674" i="4"/>
  <c r="K1673" i="4"/>
  <c r="K1652" i="4"/>
  <c r="K1644" i="4"/>
  <c r="K1627" i="4"/>
  <c r="K1598" i="4"/>
  <c r="K1577" i="4"/>
  <c r="K1570" i="4"/>
  <c r="K1556" i="4"/>
  <c r="K1555" i="4"/>
  <c r="K1523" i="4"/>
  <c r="K1516" i="4"/>
  <c r="J1512" i="4"/>
  <c r="K1509" i="4"/>
  <c r="J1505" i="4"/>
  <c r="K1502" i="4"/>
  <c r="A1502" i="4"/>
  <c r="A1509" i="4" s="1"/>
  <c r="A1516" i="4" s="1"/>
  <c r="A1523" i="4" s="1"/>
  <c r="J1499" i="4"/>
  <c r="K1497" i="4"/>
  <c r="K874" i="4"/>
  <c r="K871" i="4"/>
  <c r="K764" i="4"/>
  <c r="K761" i="4"/>
  <c r="K750" i="4"/>
  <c r="K730" i="4"/>
  <c r="K727" i="4"/>
  <c r="K724" i="4"/>
  <c r="K721" i="4"/>
  <c r="K704" i="4"/>
  <c r="K701" i="4"/>
  <c r="K698" i="4"/>
  <c r="K645" i="4"/>
  <c r="K639" i="4"/>
  <c r="K636" i="4"/>
  <c r="K633" i="4"/>
  <c r="K630" i="4"/>
  <c r="J629" i="4"/>
  <c r="J628" i="4"/>
  <c r="J627" i="4"/>
  <c r="J626" i="4"/>
  <c r="J624" i="4"/>
  <c r="J623" i="4"/>
  <c r="J622" i="4"/>
  <c r="J621" i="4"/>
  <c r="J620" i="4"/>
  <c r="J618" i="4"/>
  <c r="J617" i="4"/>
  <c r="J615" i="4"/>
  <c r="I614" i="4"/>
  <c r="K608" i="4"/>
  <c r="K602" i="4"/>
  <c r="K599" i="4"/>
  <c r="K596" i="4"/>
  <c r="K593" i="4"/>
  <c r="K590" i="4"/>
  <c r="J589" i="4"/>
  <c r="J588" i="4"/>
  <c r="J587" i="4"/>
  <c r="I585" i="4"/>
  <c r="I581" i="4"/>
  <c r="K580" i="4"/>
  <c r="K577" i="4"/>
  <c r="K574" i="4"/>
  <c r="K571" i="4"/>
  <c r="K563" i="4"/>
  <c r="K560" i="4"/>
  <c r="K520" i="4"/>
  <c r="K517" i="4"/>
  <c r="K484" i="4"/>
  <c r="K481" i="4"/>
  <c r="J480" i="4"/>
  <c r="K478" i="4"/>
  <c r="J478" i="4"/>
  <c r="K477" i="4"/>
  <c r="K467" i="4"/>
  <c r="K462" i="4"/>
  <c r="K455" i="4"/>
  <c r="K437" i="4"/>
  <c r="K425" i="4"/>
  <c r="K410" i="4"/>
  <c r="K403" i="4"/>
  <c r="K400" i="4"/>
  <c r="K395" i="4"/>
  <c r="K372" i="4"/>
  <c r="A375" i="4"/>
  <c r="A340" i="1" l="1"/>
  <c r="A341" i="1" s="1"/>
  <c r="J1753" i="4"/>
  <c r="A689" i="1"/>
  <c r="A2606" i="4"/>
  <c r="A2609" i="4" s="1"/>
  <c r="A2612" i="4" s="1"/>
  <c r="A2615" i="4" s="1"/>
  <c r="A2618" i="4" s="1"/>
  <c r="A2621" i="4" s="1"/>
  <c r="A2624" i="4" s="1"/>
  <c r="A2627" i="4" s="1"/>
  <c r="G433" i="1"/>
  <c r="A399" i="1"/>
  <c r="H433" i="1"/>
  <c r="A1530" i="4"/>
  <c r="A1532" i="4" s="1"/>
  <c r="A1535" i="4" s="1"/>
  <c r="A1538" i="4" s="1"/>
  <c r="A1541" i="4" s="1"/>
  <c r="A1543" i="4" s="1"/>
  <c r="A1545" i="4" s="1"/>
  <c r="A1547" i="4" s="1"/>
  <c r="A1549" i="4" s="1"/>
  <c r="A79" i="1"/>
  <c r="A654" i="1"/>
  <c r="A655" i="1" s="1"/>
  <c r="A220" i="4"/>
  <c r="A231" i="4" s="1"/>
  <c r="A234" i="4" s="1"/>
  <c r="K1651" i="4"/>
  <c r="K1554" i="4"/>
  <c r="K1672" i="4"/>
  <c r="K1773" i="4"/>
  <c r="A680" i="1"/>
  <c r="A385" i="1"/>
  <c r="A94" i="1"/>
  <c r="A43" i="1"/>
  <c r="A378" i="4"/>
  <c r="A385" i="4" s="1"/>
  <c r="A388" i="4" s="1"/>
  <c r="J1503" i="4"/>
  <c r="I582" i="4"/>
  <c r="J1524" i="4"/>
  <c r="I1676" i="4"/>
  <c r="J1695" i="4"/>
  <c r="J1702" i="4"/>
  <c r="I2603" i="4"/>
  <c r="J2682" i="4"/>
  <c r="J2708" i="4"/>
  <c r="J2755" i="4"/>
  <c r="J2777" i="4"/>
  <c r="J2810" i="4"/>
  <c r="J428" i="4"/>
  <c r="J1526" i="4"/>
  <c r="J1700" i="4"/>
  <c r="I1767" i="4"/>
  <c r="J1932" i="4"/>
  <c r="I1964" i="4"/>
  <c r="I2653" i="4"/>
  <c r="J2684" i="4"/>
  <c r="J2731" i="4"/>
  <c r="J2775" i="4"/>
  <c r="J2842" i="4"/>
  <c r="J367" i="4"/>
  <c r="J369" i="4"/>
  <c r="J374" i="4"/>
  <c r="J402" i="4"/>
  <c r="J412" i="4"/>
  <c r="J440" i="4"/>
  <c r="J445" i="4"/>
  <c r="J458" i="4"/>
  <c r="J460" i="4"/>
  <c r="J469" i="4"/>
  <c r="J471" i="4"/>
  <c r="J473" i="4"/>
  <c r="J475" i="4"/>
  <c r="J483" i="4"/>
  <c r="J522" i="4"/>
  <c r="J524" i="4"/>
  <c r="J526" i="4"/>
  <c r="J598" i="4"/>
  <c r="J726" i="4"/>
  <c r="J749" i="4"/>
  <c r="J860" i="4"/>
  <c r="J1501" i="4"/>
  <c r="J1518" i="4"/>
  <c r="J1520" i="4"/>
  <c r="J1522" i="4"/>
  <c r="J1572" i="4"/>
  <c r="J1574" i="4"/>
  <c r="J1576" i="4"/>
  <c r="J1599" i="4"/>
  <c r="J1646" i="4"/>
  <c r="J1648" i="4"/>
  <c r="J1650" i="4"/>
  <c r="J1814" i="4"/>
  <c r="J1816" i="4"/>
  <c r="J1818" i="4"/>
  <c r="J1820" i="4"/>
  <c r="J1916" i="4"/>
  <c r="J2599" i="4"/>
  <c r="J2605" i="4"/>
  <c r="J2656" i="4"/>
  <c r="J2697" i="4"/>
  <c r="J2702" i="4"/>
  <c r="J2706" i="4"/>
  <c r="J2711" i="4"/>
  <c r="J2739" i="4"/>
  <c r="J2770" i="4"/>
  <c r="J2774" i="4"/>
  <c r="J2816" i="4"/>
  <c r="J377" i="4"/>
  <c r="J405" i="4"/>
  <c r="J441" i="4"/>
  <c r="J444" i="4"/>
  <c r="J457" i="4"/>
  <c r="J459" i="4"/>
  <c r="J461" i="4"/>
  <c r="J470" i="4"/>
  <c r="J472" i="4"/>
  <c r="J474" i="4"/>
  <c r="J482" i="4"/>
  <c r="J492" i="4"/>
  <c r="J523" i="4"/>
  <c r="J142" i="1"/>
  <c r="J151" i="1"/>
  <c r="J748" i="4"/>
  <c r="J861" i="4"/>
  <c r="J1506" i="4"/>
  <c r="J1508" i="4"/>
  <c r="J1513" i="4"/>
  <c r="J1515" i="4"/>
  <c r="J1517" i="4"/>
  <c r="J1519" i="4"/>
  <c r="J1529" i="4"/>
  <c r="J1558" i="4"/>
  <c r="J1573" i="4"/>
  <c r="J1575" i="4"/>
  <c r="J1600" i="4"/>
  <c r="J1647" i="4"/>
  <c r="J1649" i="4"/>
  <c r="J1711" i="4"/>
  <c r="J1716" i="4"/>
  <c r="J1800" i="4"/>
  <c r="J1815" i="4"/>
  <c r="J1817" i="4"/>
  <c r="J1819" i="4"/>
  <c r="J1821" i="4"/>
  <c r="J1935" i="4"/>
  <c r="J2598" i="4"/>
  <c r="J2600" i="4"/>
  <c r="J2604" i="4"/>
  <c r="J2629" i="4"/>
  <c r="J2655" i="4"/>
  <c r="J2696" i="4"/>
  <c r="J2703" i="4"/>
  <c r="J2705" i="4"/>
  <c r="J2712" i="4"/>
  <c r="J2738" i="4"/>
  <c r="J2771" i="4"/>
  <c r="J2773" i="4"/>
  <c r="J2817" i="4"/>
  <c r="Q96" i="1"/>
  <c r="Q99" i="1"/>
  <c r="Q104" i="1"/>
  <c r="Q113" i="1"/>
  <c r="Q125" i="1"/>
  <c r="Q143" i="1"/>
  <c r="Q145" i="1"/>
  <c r="Q152" i="1"/>
  <c r="Q154" i="1"/>
  <c r="Q157" i="1"/>
  <c r="Q166" i="1"/>
  <c r="Q173" i="1"/>
  <c r="Q217" i="1"/>
  <c r="Q397" i="1"/>
  <c r="Q399" i="1"/>
  <c r="Q436" i="1"/>
  <c r="Q459" i="1"/>
  <c r="Q465" i="1"/>
  <c r="Q470" i="1"/>
  <c r="Q479" i="1"/>
  <c r="Q501" i="1"/>
  <c r="Q522" i="1"/>
  <c r="Q525" i="1"/>
  <c r="Q703" i="1"/>
  <c r="Q712" i="1"/>
  <c r="Q714" i="1"/>
  <c r="Q726" i="1"/>
  <c r="Q94" i="1"/>
  <c r="Q102" i="1"/>
  <c r="Q112" i="1"/>
  <c r="Q118" i="1"/>
  <c r="Q134" i="1"/>
  <c r="Q137" i="1"/>
  <c r="Q139" i="1"/>
  <c r="Q147" i="1"/>
  <c r="Q175" i="1"/>
  <c r="Q180" i="1"/>
  <c r="Q185" i="1"/>
  <c r="Q401" i="1"/>
  <c r="Q420" i="1"/>
  <c r="Q425" i="1"/>
  <c r="Q449" i="1"/>
  <c r="Q451" i="1"/>
  <c r="Q517" i="1"/>
  <c r="Q687" i="1"/>
  <c r="Q694" i="1"/>
  <c r="Q718" i="1"/>
  <c r="Q729" i="1"/>
  <c r="Q93" i="1"/>
  <c r="Q97" i="1"/>
  <c r="Q101" i="1"/>
  <c r="Q110" i="1"/>
  <c r="Q115" i="1"/>
  <c r="Q117" i="1"/>
  <c r="Q124" i="1"/>
  <c r="Q144" i="1"/>
  <c r="Q153" i="1"/>
  <c r="Q155" i="1"/>
  <c r="Q165" i="1"/>
  <c r="Q167" i="1"/>
  <c r="Q174" i="1"/>
  <c r="Q216" i="1"/>
  <c r="Q398" i="1"/>
  <c r="Q400" i="1"/>
  <c r="Q419" i="1"/>
  <c r="Q439" i="1"/>
  <c r="Q457" i="1"/>
  <c r="Q458" i="1"/>
  <c r="Q462" i="1"/>
  <c r="Q466" i="1"/>
  <c r="Q475" i="1"/>
  <c r="Q476" i="1"/>
  <c r="Q518" i="1"/>
  <c r="Q523" i="1"/>
  <c r="Q526" i="1"/>
  <c r="Q702" i="1"/>
  <c r="Q704" i="1"/>
  <c r="Q717" i="1"/>
  <c r="Q724" i="1"/>
  <c r="Q733" i="1"/>
  <c r="Q751" i="1"/>
  <c r="Q108" i="1"/>
  <c r="Q133" i="1"/>
  <c r="Q136" i="1"/>
  <c r="Q138" i="1"/>
  <c r="Q146" i="1"/>
  <c r="Q149" i="1"/>
  <c r="Q176" i="1"/>
  <c r="Q184" i="1"/>
  <c r="Q413" i="1"/>
  <c r="Q446" i="1"/>
  <c r="Q450" i="1"/>
  <c r="Q453" i="1"/>
  <c r="Q456" i="1"/>
  <c r="Q512" i="1"/>
  <c r="Q516" i="1"/>
  <c r="Q686" i="1"/>
  <c r="Q695" i="1"/>
  <c r="Q716" i="1"/>
  <c r="Q719" i="1"/>
  <c r="Q732" i="1"/>
  <c r="Q744" i="1"/>
  <c r="Q746" i="1"/>
  <c r="K585" i="4"/>
  <c r="K614" i="4"/>
  <c r="J585" i="4"/>
  <c r="K476" i="4"/>
  <c r="K858" i="4"/>
  <c r="J1578" i="4"/>
  <c r="J1580" i="4"/>
  <c r="J1582" i="4"/>
  <c r="K395" i="1"/>
  <c r="M395" i="1"/>
  <c r="I395" i="1"/>
  <c r="L395" i="1"/>
  <c r="O395" i="1"/>
  <c r="I1598" i="4"/>
  <c r="J1803" i="4"/>
  <c r="K1888" i="4"/>
  <c r="I1556" i="4"/>
  <c r="I1570" i="4"/>
  <c r="I2596" i="4"/>
  <c r="H86" i="1"/>
  <c r="H10" i="1" s="1"/>
  <c r="K86" i="1"/>
  <c r="M86" i="1"/>
  <c r="G86" i="1"/>
  <c r="I86" i="1"/>
  <c r="I10" i="1" s="1"/>
  <c r="L86" i="1"/>
  <c r="O86" i="1"/>
  <c r="O10" i="1" s="1"/>
  <c r="I481" i="4"/>
  <c r="J1689" i="4"/>
  <c r="I1813" i="4"/>
  <c r="J2625" i="4"/>
  <c r="J2649" i="4"/>
  <c r="J2602" i="4"/>
  <c r="I2626" i="4"/>
  <c r="J2628" i="4"/>
  <c r="I2627" i="4"/>
  <c r="I2650" i="4"/>
  <c r="J2652" i="4"/>
  <c r="I2709" i="4"/>
  <c r="I2732" i="4"/>
  <c r="I2756" i="4"/>
  <c r="I2776" i="4"/>
  <c r="I2778" i="4"/>
  <c r="I2811" i="4"/>
  <c r="I2843" i="4"/>
  <c r="I2654" i="4"/>
  <c r="I2695" i="4"/>
  <c r="I2701" i="4"/>
  <c r="I2704" i="4"/>
  <c r="I2710" i="4"/>
  <c r="I2737" i="4"/>
  <c r="I2769" i="4"/>
  <c r="I2815" i="4"/>
  <c r="I520" i="4"/>
  <c r="J1801" i="4"/>
  <c r="I1799" i="4"/>
  <c r="J614" i="4"/>
  <c r="I1644" i="4"/>
  <c r="J1628" i="4"/>
  <c r="J1675" i="4"/>
  <c r="J1698" i="4"/>
  <c r="J1713" i="4"/>
  <c r="J1725" i="4"/>
  <c r="J1927" i="4"/>
  <c r="J1937" i="4"/>
  <c r="J1977" i="4"/>
  <c r="I1497" i="4"/>
  <c r="I1516" i="4"/>
  <c r="I1699" i="4"/>
  <c r="I1701" i="4"/>
  <c r="I1703" i="4"/>
  <c r="J1710" i="4"/>
  <c r="I1709" i="4"/>
  <c r="I1714" i="4"/>
  <c r="J1722" i="4"/>
  <c r="I1726" i="4"/>
  <c r="I1754" i="4"/>
  <c r="J1766" i="4"/>
  <c r="I1928" i="4"/>
  <c r="J1930" i="4"/>
  <c r="I1938" i="4"/>
  <c r="J1963" i="4"/>
  <c r="J1974" i="4"/>
  <c r="I372" i="4"/>
  <c r="J485" i="4"/>
  <c r="J489" i="4"/>
  <c r="J491" i="4"/>
  <c r="J561" i="4"/>
  <c r="J572" i="4"/>
  <c r="K745" i="4"/>
  <c r="J368" i="4"/>
  <c r="I366" i="4"/>
  <c r="J386" i="4"/>
  <c r="J396" i="4"/>
  <c r="J404" i="4"/>
  <c r="I403" i="4"/>
  <c r="I455" i="4"/>
  <c r="J468" i="4"/>
  <c r="I467" i="4"/>
  <c r="K366" i="4"/>
  <c r="J376" i="4"/>
  <c r="I375" i="4"/>
  <c r="J401" i="4"/>
  <c r="I400" i="4"/>
  <c r="I410" i="4"/>
  <c r="J463" i="4"/>
  <c r="J519" i="4"/>
  <c r="I517" i="4"/>
  <c r="J591" i="4"/>
  <c r="J597" i="4"/>
  <c r="I596" i="4"/>
  <c r="J603" i="4"/>
  <c r="J631" i="4"/>
  <c r="J728" i="4"/>
  <c r="J581" i="4"/>
  <c r="J600" i="4"/>
  <c r="J634" i="4"/>
  <c r="J699" i="4"/>
  <c r="J705" i="4"/>
  <c r="J725" i="4"/>
  <c r="I724" i="4"/>
  <c r="J731" i="4"/>
  <c r="J872" i="4"/>
  <c r="I1752" i="4" l="1"/>
  <c r="N350" i="1"/>
  <c r="P350" i="1"/>
  <c r="J330" i="1"/>
  <c r="J115" i="1"/>
  <c r="A1551" i="4"/>
  <c r="A1554" i="4" s="1"/>
  <c r="A1556" i="4" s="1"/>
  <c r="A1559" i="4" s="1"/>
  <c r="A690" i="1"/>
  <c r="A2630" i="4"/>
  <c r="A2633" i="4" s="1"/>
  <c r="A2636" i="4" s="1"/>
  <c r="A2639" i="4" s="1"/>
  <c r="A2642" i="4" s="1"/>
  <c r="A2645" i="4" s="1"/>
  <c r="A2648" i="4" s="1"/>
  <c r="A2651" i="4" s="1"/>
  <c r="A2654" i="4" s="1"/>
  <c r="I1958" i="4"/>
  <c r="A400" i="1"/>
  <c r="Q468" i="1"/>
  <c r="I1712" i="4"/>
  <c r="Q440" i="1"/>
  <c r="A80" i="1"/>
  <c r="H395" i="1"/>
  <c r="A342" i="1"/>
  <c r="A237" i="4"/>
  <c r="A240" i="4" s="1"/>
  <c r="A243" i="4" s="1"/>
  <c r="A246" i="4" s="1"/>
  <c r="A251" i="4" s="1"/>
  <c r="A254" i="4" s="1"/>
  <c r="A257" i="4" s="1"/>
  <c r="J1767" i="4"/>
  <c r="Q142" i="1"/>
  <c r="J372" i="4"/>
  <c r="I1888" i="4"/>
  <c r="Q445" i="1"/>
  <c r="J1889" i="4"/>
  <c r="Q412" i="1"/>
  <c r="G395" i="1"/>
  <c r="A95" i="1"/>
  <c r="A386" i="1"/>
  <c r="A681" i="1"/>
  <c r="G10" i="1"/>
  <c r="P151" i="1"/>
  <c r="A391" i="4"/>
  <c r="A395" i="4" s="1"/>
  <c r="A44" i="1"/>
  <c r="P142" i="1"/>
  <c r="J1964" i="4"/>
  <c r="I1736" i="4"/>
  <c r="J1511" i="4"/>
  <c r="J1693" i="4"/>
  <c r="J1676" i="4"/>
  <c r="I1973" i="4"/>
  <c r="J1723" i="4"/>
  <c r="J1629" i="4"/>
  <c r="J1931" i="4"/>
  <c r="J1804" i="4"/>
  <c r="I1688" i="4"/>
  <c r="N270" i="1"/>
  <c r="P270" i="1"/>
  <c r="N151" i="1"/>
  <c r="J565" i="4"/>
  <c r="J2596" i="4"/>
  <c r="I1577" i="4"/>
  <c r="I730" i="4"/>
  <c r="I2601" i="4"/>
  <c r="J2710" i="4"/>
  <c r="J763" i="4"/>
  <c r="J390" i="4"/>
  <c r="J582" i="4"/>
  <c r="J1570" i="4"/>
  <c r="J700" i="4"/>
  <c r="J562" i="4"/>
  <c r="J873" i="4"/>
  <c r="J635" i="4"/>
  <c r="J464" i="4"/>
  <c r="J610" i="4"/>
  <c r="J486" i="4"/>
  <c r="J1516" i="4"/>
  <c r="I2651" i="4"/>
  <c r="J2653" i="4"/>
  <c r="J2737" i="4"/>
  <c r="J2701" i="4"/>
  <c r="J2815" i="4"/>
  <c r="J2769" i="4"/>
  <c r="J2695" i="4"/>
  <c r="I639" i="4"/>
  <c r="I580" i="4"/>
  <c r="J573" i="4"/>
  <c r="I1912" i="4"/>
  <c r="J1644" i="4"/>
  <c r="I1880" i="4"/>
  <c r="J2704" i="4"/>
  <c r="J2654" i="4"/>
  <c r="J1975" i="4"/>
  <c r="J1882" i="4"/>
  <c r="J1779" i="4"/>
  <c r="J1738" i="4"/>
  <c r="J1581" i="4"/>
  <c r="J706" i="4"/>
  <c r="J641" i="4"/>
  <c r="J595" i="4"/>
  <c r="J488" i="4"/>
  <c r="J481" i="4"/>
  <c r="J439" i="4"/>
  <c r="J2603" i="4"/>
  <c r="J1914" i="4"/>
  <c r="J1583" i="4"/>
  <c r="J732" i="4"/>
  <c r="J601" i="4"/>
  <c r="J490" i="4"/>
  <c r="J1598" i="4"/>
  <c r="I871" i="4"/>
  <c r="I698" i="4"/>
  <c r="I633" i="4"/>
  <c r="I608" i="4"/>
  <c r="I599" i="4"/>
  <c r="I593" i="4"/>
  <c r="I563" i="4"/>
  <c r="I462" i="4"/>
  <c r="I388" i="4"/>
  <c r="I571" i="4"/>
  <c r="I560" i="4"/>
  <c r="I1765" i="4"/>
  <c r="I1721" i="4"/>
  <c r="J1690" i="4"/>
  <c r="J1579" i="4"/>
  <c r="I1674" i="4"/>
  <c r="I1627" i="4"/>
  <c r="I1509" i="4"/>
  <c r="J1497" i="4"/>
  <c r="J1556" i="4"/>
  <c r="I484" i="4"/>
  <c r="J1813" i="4"/>
  <c r="I1802" i="4"/>
  <c r="N142" i="1"/>
  <c r="J520" i="4"/>
  <c r="J112" i="1"/>
  <c r="J766" i="4"/>
  <c r="J174" i="1"/>
  <c r="J723" i="4"/>
  <c r="J647" i="4"/>
  <c r="J632" i="4"/>
  <c r="J592" i="4"/>
  <c r="J145" i="1"/>
  <c r="J124" i="1"/>
  <c r="J427" i="4"/>
  <c r="J387" i="4"/>
  <c r="J93" i="1"/>
  <c r="J1978" i="4"/>
  <c r="J1938" i="4"/>
  <c r="J1928" i="4"/>
  <c r="J1754" i="4"/>
  <c r="J1714" i="4"/>
  <c r="J1701" i="4"/>
  <c r="J400" i="1"/>
  <c r="J1527" i="4"/>
  <c r="J1504" i="4"/>
  <c r="J1933" i="4"/>
  <c r="J1673" i="4"/>
  <c r="J475" i="1"/>
  <c r="J746" i="1"/>
  <c r="J726" i="1"/>
  <c r="J717" i="1"/>
  <c r="J714" i="1"/>
  <c r="J704" i="1"/>
  <c r="J2778" i="4"/>
  <c r="J2756" i="4"/>
  <c r="J2732" i="4"/>
  <c r="J2685" i="4"/>
  <c r="J2681" i="4"/>
  <c r="J695" i="1"/>
  <c r="J2626" i="4"/>
  <c r="J117" i="1"/>
  <c r="J443" i="4"/>
  <c r="J413" i="1"/>
  <c r="J425" i="1"/>
  <c r="J1652" i="4"/>
  <c r="J876" i="4"/>
  <c r="J752" i="4"/>
  <c r="J729" i="4"/>
  <c r="J703" i="4"/>
  <c r="J638" i="4"/>
  <c r="J604" i="4"/>
  <c r="J579" i="4"/>
  <c r="J429" i="4"/>
  <c r="J104" i="1"/>
  <c r="J101" i="1"/>
  <c r="J397" i="4"/>
  <c r="J94" i="1"/>
  <c r="J102" i="1"/>
  <c r="J859" i="4"/>
  <c r="J1967" i="4"/>
  <c r="J1726" i="4"/>
  <c r="J456" i="1"/>
  <c r="J1703" i="4"/>
  <c r="J1699" i="4"/>
  <c r="J1525" i="4"/>
  <c r="J439" i="1"/>
  <c r="J125" i="1"/>
  <c r="J732" i="1"/>
  <c r="J719" i="1"/>
  <c r="J716" i="1"/>
  <c r="J2843" i="4"/>
  <c r="J2811" i="4"/>
  <c r="J2776" i="4"/>
  <c r="J2709" i="4"/>
  <c r="J2683" i="4"/>
  <c r="J2650" i="4"/>
  <c r="J479" i="1"/>
  <c r="J477" i="4"/>
  <c r="J419" i="1"/>
  <c r="J1555" i="4"/>
  <c r="J400" i="4"/>
  <c r="Q179" i="1"/>
  <c r="J1709" i="4"/>
  <c r="J1799" i="4"/>
  <c r="Q212" i="1"/>
  <c r="Q116" i="1"/>
  <c r="J596" i="4"/>
  <c r="J467" i="4"/>
  <c r="J724" i="4"/>
  <c r="J410" i="4"/>
  <c r="J375" i="4"/>
  <c r="J403" i="4"/>
  <c r="J366" i="4"/>
  <c r="J2627" i="4"/>
  <c r="Q504" i="1"/>
  <c r="Q151" i="1"/>
  <c r="Q91" i="1"/>
  <c r="J455" i="4"/>
  <c r="I2730" i="4"/>
  <c r="J517" i="4"/>
  <c r="I437" i="4"/>
  <c r="I1651" i="4"/>
  <c r="I1554" i="4"/>
  <c r="I476" i="4"/>
  <c r="I1929" i="4"/>
  <c r="I1672" i="4"/>
  <c r="J686" i="1"/>
  <c r="J397" i="1"/>
  <c r="I2648" i="4"/>
  <c r="I1523" i="4"/>
  <c r="I1502" i="4"/>
  <c r="I1976" i="4"/>
  <c r="I2841" i="4"/>
  <c r="I2809" i="4"/>
  <c r="I2707" i="4"/>
  <c r="I2679" i="4"/>
  <c r="I2624" i="4"/>
  <c r="I2772" i="4"/>
  <c r="I2754" i="4"/>
  <c r="J1696" i="4"/>
  <c r="I1936" i="4"/>
  <c r="I1724" i="4"/>
  <c r="I1965" i="4"/>
  <c r="I1926" i="4"/>
  <c r="I1697" i="4"/>
  <c r="J1774" i="4"/>
  <c r="I1773" i="4"/>
  <c r="J91" i="1"/>
  <c r="I385" i="4"/>
  <c r="J576" i="4"/>
  <c r="I574" i="4"/>
  <c r="I425" i="4"/>
  <c r="I395" i="4"/>
  <c r="J746" i="4"/>
  <c r="I745" i="4"/>
  <c r="I750" i="4"/>
  <c r="I727" i="4"/>
  <c r="I721" i="4"/>
  <c r="I636" i="4"/>
  <c r="I630" i="4"/>
  <c r="I602" i="4"/>
  <c r="I590" i="4"/>
  <c r="I577" i="4"/>
  <c r="K1056" i="4"/>
  <c r="I359" i="4" l="1"/>
  <c r="I1496" i="4"/>
  <c r="J1752" i="4"/>
  <c r="J1765" i="4"/>
  <c r="N330" i="1"/>
  <c r="A1561" i="4"/>
  <c r="A1563" i="4" s="1"/>
  <c r="A1565" i="4" s="1"/>
  <c r="A1567" i="4" s="1"/>
  <c r="A1570" i="4" s="1"/>
  <c r="A1577" i="4" s="1"/>
  <c r="A1584" i="4" s="1"/>
  <c r="A1586" i="4" s="1"/>
  <c r="A1588" i="4" s="1"/>
  <c r="A1595" i="4" s="1"/>
  <c r="A1598" i="4" s="1"/>
  <c r="A1601" i="4" s="1"/>
  <c r="A1604" i="4" s="1"/>
  <c r="A1606" i="4" s="1"/>
  <c r="A1608" i="4" s="1"/>
  <c r="A1610" i="4" s="1"/>
  <c r="A1615" i="4" s="1"/>
  <c r="A1617" i="4" s="1"/>
  <c r="A1619" i="4" s="1"/>
  <c r="A1623" i="4" s="1"/>
  <c r="A1627" i="4" s="1"/>
  <c r="A1630" i="4" s="1"/>
  <c r="A1635" i="4" s="1"/>
  <c r="A1644" i="4" s="1"/>
  <c r="A1651" i="4" s="1"/>
  <c r="A1653" i="4" s="1"/>
  <c r="A1662" i="4" s="1"/>
  <c r="I2595" i="4"/>
  <c r="A691" i="1"/>
  <c r="A2657" i="4"/>
  <c r="A2660" i="4" s="1"/>
  <c r="A2663" i="4" s="1"/>
  <c r="A2666" i="4" s="1"/>
  <c r="A2669" i="4" s="1"/>
  <c r="A2672" i="4" s="1"/>
  <c r="A2679" i="4" s="1"/>
  <c r="A2686" i="4" s="1"/>
  <c r="A2695" i="4" s="1"/>
  <c r="A2698" i="4" s="1"/>
  <c r="A2701" i="4" s="1"/>
  <c r="J1958" i="4"/>
  <c r="A401" i="1"/>
  <c r="J1777" i="4"/>
  <c r="J1712" i="4"/>
  <c r="A682" i="1"/>
  <c r="A96" i="1"/>
  <c r="A81" i="1"/>
  <c r="A343" i="1"/>
  <c r="J1888" i="4"/>
  <c r="J2841" i="4"/>
  <c r="J2624" i="4"/>
  <c r="J2730" i="4"/>
  <c r="J2648" i="4"/>
  <c r="J2707" i="4"/>
  <c r="J2809" i="4"/>
  <c r="J2754" i="4"/>
  <c r="J2601" i="4"/>
  <c r="J2651" i="4"/>
  <c r="J504" i="1"/>
  <c r="J395" i="4"/>
  <c r="J577" i="4"/>
  <c r="J636" i="4"/>
  <c r="J727" i="4"/>
  <c r="J874" i="4"/>
  <c r="J630" i="4"/>
  <c r="J721" i="4"/>
  <c r="J764" i="4"/>
  <c r="J599" i="4"/>
  <c r="J593" i="4"/>
  <c r="J704" i="4"/>
  <c r="J462" i="4"/>
  <c r="J871" i="4"/>
  <c r="J698" i="4"/>
  <c r="J388" i="4"/>
  <c r="J563" i="4"/>
  <c r="J476" i="4"/>
  <c r="J858" i="4"/>
  <c r="J602" i="4"/>
  <c r="J701" i="4"/>
  <c r="J750" i="4"/>
  <c r="J385" i="4"/>
  <c r="J590" i="4"/>
  <c r="J645" i="4"/>
  <c r="J730" i="4"/>
  <c r="J639" i="4"/>
  <c r="J571" i="4"/>
  <c r="J608" i="4"/>
  <c r="J633" i="4"/>
  <c r="J560" i="4"/>
  <c r="J580" i="4"/>
  <c r="J761" i="4"/>
  <c r="P719" i="1"/>
  <c r="P704" i="1"/>
  <c r="P717" i="1"/>
  <c r="P746" i="1"/>
  <c r="N716" i="1"/>
  <c r="P732" i="1"/>
  <c r="N695" i="1"/>
  <c r="P714" i="1"/>
  <c r="P726" i="1"/>
  <c r="J1554" i="4"/>
  <c r="J1724" i="4"/>
  <c r="J1651" i="4"/>
  <c r="P413" i="1"/>
  <c r="N475" i="1"/>
  <c r="J1936" i="4"/>
  <c r="J1688" i="4"/>
  <c r="J1912" i="4"/>
  <c r="J1973" i="4"/>
  <c r="J1802" i="4"/>
  <c r="J1627" i="4"/>
  <c r="J1721" i="4"/>
  <c r="J1674" i="4"/>
  <c r="J1691" i="4"/>
  <c r="J1509" i="4"/>
  <c r="P419" i="1"/>
  <c r="N479" i="1"/>
  <c r="P439" i="1"/>
  <c r="N456" i="1"/>
  <c r="J1965" i="4"/>
  <c r="N425" i="1"/>
  <c r="J1672" i="4"/>
  <c r="J1502" i="4"/>
  <c r="P400" i="1"/>
  <c r="J1976" i="4"/>
  <c r="A387" i="1"/>
  <c r="J216" i="1"/>
  <c r="P125" i="1"/>
  <c r="N94" i="1"/>
  <c r="P101" i="1"/>
  <c r="N93" i="1"/>
  <c r="N174" i="1"/>
  <c r="N112" i="1"/>
  <c r="N102" i="1"/>
  <c r="N104" i="1"/>
  <c r="N117" i="1"/>
  <c r="N115" i="1"/>
  <c r="P145" i="1"/>
  <c r="J1929" i="4"/>
  <c r="A45" i="1"/>
  <c r="P124" i="1"/>
  <c r="J449" i="1"/>
  <c r="J462" i="1"/>
  <c r="J525" i="1"/>
  <c r="J118" i="1"/>
  <c r="J139" i="1"/>
  <c r="J176" i="1"/>
  <c r="J420" i="1"/>
  <c r="J136" i="1"/>
  <c r="J113" i="1"/>
  <c r="J144" i="1"/>
  <c r="J149" i="1"/>
  <c r="J165" i="1"/>
  <c r="J687" i="1"/>
  <c r="J436" i="1"/>
  <c r="J97" i="1"/>
  <c r="J155" i="1"/>
  <c r="J184" i="1"/>
  <c r="J466" i="1"/>
  <c r="J146" i="1"/>
  <c r="J167" i="1"/>
  <c r="J470" i="1"/>
  <c r="J437" i="4"/>
  <c r="J450" i="1"/>
  <c r="J133" i="1"/>
  <c r="J134" i="1"/>
  <c r="J153" i="1"/>
  <c r="N439" i="1"/>
  <c r="J484" i="4"/>
  <c r="P94" i="1"/>
  <c r="P104" i="1"/>
  <c r="J425" i="4"/>
  <c r="J1697" i="4"/>
  <c r="N746" i="1"/>
  <c r="J1523" i="4"/>
  <c r="P475" i="1"/>
  <c r="N714" i="1"/>
  <c r="J703" i="1"/>
  <c r="J2679" i="4"/>
  <c r="J2772" i="4"/>
  <c r="N732" i="1"/>
  <c r="N719" i="1"/>
  <c r="P695" i="1"/>
  <c r="J1926" i="4"/>
  <c r="J1577" i="4"/>
  <c r="J1736" i="4"/>
  <c r="J1880" i="4"/>
  <c r="J501" i="1"/>
  <c r="J512" i="1"/>
  <c r="J476" i="1"/>
  <c r="J399" i="1"/>
  <c r="J446" i="1"/>
  <c r="J458" i="1"/>
  <c r="J522" i="1"/>
  <c r="N413" i="1"/>
  <c r="P115" i="1"/>
  <c r="N101" i="1"/>
  <c r="P102" i="1"/>
  <c r="P93" i="1"/>
  <c r="N125" i="1"/>
  <c r="N704" i="1"/>
  <c r="N717" i="1"/>
  <c r="P479" i="1"/>
  <c r="P716" i="1"/>
  <c r="N726" i="1"/>
  <c r="P117" i="1"/>
  <c r="N419" i="1"/>
  <c r="N400" i="1"/>
  <c r="N145" i="1"/>
  <c r="P112" i="1"/>
  <c r="P174" i="1"/>
  <c r="N124" i="1"/>
  <c r="P456" i="1"/>
  <c r="P425" i="1"/>
  <c r="J1058" i="4"/>
  <c r="J138" i="1"/>
  <c r="J147" i="1"/>
  <c r="J154" i="1"/>
  <c r="J166" i="1"/>
  <c r="J175" i="1"/>
  <c r="J185" i="1"/>
  <c r="J179" i="1"/>
  <c r="J99" i="1"/>
  <c r="J468" i="1"/>
  <c r="J453" i="1"/>
  <c r="J465" i="1"/>
  <c r="J523" i="1"/>
  <c r="J518" i="1"/>
  <c r="J733" i="1"/>
  <c r="J694" i="1"/>
  <c r="J718" i="1"/>
  <c r="J744" i="1"/>
  <c r="J526" i="1"/>
  <c r="J401" i="1"/>
  <c r="J702" i="1"/>
  <c r="J517" i="1"/>
  <c r="J412" i="1"/>
  <c r="J110" i="1"/>
  <c r="J1056" i="4"/>
  <c r="J143" i="1"/>
  <c r="J152" i="1"/>
  <c r="J157" i="1"/>
  <c r="J173" i="1"/>
  <c r="J180" i="1"/>
  <c r="J217" i="1"/>
  <c r="J108" i="1"/>
  <c r="J137" i="1"/>
  <c r="J457" i="1"/>
  <c r="J516" i="1"/>
  <c r="J459" i="1"/>
  <c r="J451" i="1"/>
  <c r="J729" i="1"/>
  <c r="J751" i="1"/>
  <c r="J747" i="1" s="1"/>
  <c r="J398" i="1"/>
  <c r="J445" i="1"/>
  <c r="J116" i="1"/>
  <c r="J440" i="1"/>
  <c r="J212" i="1"/>
  <c r="J724" i="1"/>
  <c r="J745" i="4"/>
  <c r="J1694" i="4"/>
  <c r="N397" i="1"/>
  <c r="Q276" i="1"/>
  <c r="J574" i="4"/>
  <c r="J1773" i="4"/>
  <c r="J712" i="1"/>
  <c r="P397" i="1"/>
  <c r="N686" i="1"/>
  <c r="P686" i="1"/>
  <c r="J96" i="1"/>
  <c r="P91" i="1"/>
  <c r="N91" i="1"/>
  <c r="I1056" i="4"/>
  <c r="A97" i="1" l="1"/>
  <c r="A692" i="1"/>
  <c r="J720" i="1"/>
  <c r="J710" i="1"/>
  <c r="J685" i="1"/>
  <c r="A2704" i="4"/>
  <c r="A2707" i="4" s="1"/>
  <c r="A2710" i="4" s="1"/>
  <c r="J505" i="1"/>
  <c r="N504" i="1"/>
  <c r="A402" i="1"/>
  <c r="J433" i="1"/>
  <c r="J396" i="1"/>
  <c r="A1667" i="4"/>
  <c r="A1670" i="4" s="1"/>
  <c r="A1672" i="4" s="1"/>
  <c r="A1674" i="4" s="1"/>
  <c r="A1677" i="4" s="1"/>
  <c r="J196" i="1"/>
  <c r="N216" i="1"/>
  <c r="J140" i="1"/>
  <c r="J87" i="1"/>
  <c r="A683" i="1"/>
  <c r="A82" i="1"/>
  <c r="A656" i="1"/>
  <c r="A344" i="1"/>
  <c r="P504" i="1"/>
  <c r="N724" i="1"/>
  <c r="P729" i="1"/>
  <c r="P744" i="1"/>
  <c r="N751" i="1"/>
  <c r="P694" i="1"/>
  <c r="N687" i="1"/>
  <c r="P702" i="1"/>
  <c r="P718" i="1"/>
  <c r="P733" i="1"/>
  <c r="N703" i="1"/>
  <c r="P440" i="1"/>
  <c r="N445" i="1"/>
  <c r="N451" i="1"/>
  <c r="N516" i="1"/>
  <c r="N412" i="1"/>
  <c r="P526" i="1"/>
  <c r="N523" i="1"/>
  <c r="N453" i="1"/>
  <c r="N458" i="1"/>
  <c r="P399" i="1"/>
  <c r="P512" i="1"/>
  <c r="N450" i="1"/>
  <c r="P470" i="1"/>
  <c r="P525" i="1"/>
  <c r="P449" i="1"/>
  <c r="N398" i="1"/>
  <c r="P459" i="1"/>
  <c r="N457" i="1"/>
  <c r="N517" i="1"/>
  <c r="P401" i="1"/>
  <c r="N518" i="1"/>
  <c r="P465" i="1"/>
  <c r="P468" i="1"/>
  <c r="P501" i="1"/>
  <c r="P466" i="1"/>
  <c r="N420" i="1"/>
  <c r="P462" i="1"/>
  <c r="N436" i="1"/>
  <c r="P216" i="1"/>
  <c r="A388" i="1"/>
  <c r="P137" i="1"/>
  <c r="N173" i="1"/>
  <c r="P116" i="1"/>
  <c r="P108" i="1"/>
  <c r="P180" i="1"/>
  <c r="P157" i="1"/>
  <c r="P110" i="1"/>
  <c r="N179" i="1"/>
  <c r="P175" i="1"/>
  <c r="P154" i="1"/>
  <c r="P138" i="1"/>
  <c r="P134" i="1"/>
  <c r="N146" i="1"/>
  <c r="P184" i="1"/>
  <c r="P217" i="1"/>
  <c r="N152" i="1"/>
  <c r="P99" i="1"/>
  <c r="P185" i="1"/>
  <c r="N166" i="1"/>
  <c r="P147" i="1"/>
  <c r="N153" i="1"/>
  <c r="P133" i="1"/>
  <c r="P167" i="1"/>
  <c r="N155" i="1"/>
  <c r="N97" i="1"/>
  <c r="N165" i="1"/>
  <c r="P149" i="1"/>
  <c r="P144" i="1"/>
  <c r="P113" i="1"/>
  <c r="P136" i="1"/>
  <c r="N176" i="1"/>
  <c r="P139" i="1"/>
  <c r="P118" i="1"/>
  <c r="J121" i="1"/>
  <c r="A398" i="4"/>
  <c r="A400" i="4" s="1"/>
  <c r="A403" i="4" s="1"/>
  <c r="A406" i="4" s="1"/>
  <c r="A410" i="4" s="1"/>
  <c r="A413" i="4" s="1"/>
  <c r="A417" i="4" s="1"/>
  <c r="A421" i="4" s="1"/>
  <c r="A425" i="4" s="1"/>
  <c r="A430" i="4" s="1"/>
  <c r="A437" i="4" s="1"/>
  <c r="A446" i="4" s="1"/>
  <c r="A455" i="4" s="1"/>
  <c r="A462" i="4" s="1"/>
  <c r="A46" i="1"/>
  <c r="I1055" i="4"/>
  <c r="N449" i="1"/>
  <c r="N462" i="1"/>
  <c r="N212" i="1"/>
  <c r="N143" i="1"/>
  <c r="P176" i="1"/>
  <c r="N144" i="1"/>
  <c r="N525" i="1"/>
  <c r="N139" i="1"/>
  <c r="N136" i="1"/>
  <c r="N113" i="1"/>
  <c r="P687" i="1"/>
  <c r="P165" i="1"/>
  <c r="N149" i="1"/>
  <c r="P420" i="1"/>
  <c r="P412" i="1"/>
  <c r="N118" i="1"/>
  <c r="N744" i="1"/>
  <c r="N526" i="1"/>
  <c r="P97" i="1"/>
  <c r="P436" i="1"/>
  <c r="P146" i="1"/>
  <c r="N133" i="1"/>
  <c r="P153" i="1"/>
  <c r="J452" i="1"/>
  <c r="N134" i="1"/>
  <c r="N184" i="1"/>
  <c r="P703" i="1"/>
  <c r="P450" i="1"/>
  <c r="N466" i="1"/>
  <c r="N470" i="1"/>
  <c r="P155" i="1"/>
  <c r="N167" i="1"/>
  <c r="N501" i="1"/>
  <c r="N137" i="1"/>
  <c r="N154" i="1"/>
  <c r="P458" i="1"/>
  <c r="P173" i="1"/>
  <c r="N175" i="1"/>
  <c r="N138" i="1"/>
  <c r="N512" i="1"/>
  <c r="N399" i="1"/>
  <c r="P522" i="1"/>
  <c r="N522" i="1"/>
  <c r="N446" i="1"/>
  <c r="P446" i="1"/>
  <c r="P476" i="1"/>
  <c r="N476" i="1"/>
  <c r="P179" i="1"/>
  <c r="N217" i="1"/>
  <c r="P152" i="1"/>
  <c r="N99" i="1"/>
  <c r="N185" i="1"/>
  <c r="P166" i="1"/>
  <c r="N147" i="1"/>
  <c r="P523" i="1"/>
  <c r="N468" i="1"/>
  <c r="N694" i="1"/>
  <c r="P517" i="1"/>
  <c r="N440" i="1"/>
  <c r="N108" i="1"/>
  <c r="N180" i="1"/>
  <c r="N157" i="1"/>
  <c r="P518" i="1"/>
  <c r="N465" i="1"/>
  <c r="P453" i="1"/>
  <c r="N459" i="1"/>
  <c r="P457" i="1"/>
  <c r="N702" i="1"/>
  <c r="N718" i="1"/>
  <c r="N733" i="1"/>
  <c r="N401" i="1"/>
  <c r="N110" i="1"/>
  <c r="N729" i="1"/>
  <c r="P451" i="1"/>
  <c r="P398" i="1"/>
  <c r="P751" i="1"/>
  <c r="P724" i="1"/>
  <c r="P445" i="1"/>
  <c r="P143" i="1"/>
  <c r="P516" i="1"/>
  <c r="P212" i="1"/>
  <c r="N116" i="1"/>
  <c r="J276" i="1"/>
  <c r="P712" i="1"/>
  <c r="N712" i="1"/>
  <c r="N96" i="1"/>
  <c r="P96" i="1"/>
  <c r="K1084" i="4"/>
  <c r="K1081" i="4"/>
  <c r="K1078" i="4"/>
  <c r="A1078" i="4"/>
  <c r="A1081" i="4" s="1"/>
  <c r="A1084" i="4" s="1"/>
  <c r="K1073" i="4"/>
  <c r="A47" i="1" l="1"/>
  <c r="A2713" i="4"/>
  <c r="A2716" i="4" s="1"/>
  <c r="A2723" i="4" s="1"/>
  <c r="A2730" i="4" s="1"/>
  <c r="A2733" i="4" s="1"/>
  <c r="A2737" i="4" s="1"/>
  <c r="N747" i="1"/>
  <c r="A693" i="1"/>
  <c r="N720" i="1"/>
  <c r="N710" i="1"/>
  <c r="N685" i="1"/>
  <c r="N505" i="1"/>
  <c r="A403" i="1"/>
  <c r="N433" i="1"/>
  <c r="N396" i="1"/>
  <c r="A1679" i="4"/>
  <c r="A1688" i="4" s="1"/>
  <c r="A1691" i="4" s="1"/>
  <c r="A1694" i="4" s="1"/>
  <c r="A1697" i="4" s="1"/>
  <c r="A1704" i="4" s="1"/>
  <c r="A1707" i="4" s="1"/>
  <c r="A1709" i="4" s="1"/>
  <c r="A1712" i="4" s="1"/>
  <c r="A1721" i="4" s="1"/>
  <c r="A1724" i="4" s="1"/>
  <c r="N196" i="1"/>
  <c r="N140" i="1"/>
  <c r="N87" i="1"/>
  <c r="A465" i="4"/>
  <c r="A467" i="4" s="1"/>
  <c r="A476" i="4" s="1"/>
  <c r="A481" i="4" s="1"/>
  <c r="A484" i="4" s="1"/>
  <c r="A493" i="4" s="1"/>
  <c r="A495" i="4" s="1"/>
  <c r="A498" i="4" s="1"/>
  <c r="A508" i="4" s="1"/>
  <c r="A517" i="4" s="1"/>
  <c r="A520" i="4" s="1"/>
  <c r="A83" i="1"/>
  <c r="A657" i="1"/>
  <c r="A658" i="1" s="1"/>
  <c r="A345" i="1"/>
  <c r="Q282" i="1"/>
  <c r="J275" i="1"/>
  <c r="A389" i="1"/>
  <c r="N121" i="1"/>
  <c r="J86" i="1"/>
  <c r="I2217" i="4"/>
  <c r="N452" i="1"/>
  <c r="J395" i="1"/>
  <c r="J1075" i="4"/>
  <c r="J1077" i="4"/>
  <c r="J1080" i="4"/>
  <c r="J1082" i="4"/>
  <c r="J1086" i="4"/>
  <c r="J2219" i="4"/>
  <c r="J1074" i="4"/>
  <c r="J1076" i="4"/>
  <c r="J1079" i="4"/>
  <c r="J1083" i="4"/>
  <c r="J2218" i="4"/>
  <c r="Q594" i="1"/>
  <c r="P276" i="1"/>
  <c r="J684" i="1"/>
  <c r="Q284" i="1"/>
  <c r="Q283" i="1"/>
  <c r="Q285" i="1"/>
  <c r="I1073" i="4"/>
  <c r="I1078" i="4"/>
  <c r="I1081" i="4"/>
  <c r="I1084" i="4"/>
  <c r="I2982" i="4"/>
  <c r="I2981" i="4"/>
  <c r="I2980" i="4"/>
  <c r="I2979" i="4"/>
  <c r="I2978" i="4"/>
  <c r="I2977" i="4"/>
  <c r="K2976" i="4"/>
  <c r="I2315" i="4"/>
  <c r="K2311" i="4"/>
  <c r="I2307" i="4"/>
  <c r="I2304" i="4"/>
  <c r="I2302" i="4"/>
  <c r="I2300" i="4"/>
  <c r="I2299" i="4"/>
  <c r="I2298" i="4"/>
  <c r="I2282" i="4"/>
  <c r="I2280" i="4"/>
  <c r="I2279" i="4"/>
  <c r="I2278" i="4"/>
  <c r="I2276" i="4"/>
  <c r="I2275" i="4"/>
  <c r="I2274" i="4"/>
  <c r="I2272" i="4"/>
  <c r="I2271" i="4"/>
  <c r="I2251" i="4"/>
  <c r="I2250" i="4"/>
  <c r="I2231" i="4"/>
  <c r="K2228" i="4"/>
  <c r="K2226" i="4"/>
  <c r="A2226" i="4"/>
  <c r="A2228" i="4" s="1"/>
  <c r="I2225" i="4"/>
  <c r="D2348" i="4"/>
  <c r="J2350" i="4" s="1"/>
  <c r="D2389" i="4"/>
  <c r="D2358" i="4" s="1"/>
  <c r="K2391" i="4"/>
  <c r="J1115" i="4"/>
  <c r="K1114" i="4"/>
  <c r="K1088" i="4"/>
  <c r="I2216" i="4" l="1"/>
  <c r="A48" i="1"/>
  <c r="A2740" i="4"/>
  <c r="A2743" i="4" s="1"/>
  <c r="A2754" i="4" s="1"/>
  <c r="A2757" i="4" s="1"/>
  <c r="A2764" i="4" s="1"/>
  <c r="A2769" i="4" s="1"/>
  <c r="A2772" i="4" s="1"/>
  <c r="A2779" i="4" s="1"/>
  <c r="A2782" i="4" s="1"/>
  <c r="A2785" i="4" s="1"/>
  <c r="A2788" i="4" s="1"/>
  <c r="A2791" i="4" s="1"/>
  <c r="A2794" i="4" s="1"/>
  <c r="A2797" i="4" s="1"/>
  <c r="A2800" i="4" s="1"/>
  <c r="A2803" i="4" s="1"/>
  <c r="A2806" i="4" s="1"/>
  <c r="A2809" i="4" s="1"/>
  <c r="A2812" i="4" s="1"/>
  <c r="A2815" i="4" s="1"/>
  <c r="A2818" i="4" s="1"/>
  <c r="A2821" i="4" s="1"/>
  <c r="A2828" i="4" s="1"/>
  <c r="A2841" i="4" s="1"/>
  <c r="A2844" i="4" s="1"/>
  <c r="A2849" i="4" s="1"/>
  <c r="A2856" i="4" s="1"/>
  <c r="A2859" i="4" s="1"/>
  <c r="A694" i="1"/>
  <c r="A404" i="1"/>
  <c r="A1727" i="4"/>
  <c r="A1732" i="4" s="1"/>
  <c r="A1736" i="4" s="1"/>
  <c r="A1739" i="4" s="1"/>
  <c r="A1743" i="4" s="1"/>
  <c r="A1752" i="4" s="1"/>
  <c r="A1765" i="4" s="1"/>
  <c r="A1768" i="4" s="1"/>
  <c r="A1773" i="4" s="1"/>
  <c r="A84" i="1"/>
  <c r="A527" i="4"/>
  <c r="A532" i="4" s="1"/>
  <c r="A537" i="4" s="1"/>
  <c r="A540" i="4" s="1"/>
  <c r="A542" i="4" s="1"/>
  <c r="A552" i="4" s="1"/>
  <c r="A557" i="4" s="1"/>
  <c r="A560" i="4" s="1"/>
  <c r="A563" i="4" s="1"/>
  <c r="A98" i="1"/>
  <c r="A99" i="1" s="1"/>
  <c r="A346" i="1"/>
  <c r="K2390" i="4"/>
  <c r="J2349" i="4"/>
  <c r="Q791" i="1"/>
  <c r="A2230" i="4"/>
  <c r="A2237" i="4" s="1"/>
  <c r="A390" i="1"/>
  <c r="A49" i="1"/>
  <c r="J282" i="1"/>
  <c r="I2356" i="4"/>
  <c r="N684" i="1"/>
  <c r="I2303" i="4"/>
  <c r="I2301" i="4"/>
  <c r="J2217" i="4"/>
  <c r="J1084" i="4"/>
  <c r="J1081" i="4"/>
  <c r="J1078" i="4"/>
  <c r="J1073" i="4"/>
  <c r="I1070" i="4"/>
  <c r="N86" i="1"/>
  <c r="N395" i="1"/>
  <c r="J1090" i="4"/>
  <c r="J1116" i="4"/>
  <c r="J2357" i="4"/>
  <c r="I2348" i="4"/>
  <c r="J2225" i="4"/>
  <c r="J2231" i="4"/>
  <c r="J2234" i="4"/>
  <c r="J2235" i="4"/>
  <c r="J2239" i="4"/>
  <c r="J2240" i="4"/>
  <c r="J2243" i="4"/>
  <c r="J2250" i="4"/>
  <c r="J2272" i="4"/>
  <c r="J2278" i="4"/>
  <c r="J2280" i="4"/>
  <c r="J2283" i="4"/>
  <c r="J2284" i="4"/>
  <c r="J2287" i="4"/>
  <c r="J2298" i="4"/>
  <c r="J2300" i="4"/>
  <c r="J2302" i="4"/>
  <c r="J2304" i="4"/>
  <c r="J2307" i="4"/>
  <c r="J2318" i="4"/>
  <c r="J2319" i="4"/>
  <c r="J2978" i="4"/>
  <c r="J2980" i="4"/>
  <c r="J2982" i="4"/>
  <c r="J1089" i="4"/>
  <c r="J2232" i="4"/>
  <c r="J2233" i="4"/>
  <c r="J2236" i="4"/>
  <c r="J2238" i="4"/>
  <c r="J2241" i="4"/>
  <c r="J2242" i="4"/>
  <c r="J2251" i="4"/>
  <c r="J2271" i="4"/>
  <c r="J2274" i="4"/>
  <c r="J2276" i="4"/>
  <c r="J2282" i="4"/>
  <c r="J2285" i="4"/>
  <c r="J2286" i="4"/>
  <c r="J2315" i="4"/>
  <c r="J2317" i="4"/>
  <c r="J2320" i="4"/>
  <c r="J2977" i="4"/>
  <c r="J2979" i="4"/>
  <c r="J2981" i="4"/>
  <c r="Q599" i="1"/>
  <c r="Q617" i="1"/>
  <c r="Q287" i="1"/>
  <c r="Q294" i="1"/>
  <c r="Q623" i="1"/>
  <c r="Q598" i="1"/>
  <c r="K2305" i="4"/>
  <c r="K2224" i="4"/>
  <c r="K2230" i="4"/>
  <c r="K2237" i="4"/>
  <c r="K2248" i="4"/>
  <c r="J284" i="1"/>
  <c r="J285" i="1"/>
  <c r="J283" i="1"/>
  <c r="I2227" i="4"/>
  <c r="I2249" i="4"/>
  <c r="K2313" i="4"/>
  <c r="K2269" i="4"/>
  <c r="I2270" i="4"/>
  <c r="K2295" i="4"/>
  <c r="K2273" i="4"/>
  <c r="I2314" i="4"/>
  <c r="K2281" i="4"/>
  <c r="I2976" i="4"/>
  <c r="J2275" i="4"/>
  <c r="I2273" i="4"/>
  <c r="I2229" i="4"/>
  <c r="I2230" i="4"/>
  <c r="J2279" i="4"/>
  <c r="I2277" i="4"/>
  <c r="I2316" i="4"/>
  <c r="J2299" i="4"/>
  <c r="I2297" i="4"/>
  <c r="K2277" i="4"/>
  <c r="I2281" i="4"/>
  <c r="K2297" i="4"/>
  <c r="I2306" i="4"/>
  <c r="I2312" i="4"/>
  <c r="K2316" i="4"/>
  <c r="I1088" i="4"/>
  <c r="I1114" i="4"/>
  <c r="I2391" i="4"/>
  <c r="G801" i="1"/>
  <c r="Q802" i="1"/>
  <c r="O627" i="1"/>
  <c r="M627" i="1"/>
  <c r="L627" i="1"/>
  <c r="K627" i="1"/>
  <c r="I627" i="1"/>
  <c r="H627" i="1"/>
  <c r="G627" i="1"/>
  <c r="K1132" i="4"/>
  <c r="I2938" i="4"/>
  <c r="I2937" i="4"/>
  <c r="I2936" i="4"/>
  <c r="I2935" i="4"/>
  <c r="I2934" i="4"/>
  <c r="G587" i="1"/>
  <c r="I2203" i="4"/>
  <c r="I2201" i="4"/>
  <c r="K2200" i="4"/>
  <c r="I1054" i="4"/>
  <c r="I1053" i="4"/>
  <c r="A695" i="1" l="1"/>
  <c r="A85" i="1"/>
  <c r="A405" i="1"/>
  <c r="A1775" i="4"/>
  <c r="A1777" i="4" s="1"/>
  <c r="A1785" i="4" s="1"/>
  <c r="A1788" i="4" s="1"/>
  <c r="A566" i="4"/>
  <c r="A571" i="4" s="1"/>
  <c r="A574" i="4" s="1"/>
  <c r="A577" i="4" s="1"/>
  <c r="A580" i="4" s="1"/>
  <c r="I2945" i="4"/>
  <c r="I1087" i="4"/>
  <c r="A347" i="1"/>
  <c r="J2301" i="4"/>
  <c r="J2356" i="4"/>
  <c r="J2303" i="4"/>
  <c r="A2244" i="4"/>
  <c r="A2248" i="4" s="1"/>
  <c r="A2252" i="4" s="1"/>
  <c r="A2259" i="4" s="1"/>
  <c r="A2269" i="4" s="1"/>
  <c r="A2273" i="4" s="1"/>
  <c r="A2277" i="4" s="1"/>
  <c r="A2281" i="4" s="1"/>
  <c r="A391" i="1"/>
  <c r="A100" i="1"/>
  <c r="A50" i="1"/>
  <c r="N282" i="1"/>
  <c r="P282" i="1"/>
  <c r="J280" i="1"/>
  <c r="J2281" i="4"/>
  <c r="J1114" i="4"/>
  <c r="J2976" i="4"/>
  <c r="J2230" i="4"/>
  <c r="J1088" i="4"/>
  <c r="J1053" i="4"/>
  <c r="J2196" i="4"/>
  <c r="J2201" i="4"/>
  <c r="J2203" i="4"/>
  <c r="J2934" i="4"/>
  <c r="J2936" i="4"/>
  <c r="J2938" i="4"/>
  <c r="J1134" i="4"/>
  <c r="N602" i="1"/>
  <c r="J600" i="1"/>
  <c r="J791" i="1"/>
  <c r="J2249" i="4"/>
  <c r="J2224" i="4"/>
  <c r="J594" i="1"/>
  <c r="J593" i="1" s="1"/>
  <c r="J1054" i="4"/>
  <c r="J2199" i="4"/>
  <c r="J2202" i="4"/>
  <c r="J2204" i="4"/>
  <c r="J2935" i="4"/>
  <c r="J2937" i="4"/>
  <c r="J1133" i="4"/>
  <c r="J294" i="1"/>
  <c r="J287" i="1"/>
  <c r="J609" i="1"/>
  <c r="N620" i="1"/>
  <c r="J612" i="1"/>
  <c r="J619" i="1"/>
  <c r="P610" i="1"/>
  <c r="J608" i="1"/>
  <c r="J2229" i="4"/>
  <c r="J607" i="1"/>
  <c r="J624" i="1"/>
  <c r="J2314" i="4"/>
  <c r="I2295" i="4"/>
  <c r="J2270" i="4"/>
  <c r="J2227" i="4"/>
  <c r="N285" i="1"/>
  <c r="Q615" i="1"/>
  <c r="Q300" i="1"/>
  <c r="Q619" i="1"/>
  <c r="Q612" i="1"/>
  <c r="J2297" i="4"/>
  <c r="J2273" i="4"/>
  <c r="Q614" i="1"/>
  <c r="Q624" i="1"/>
  <c r="Q603" i="1"/>
  <c r="Q600" i="1"/>
  <c r="Q613" i="1"/>
  <c r="Q589" i="1"/>
  <c r="Q608" i="1"/>
  <c r="J2237" i="4"/>
  <c r="Q607" i="1"/>
  <c r="Q605" i="1"/>
  <c r="Q601" i="1"/>
  <c r="Q597" i="1"/>
  <c r="J2316" i="4"/>
  <c r="J2277" i="4"/>
  <c r="Q609" i="1"/>
  <c r="Q611" i="1"/>
  <c r="Q618" i="1"/>
  <c r="Q616" i="1"/>
  <c r="I2269" i="4"/>
  <c r="I2228" i="4"/>
  <c r="J2296" i="4"/>
  <c r="N283" i="1"/>
  <c r="P283" i="1"/>
  <c r="N284" i="1"/>
  <c r="P284" i="1"/>
  <c r="P285" i="1"/>
  <c r="I2313" i="4"/>
  <c r="I2226" i="4"/>
  <c r="I2224" i="4"/>
  <c r="I2248" i="4"/>
  <c r="Q606" i="1"/>
  <c r="J2312" i="4"/>
  <c r="I2311" i="4"/>
  <c r="J2306" i="4"/>
  <c r="I2305" i="4"/>
  <c r="K2932" i="4"/>
  <c r="I2390" i="4"/>
  <c r="J2391" i="4"/>
  <c r="Q629" i="1"/>
  <c r="J802" i="1"/>
  <c r="I1132" i="4"/>
  <c r="I2933" i="4"/>
  <c r="K1052" i="4"/>
  <c r="I2200" i="4"/>
  <c r="I1052" i="4"/>
  <c r="A1039" i="4"/>
  <c r="A1042" i="4" s="1"/>
  <c r="K1034" i="4"/>
  <c r="A1791" i="4" l="1"/>
  <c r="A1796" i="4" s="1"/>
  <c r="A1799" i="4" s="1"/>
  <c r="A1802" i="4" s="1"/>
  <c r="A1805" i="4" s="1"/>
  <c r="A1810" i="4" s="1"/>
  <c r="A1813" i="4" s="1"/>
  <c r="A1822" i="4" s="1"/>
  <c r="A696" i="1"/>
  <c r="A406" i="1"/>
  <c r="A583" i="4"/>
  <c r="A585" i="4" s="1"/>
  <c r="A590" i="4" s="1"/>
  <c r="A593" i="4" s="1"/>
  <c r="A596" i="4" s="1"/>
  <c r="A599" i="4" s="1"/>
  <c r="A602" i="4" s="1"/>
  <c r="A605" i="4" s="1"/>
  <c r="A608" i="4" s="1"/>
  <c r="A611" i="4" s="1"/>
  <c r="A614" i="4" s="1"/>
  <c r="A630" i="4" s="1"/>
  <c r="A633" i="4" s="1"/>
  <c r="A636" i="4" s="1"/>
  <c r="A639" i="4" s="1"/>
  <c r="A642" i="4" s="1"/>
  <c r="A645" i="4" s="1"/>
  <c r="A648" i="4" s="1"/>
  <c r="A658" i="4" s="1"/>
  <c r="A663" i="4" s="1"/>
  <c r="I2223" i="4"/>
  <c r="A392" i="1"/>
  <c r="A659" i="1"/>
  <c r="A348" i="1"/>
  <c r="J2226" i="4"/>
  <c r="J2228" i="4"/>
  <c r="J2248" i="4"/>
  <c r="J2269" i="4"/>
  <c r="J2313" i="4"/>
  <c r="J2195" i="4"/>
  <c r="J784" i="1"/>
  <c r="N607" i="1"/>
  <c r="N608" i="1"/>
  <c r="N619" i="1"/>
  <c r="P624" i="1"/>
  <c r="N612" i="1"/>
  <c r="P609" i="1"/>
  <c r="P600" i="1"/>
  <c r="A2288" i="4"/>
  <c r="A2295" i="4" s="1"/>
  <c r="A2297" i="4" s="1"/>
  <c r="A2301" i="4" s="1"/>
  <c r="A2303" i="4" s="1"/>
  <c r="A2305" i="4" s="1"/>
  <c r="A2308" i="4" s="1"/>
  <c r="A2311" i="4" s="1"/>
  <c r="A2313" i="4" s="1"/>
  <c r="A2316" i="4" s="1"/>
  <c r="P594" i="1"/>
  <c r="A101" i="1"/>
  <c r="A51" i="1"/>
  <c r="I2194" i="4"/>
  <c r="N280" i="1"/>
  <c r="I1045" i="4"/>
  <c r="I2352" i="4"/>
  <c r="I1131" i="4"/>
  <c r="J286" i="1"/>
  <c r="P619" i="1"/>
  <c r="J1132" i="4"/>
  <c r="N624" i="1"/>
  <c r="J1052" i="4"/>
  <c r="N609" i="1"/>
  <c r="N594" i="1"/>
  <c r="J2200" i="4"/>
  <c r="N600" i="1"/>
  <c r="N610" i="1"/>
  <c r="P607" i="1"/>
  <c r="P620" i="1"/>
  <c r="P602" i="1"/>
  <c r="P608" i="1"/>
  <c r="P612" i="1"/>
  <c r="J1036" i="4"/>
  <c r="J1038" i="4"/>
  <c r="J1041" i="4"/>
  <c r="J2933" i="4"/>
  <c r="J300" i="1"/>
  <c r="I2389" i="4"/>
  <c r="J629" i="1"/>
  <c r="J615" i="1"/>
  <c r="J623" i="1"/>
  <c r="J614" i="1"/>
  <c r="J617" i="1"/>
  <c r="P604" i="1"/>
  <c r="J603" i="1"/>
  <c r="J597" i="1"/>
  <c r="J598" i="1"/>
  <c r="J606" i="1"/>
  <c r="J1035" i="4"/>
  <c r="J1037" i="4"/>
  <c r="J589" i="1"/>
  <c r="J273" i="1"/>
  <c r="J601" i="1"/>
  <c r="J618" i="1"/>
  <c r="J599" i="1"/>
  <c r="J616" i="1"/>
  <c r="J613" i="1"/>
  <c r="J611" i="1"/>
  <c r="J605" i="1"/>
  <c r="Q268" i="1"/>
  <c r="Q269" i="1"/>
  <c r="Q588" i="1"/>
  <c r="J2305" i="4"/>
  <c r="J2311" i="4"/>
  <c r="J2295" i="4"/>
  <c r="J2390" i="4"/>
  <c r="Q781" i="1"/>
  <c r="I2932" i="4"/>
  <c r="I1034" i="4"/>
  <c r="I2877" i="4"/>
  <c r="I2876" i="4"/>
  <c r="I2875" i="4"/>
  <c r="I2874" i="4"/>
  <c r="K2873" i="4"/>
  <c r="A697" i="1" l="1"/>
  <c r="A407" i="1"/>
  <c r="A1825" i="4"/>
  <c r="A1830" i="4" s="1"/>
  <c r="A1834" i="4" s="1"/>
  <c r="A672" i="4"/>
  <c r="A682" i="4" s="1"/>
  <c r="A686" i="4" s="1"/>
  <c r="N593" i="1"/>
  <c r="A349" i="1"/>
  <c r="A350" i="1" s="1"/>
  <c r="A393" i="1"/>
  <c r="A660" i="1"/>
  <c r="A661" i="1" s="1"/>
  <c r="I2927" i="4"/>
  <c r="I1023" i="4"/>
  <c r="J2932" i="4"/>
  <c r="N629" i="1"/>
  <c r="J299" i="1"/>
  <c r="N618" i="1"/>
  <c r="P606" i="1"/>
  <c r="J596" i="1"/>
  <c r="P617" i="1"/>
  <c r="P623" i="1"/>
  <c r="P605" i="1"/>
  <c r="N601" i="1"/>
  <c r="P603" i="1"/>
  <c r="P614" i="1"/>
  <c r="P615" i="1"/>
  <c r="A2321" i="4"/>
  <c r="A102" i="1"/>
  <c r="A52" i="1"/>
  <c r="I2931" i="4"/>
  <c r="J1039" i="4"/>
  <c r="J1034" i="4"/>
  <c r="N614" i="1"/>
  <c r="P629" i="1"/>
  <c r="P601" i="1"/>
  <c r="N623" i="1"/>
  <c r="N615" i="1"/>
  <c r="N605" i="1"/>
  <c r="N606" i="1"/>
  <c r="N604" i="1"/>
  <c r="N617" i="1"/>
  <c r="P618" i="1"/>
  <c r="N603" i="1"/>
  <c r="J2875" i="4"/>
  <c r="J2877" i="4"/>
  <c r="J781" i="1"/>
  <c r="J2874" i="4"/>
  <c r="J2876" i="4"/>
  <c r="J268" i="1"/>
  <c r="P611" i="1"/>
  <c r="N611" i="1"/>
  <c r="N613" i="1"/>
  <c r="P613" i="1"/>
  <c r="P616" i="1"/>
  <c r="N616" i="1"/>
  <c r="Q762" i="1"/>
  <c r="J627" i="1"/>
  <c r="J269" i="1"/>
  <c r="I2873" i="4"/>
  <c r="A351" i="1" l="1"/>
  <c r="A1837" i="4"/>
  <c r="A1842" i="4" s="1"/>
  <c r="A1845" i="4" s="1"/>
  <c r="A1848" i="4" s="1"/>
  <c r="A1850" i="4" s="1"/>
  <c r="A1852" i="4" s="1"/>
  <c r="A1854" i="4" s="1"/>
  <c r="A1857" i="4" s="1"/>
  <c r="A1859" i="4" s="1"/>
  <c r="A1862" i="4" s="1"/>
  <c r="A1864" i="4" s="1"/>
  <c r="A1866" i="4" s="1"/>
  <c r="A1868" i="4" s="1"/>
  <c r="A1870" i="4" s="1"/>
  <c r="A1872" i="4" s="1"/>
  <c r="A1874" i="4" s="1"/>
  <c r="A698" i="1"/>
  <c r="A408" i="1"/>
  <c r="A695" i="4"/>
  <c r="A698" i="4" s="1"/>
  <c r="A701" i="4" s="1"/>
  <c r="A704" i="4" s="1"/>
  <c r="A707" i="4" s="1"/>
  <c r="A2326" i="4"/>
  <c r="A2333" i="4" s="1"/>
  <c r="A2340" i="4" s="1"/>
  <c r="A2344" i="4" s="1"/>
  <c r="A394" i="1"/>
  <c r="A103" i="1"/>
  <c r="A53" i="1"/>
  <c r="I2872" i="4"/>
  <c r="J264" i="1"/>
  <c r="J778" i="1"/>
  <c r="J2873" i="4"/>
  <c r="P269" i="1"/>
  <c r="N627" i="1"/>
  <c r="N269" i="1"/>
  <c r="N268" i="1"/>
  <c r="P268" i="1"/>
  <c r="J762" i="1"/>
  <c r="I2358" i="4" l="1"/>
  <c r="A1877" i="4"/>
  <c r="A1880" i="4" s="1"/>
  <c r="A1883" i="4" s="1"/>
  <c r="A1886" i="4" s="1"/>
  <c r="A1888" i="4" s="1"/>
  <c r="A1890" i="4" s="1"/>
  <c r="A1892" i="4" s="1"/>
  <c r="A1895" i="4" s="1"/>
  <c r="A1900" i="4" s="1"/>
  <c r="A699" i="1"/>
  <c r="A409" i="1"/>
  <c r="A712" i="4"/>
  <c r="A714" i="4" s="1"/>
  <c r="A716" i="4" s="1"/>
  <c r="A719" i="4" s="1"/>
  <c r="A721" i="4" s="1"/>
  <c r="A724" i="4" s="1"/>
  <c r="A727" i="4" s="1"/>
  <c r="A730" i="4" s="1"/>
  <c r="A733" i="4" s="1"/>
  <c r="A352" i="1"/>
  <c r="A54" i="1"/>
  <c r="N778" i="1"/>
  <c r="A104" i="1"/>
  <c r="N264" i="1"/>
  <c r="N762" i="1"/>
  <c r="P762" i="1"/>
  <c r="A550" i="1"/>
  <c r="I2092" i="4"/>
  <c r="I2090" i="4"/>
  <c r="K2089" i="4"/>
  <c r="I2087" i="4"/>
  <c r="A2086" i="4"/>
  <c r="A2089" i="4" s="1"/>
  <c r="A2094" i="4" s="1"/>
  <c r="I2084" i="4"/>
  <c r="I2082" i="4"/>
  <c r="K2081" i="4"/>
  <c r="A241" i="1"/>
  <c r="I968" i="4"/>
  <c r="I965" i="4"/>
  <c r="A966" i="4"/>
  <c r="A969" i="4" s="1"/>
  <c r="A972" i="4" s="1"/>
  <c r="I960" i="4"/>
  <c r="K949" i="4"/>
  <c r="A700" i="1" l="1"/>
  <c r="A410" i="1"/>
  <c r="A411" i="1" s="1"/>
  <c r="A1904" i="4"/>
  <c r="A1909" i="4" s="1"/>
  <c r="A1912" i="4" s="1"/>
  <c r="A1917" i="4" s="1"/>
  <c r="A1920" i="4" s="1"/>
  <c r="A742" i="4"/>
  <c r="A745" i="4" s="1"/>
  <c r="A750" i="4" s="1"/>
  <c r="A753" i="4" s="1"/>
  <c r="A353" i="1"/>
  <c r="A662" i="1"/>
  <c r="A55" i="1"/>
  <c r="Q235" i="1"/>
  <c r="A242" i="1"/>
  <c r="A551" i="1"/>
  <c r="A105" i="1"/>
  <c r="I2086" i="4"/>
  <c r="I964" i="4"/>
  <c r="I958" i="4"/>
  <c r="J950" i="4"/>
  <c r="J952" i="4"/>
  <c r="J960" i="4"/>
  <c r="J2082" i="4"/>
  <c r="J2084" i="4"/>
  <c r="J2087" i="4"/>
  <c r="J2091" i="4"/>
  <c r="J2093" i="4"/>
  <c r="J951" i="4"/>
  <c r="J953" i="4"/>
  <c r="J965" i="4"/>
  <c r="J968" i="4"/>
  <c r="J2083" i="4"/>
  <c r="J2085" i="4"/>
  <c r="J2088" i="4"/>
  <c r="J2090" i="4"/>
  <c r="J2092" i="4"/>
  <c r="Q550" i="1"/>
  <c r="Q548" i="1"/>
  <c r="Q549" i="1"/>
  <c r="K966" i="4"/>
  <c r="I967" i="4"/>
  <c r="I2081" i="4"/>
  <c r="I2089" i="4"/>
  <c r="I949" i="4"/>
  <c r="A412" i="1" l="1"/>
  <c r="A1923" i="4"/>
  <c r="A1926" i="4" s="1"/>
  <c r="A1929" i="4" s="1"/>
  <c r="A1936" i="4" s="1"/>
  <c r="A1939" i="4" s="1"/>
  <c r="A701" i="1"/>
  <c r="A755" i="4"/>
  <c r="A758" i="4" s="1"/>
  <c r="A761" i="4" s="1"/>
  <c r="A764" i="4" s="1"/>
  <c r="A56" i="1"/>
  <c r="A663" i="1"/>
  <c r="A354" i="1"/>
  <c r="I939" i="4"/>
  <c r="J964" i="4"/>
  <c r="J958" i="4"/>
  <c r="A243" i="1"/>
  <c r="A106" i="1"/>
  <c r="J2086" i="4"/>
  <c r="I2080" i="4"/>
  <c r="J235" i="1"/>
  <c r="J2089" i="4"/>
  <c r="J2081" i="4"/>
  <c r="J949" i="4"/>
  <c r="J549" i="1"/>
  <c r="J967" i="4"/>
  <c r="J550" i="1"/>
  <c r="Q241" i="1"/>
  <c r="Q240" i="1"/>
  <c r="Q551" i="1"/>
  <c r="Q238" i="1"/>
  <c r="I966" i="4"/>
  <c r="J548" i="1"/>
  <c r="K52" i="4"/>
  <c r="K47" i="4"/>
  <c r="A1946" i="4" l="1"/>
  <c r="A1953" i="4" s="1"/>
  <c r="A1958" i="4" s="1"/>
  <c r="A1965" i="4" s="1"/>
  <c r="A1968" i="4" s="1"/>
  <c r="A1973" i="4" s="1"/>
  <c r="A702" i="1"/>
  <c r="A413" i="1"/>
  <c r="A767" i="4"/>
  <c r="A770" i="4" s="1"/>
  <c r="A772" i="4" s="1"/>
  <c r="A774" i="4" s="1"/>
  <c r="A783" i="4" s="1"/>
  <c r="A785" i="4" s="1"/>
  <c r="A787" i="4" s="1"/>
  <c r="A790" i="4" s="1"/>
  <c r="A793" i="4" s="1"/>
  <c r="A795" i="4" s="1"/>
  <c r="A797" i="4" s="1"/>
  <c r="A799" i="4" s="1"/>
  <c r="A355" i="1"/>
  <c r="A57" i="1"/>
  <c r="A664" i="1"/>
  <c r="J966" i="4"/>
  <c r="N550" i="1"/>
  <c r="P549" i="1"/>
  <c r="J230" i="1"/>
  <c r="A107" i="1"/>
  <c r="I957" i="4"/>
  <c r="P550" i="1"/>
  <c r="N549" i="1"/>
  <c r="J48" i="4"/>
  <c r="J50" i="4"/>
  <c r="J54" i="4"/>
  <c r="J240" i="1"/>
  <c r="J241" i="1"/>
  <c r="J49" i="4"/>
  <c r="J51" i="4"/>
  <c r="J551" i="1"/>
  <c r="J238" i="1"/>
  <c r="Q28" i="1"/>
  <c r="Q29" i="1"/>
  <c r="P548" i="1"/>
  <c r="N548" i="1"/>
  <c r="I47" i="4"/>
  <c r="I52" i="4"/>
  <c r="I1147" i="4"/>
  <c r="I1146" i="4"/>
  <c r="K1145" i="4"/>
  <c r="K12" i="4"/>
  <c r="K7" i="4"/>
  <c r="A1976" i="4" l="1"/>
  <c r="A1979" i="4" s="1"/>
  <c r="A1982" i="4" s="1"/>
  <c r="A1997" i="4" s="1"/>
  <c r="A2008" i="4" s="1"/>
  <c r="A703" i="1"/>
  <c r="A414" i="1"/>
  <c r="A415" i="1" s="1"/>
  <c r="A818" i="4"/>
  <c r="A821" i="4" s="1"/>
  <c r="A825" i="4" s="1"/>
  <c r="A829" i="4" s="1"/>
  <c r="A665" i="1"/>
  <c r="A356" i="1"/>
  <c r="A58" i="1"/>
  <c r="A59" i="1" s="1"/>
  <c r="A357" i="1"/>
  <c r="P240" i="1"/>
  <c r="P551" i="1"/>
  <c r="P241" i="1"/>
  <c r="I46" i="4"/>
  <c r="A108" i="1"/>
  <c r="P238" i="1"/>
  <c r="J237" i="1"/>
  <c r="N241" i="1"/>
  <c r="N551" i="1"/>
  <c r="J52" i="4"/>
  <c r="J47" i="4"/>
  <c r="N238" i="1"/>
  <c r="N240" i="1"/>
  <c r="J8" i="4"/>
  <c r="J10" i="4"/>
  <c r="J1146" i="4"/>
  <c r="J29" i="1"/>
  <c r="J9" i="4"/>
  <c r="J11" i="4"/>
  <c r="J1147" i="4"/>
  <c r="J28" i="1"/>
  <c r="Q307" i="1"/>
  <c r="Q12" i="1"/>
  <c r="Q13" i="1"/>
  <c r="I13" i="4"/>
  <c r="I1145" i="4"/>
  <c r="I7" i="4"/>
  <c r="A2031" i="4" l="1"/>
  <c r="A2036" i="4" s="1"/>
  <c r="A2041" i="4" s="1"/>
  <c r="A2044" i="4" s="1"/>
  <c r="A2048" i="4" s="1"/>
  <c r="A2050" i="4" s="1"/>
  <c r="A832" i="4"/>
  <c r="A835" i="4" s="1"/>
  <c r="A838" i="4" s="1"/>
  <c r="A840" i="4" s="1"/>
  <c r="A842" i="4" s="1"/>
  <c r="A704" i="1"/>
  <c r="A358" i="1"/>
  <c r="A60" i="1"/>
  <c r="I1144" i="4"/>
  <c r="A109" i="1"/>
  <c r="N237" i="1"/>
  <c r="J1145" i="4"/>
  <c r="J7" i="4"/>
  <c r="J307" i="1"/>
  <c r="J12" i="1"/>
  <c r="J13" i="4"/>
  <c r="I12" i="4"/>
  <c r="A844" i="4" l="1"/>
  <c r="A846" i="4" s="1"/>
  <c r="A850" i="4" s="1"/>
  <c r="A854" i="4" s="1"/>
  <c r="A858" i="4" s="1"/>
  <c r="A862" i="4" s="1"/>
  <c r="A865" i="4" s="1"/>
  <c r="A868" i="4" s="1"/>
  <c r="A871" i="4" s="1"/>
  <c r="A874" i="4" s="1"/>
  <c r="A877" i="4" s="1"/>
  <c r="A887" i="4" s="1"/>
  <c r="A889" i="4" s="1"/>
  <c r="A897" i="4" s="1"/>
  <c r="A903" i="4" s="1"/>
  <c r="A915" i="4" s="1"/>
  <c r="A925" i="4" s="1"/>
  <c r="A928" i="4" s="1"/>
  <c r="A705" i="1"/>
  <c r="A359" i="1"/>
  <c r="A61" i="1"/>
  <c r="J12" i="4"/>
  <c r="A110" i="1"/>
  <c r="N307" i="1"/>
  <c r="J306" i="1"/>
  <c r="I6" i="4"/>
  <c r="N12" i="1"/>
  <c r="P307" i="1"/>
  <c r="P12" i="1"/>
  <c r="J13" i="1"/>
  <c r="A706" i="1" l="1"/>
  <c r="A416" i="1"/>
  <c r="A360" i="1"/>
  <c r="A62" i="1"/>
  <c r="I5" i="4"/>
  <c r="A111" i="1"/>
  <c r="N13" i="1"/>
  <c r="N306" i="1"/>
  <c r="J11" i="1"/>
  <c r="P13" i="1"/>
  <c r="A707" i="1" l="1"/>
  <c r="A417" i="1"/>
  <c r="A361" i="1"/>
  <c r="A63" i="1"/>
  <c r="N11" i="1"/>
  <c r="A112" i="1"/>
  <c r="A708" i="1" l="1"/>
  <c r="A418" i="1"/>
  <c r="A362" i="1"/>
  <c r="A64" i="1"/>
  <c r="A113" i="1"/>
  <c r="A114" i="1" s="1"/>
  <c r="O642" i="1"/>
  <c r="M642" i="1"/>
  <c r="L642" i="1"/>
  <c r="K642" i="1"/>
  <c r="I642" i="1"/>
  <c r="H642" i="1"/>
  <c r="G642" i="1"/>
  <c r="A709" i="1" l="1"/>
  <c r="A419" i="1"/>
  <c r="A115" i="1"/>
  <c r="A666" i="1"/>
  <c r="A363" i="1"/>
  <c r="A65" i="1"/>
  <c r="O328" i="1"/>
  <c r="M328" i="1"/>
  <c r="L328" i="1"/>
  <c r="K328" i="1"/>
  <c r="I328" i="1"/>
  <c r="H328" i="1"/>
  <c r="G328" i="1"/>
  <c r="D1209" i="4"/>
  <c r="A711" i="1" l="1"/>
  <c r="A420" i="1"/>
  <c r="A667" i="1"/>
  <c r="D1143" i="4"/>
  <c r="A364" i="1"/>
  <c r="A66" i="1"/>
  <c r="O324" i="1"/>
  <c r="A116" i="1"/>
  <c r="O780" i="1"/>
  <c r="I780" i="1"/>
  <c r="H780" i="1"/>
  <c r="G780" i="1"/>
  <c r="A712" i="1" l="1"/>
  <c r="A421" i="1"/>
  <c r="A668" i="1"/>
  <c r="A365" i="1"/>
  <c r="A67" i="1"/>
  <c r="N324" i="1"/>
  <c r="O323" i="1"/>
  <c r="A117" i="1"/>
  <c r="P781" i="1"/>
  <c r="N781" i="1"/>
  <c r="A713" i="1" l="1"/>
  <c r="A422" i="1"/>
  <c r="A669" i="1"/>
  <c r="A366" i="1"/>
  <c r="A68" i="1"/>
  <c r="N323" i="1"/>
  <c r="O322" i="1"/>
  <c r="A118" i="1"/>
  <c r="O801" i="1"/>
  <c r="M801" i="1"/>
  <c r="L801" i="1"/>
  <c r="K801" i="1"/>
  <c r="I801" i="1"/>
  <c r="H801" i="1"/>
  <c r="A714" i="1" l="1"/>
  <c r="A423" i="1"/>
  <c r="A119" i="1"/>
  <c r="A670" i="1"/>
  <c r="A671" i="1" s="1"/>
  <c r="A367" i="1"/>
  <c r="A69" i="1"/>
  <c r="O321" i="1"/>
  <c r="N322" i="1"/>
  <c r="N802" i="1"/>
  <c r="A715" i="1" l="1"/>
  <c r="A424" i="1"/>
  <c r="A120" i="1"/>
  <c r="A368" i="1"/>
  <c r="A70" i="1"/>
  <c r="O320" i="1"/>
  <c r="N321" i="1"/>
  <c r="P802" i="1"/>
  <c r="A716" i="1" l="1"/>
  <c r="A425" i="1"/>
  <c r="A122" i="1"/>
  <c r="A369" i="1"/>
  <c r="N320" i="1"/>
  <c r="O319" i="1"/>
  <c r="A717" i="1" l="1"/>
  <c r="A426" i="1"/>
  <c r="A123" i="1"/>
  <c r="A370" i="1"/>
  <c r="N319" i="1"/>
  <c r="O318" i="1"/>
  <c r="P791" i="1"/>
  <c r="A718" i="1" l="1"/>
  <c r="A427" i="1"/>
  <c r="A124" i="1"/>
  <c r="A371" i="1"/>
  <c r="N318" i="1"/>
  <c r="O317" i="1"/>
  <c r="J801" i="1"/>
  <c r="N791" i="1"/>
  <c r="A719" i="1" l="1"/>
  <c r="A372" i="1"/>
  <c r="A428" i="1"/>
  <c r="A125" i="1"/>
  <c r="O316" i="1"/>
  <c r="N317" i="1"/>
  <c r="N784" i="1"/>
  <c r="N801" i="1"/>
  <c r="A721" i="1" l="1"/>
  <c r="A373" i="1"/>
  <c r="A429" i="1"/>
  <c r="A126" i="1"/>
  <c r="O315" i="1"/>
  <c r="N316" i="1"/>
  <c r="A598" i="1"/>
  <c r="A722" i="1" l="1"/>
  <c r="A374" i="1"/>
  <c r="A430" i="1"/>
  <c r="A127" i="1"/>
  <c r="N315" i="1"/>
  <c r="O314" i="1"/>
  <c r="A599" i="1"/>
  <c r="A723" i="1" l="1"/>
  <c r="A375" i="1"/>
  <c r="A431" i="1"/>
  <c r="A128" i="1"/>
  <c r="O313" i="1"/>
  <c r="N314" i="1"/>
  <c r="A600" i="1"/>
  <c r="A601" i="1" s="1"/>
  <c r="O761" i="1"/>
  <c r="O631" i="1" s="1"/>
  <c r="M761" i="1"/>
  <c r="L761" i="1"/>
  <c r="K761" i="1"/>
  <c r="I761" i="1"/>
  <c r="I631" i="1" s="1"/>
  <c r="H761" i="1"/>
  <c r="H631" i="1" s="1"/>
  <c r="G761" i="1"/>
  <c r="G631" i="1" s="1"/>
  <c r="O547" i="1"/>
  <c r="M547" i="1"/>
  <c r="L547" i="1"/>
  <c r="K547" i="1"/>
  <c r="I547" i="1"/>
  <c r="H547" i="1"/>
  <c r="G547" i="1"/>
  <c r="A724" i="1" l="1"/>
  <c r="A376" i="1"/>
  <c r="A432" i="1"/>
  <c r="A129" i="1"/>
  <c r="N313" i="1"/>
  <c r="O312" i="1"/>
  <c r="A602" i="1"/>
  <c r="A603" i="1" s="1"/>
  <c r="A725" i="1" l="1"/>
  <c r="A434" i="1"/>
  <c r="A130" i="1"/>
  <c r="N312" i="1"/>
  <c r="O311" i="1"/>
  <c r="A604" i="1"/>
  <c r="J761" i="1"/>
  <c r="N761" i="1"/>
  <c r="J547" i="1"/>
  <c r="N547" i="1"/>
  <c r="A726" i="1" l="1"/>
  <c r="A435" i="1"/>
  <c r="A131" i="1"/>
  <c r="N311" i="1"/>
  <c r="N310" i="1" s="1"/>
  <c r="O310" i="1"/>
  <c r="A605" i="1"/>
  <c r="I1209" i="4"/>
  <c r="A727" i="1" l="1"/>
  <c r="A436" i="1"/>
  <c r="A132" i="1"/>
  <c r="I1143" i="4"/>
  <c r="A606" i="1"/>
  <c r="A29" i="1"/>
  <c r="K273" i="1"/>
  <c r="L273" i="1"/>
  <c r="M273" i="1"/>
  <c r="A300" i="1"/>
  <c r="H587" i="1"/>
  <c r="I587" i="1"/>
  <c r="O587" i="1"/>
  <c r="K589" i="1"/>
  <c r="L589" i="1"/>
  <c r="M589" i="1"/>
  <c r="G625" i="1"/>
  <c r="G305" i="1" s="1"/>
  <c r="H625" i="1"/>
  <c r="I625" i="1"/>
  <c r="K625" i="1"/>
  <c r="L625" i="1"/>
  <c r="M625" i="1"/>
  <c r="O625" i="1"/>
  <c r="K780" i="1"/>
  <c r="L780" i="1"/>
  <c r="M780" i="1"/>
  <c r="A728" i="1" l="1"/>
  <c r="A437" i="1"/>
  <c r="A133" i="1"/>
  <c r="H305" i="1"/>
  <c r="O305" i="1"/>
  <c r="I305" i="1"/>
  <c r="A301" i="1"/>
  <c r="A607" i="1"/>
  <c r="M271" i="1"/>
  <c r="K271" i="1"/>
  <c r="L271" i="1"/>
  <c r="A30" i="1"/>
  <c r="J328" i="1"/>
  <c r="N328" i="1"/>
  <c r="K587" i="1"/>
  <c r="M587" i="1"/>
  <c r="L587" i="1"/>
  <c r="A729" i="1" l="1"/>
  <c r="A438" i="1"/>
  <c r="A302" i="1"/>
  <c r="A303" i="1" s="1"/>
  <c r="A134" i="1"/>
  <c r="L246" i="1"/>
  <c r="K245" i="1"/>
  <c r="L245" i="1"/>
  <c r="K246" i="1"/>
  <c r="A608" i="1"/>
  <c r="A31" i="1"/>
  <c r="L558" i="1"/>
  <c r="L556" i="1"/>
  <c r="L554" i="1"/>
  <c r="L557" i="1"/>
  <c r="L555" i="1"/>
  <c r="K557" i="1"/>
  <c r="K555" i="1"/>
  <c r="K558" i="1"/>
  <c r="K556" i="1"/>
  <c r="K554" i="1"/>
  <c r="M558" i="1"/>
  <c r="M556" i="1"/>
  <c r="M554" i="1"/>
  <c r="M557" i="1"/>
  <c r="M555" i="1"/>
  <c r="M245" i="1"/>
  <c r="M246" i="1"/>
  <c r="A730" i="1" l="1"/>
  <c r="A439" i="1"/>
  <c r="A135" i="1"/>
  <c r="K244" i="1"/>
  <c r="L244" i="1"/>
  <c r="L10" i="1" s="1"/>
  <c r="A609" i="1"/>
  <c r="N246" i="1"/>
  <c r="M552" i="1"/>
  <c r="M305" i="1" s="1"/>
  <c r="N554" i="1"/>
  <c r="K552" i="1"/>
  <c r="K305" i="1" s="1"/>
  <c r="N558" i="1"/>
  <c r="N557" i="1"/>
  <c r="L552" i="1"/>
  <c r="L305" i="1" s="1"/>
  <c r="N556" i="1"/>
  <c r="N555" i="1"/>
  <c r="N245" i="1"/>
  <c r="M244" i="1"/>
  <c r="A731" i="1" l="1"/>
  <c r="A440" i="1"/>
  <c r="A441" i="1" s="1"/>
  <c r="A136" i="1"/>
  <c r="K10" i="1"/>
  <c r="A610" i="1"/>
  <c r="N244" i="1"/>
  <c r="N552" i="1"/>
  <c r="M10" i="1"/>
  <c r="Q643" i="1"/>
  <c r="Q626" i="1"/>
  <c r="J588" i="1"/>
  <c r="A442" i="1" l="1"/>
  <c r="A137" i="1"/>
  <c r="A732" i="1"/>
  <c r="A611" i="1"/>
  <c r="J626" i="1"/>
  <c r="J780" i="1"/>
  <c r="J537" i="1"/>
  <c r="J643" i="1"/>
  <c r="N597" i="1"/>
  <c r="P597" i="1"/>
  <c r="P588" i="1"/>
  <c r="N588" i="1"/>
  <c r="A138" i="1" l="1"/>
  <c r="A733" i="1"/>
  <c r="A443" i="1"/>
  <c r="A612" i="1"/>
  <c r="J642" i="1"/>
  <c r="J631" i="1" s="1"/>
  <c r="J587" i="1"/>
  <c r="N28" i="1"/>
  <c r="P28" i="1"/>
  <c r="N29" i="1"/>
  <c r="P29" i="1"/>
  <c r="P589" i="1"/>
  <c r="N589" i="1"/>
  <c r="P599" i="1"/>
  <c r="N599" i="1"/>
  <c r="N643" i="1"/>
  <c r="P643" i="1"/>
  <c r="N598" i="1"/>
  <c r="P598" i="1"/>
  <c r="N537" i="1"/>
  <c r="N780" i="1"/>
  <c r="N626" i="1"/>
  <c r="J625" i="1"/>
  <c r="P626" i="1"/>
  <c r="A139" i="1" l="1"/>
  <c r="A734" i="1"/>
  <c r="A444" i="1"/>
  <c r="J305" i="1"/>
  <c r="N625" i="1"/>
  <c r="N642" i="1"/>
  <c r="A613" i="1"/>
  <c r="N596" i="1"/>
  <c r="N27" i="1"/>
  <c r="N587" i="1"/>
  <c r="A141" i="1" l="1"/>
  <c r="A735" i="1"/>
  <c r="A445" i="1"/>
  <c r="N305" i="1"/>
  <c r="A614" i="1"/>
  <c r="A1132" i="4"/>
  <c r="A1135" i="4" s="1"/>
  <c r="A1138" i="4" s="1"/>
  <c r="A1141" i="4" s="1"/>
  <c r="A142" i="1" l="1"/>
  <c r="A736" i="1"/>
  <c r="A446" i="1"/>
  <c r="A615" i="1"/>
  <c r="A143" i="1" l="1"/>
  <c r="A144" i="1" s="1"/>
  <c r="A737" i="1"/>
  <c r="A447" i="1"/>
  <c r="A616" i="1"/>
  <c r="N287" i="1"/>
  <c r="P287" i="1"/>
  <c r="P300" i="1"/>
  <c r="N300" i="1"/>
  <c r="N294" i="1"/>
  <c r="P294" i="1"/>
  <c r="A145" i="1" l="1"/>
  <c r="A738" i="1"/>
  <c r="A448" i="1"/>
  <c r="N299" i="1"/>
  <c r="A617" i="1"/>
  <c r="N286" i="1"/>
  <c r="Q274" i="1"/>
  <c r="A146" i="1" l="1"/>
  <c r="A739" i="1"/>
  <c r="A449" i="1"/>
  <c r="A618" i="1"/>
  <c r="Q273" i="1"/>
  <c r="N276" i="1"/>
  <c r="J274" i="1"/>
  <c r="A147" i="1" l="1"/>
  <c r="A148" i="1" s="1"/>
  <c r="A740" i="1"/>
  <c r="A450" i="1"/>
  <c r="A619" i="1"/>
  <c r="N275" i="1"/>
  <c r="J271" i="1"/>
  <c r="J10" i="1" s="1"/>
  <c r="P235" i="1"/>
  <c r="N235" i="1"/>
  <c r="N274" i="1"/>
  <c r="P274" i="1"/>
  <c r="A741" i="1" l="1"/>
  <c r="A451" i="1"/>
  <c r="A149" i="1"/>
  <c r="A620" i="1"/>
  <c r="A621" i="1" s="1"/>
  <c r="N230" i="1"/>
  <c r="P273" i="1"/>
  <c r="N273" i="1"/>
  <c r="A742" i="1" l="1"/>
  <c r="A453" i="1"/>
  <c r="A150" i="1"/>
  <c r="N271" i="1"/>
  <c r="A743" i="1" l="1"/>
  <c r="A454" i="1"/>
  <c r="A151" i="1"/>
  <c r="A622" i="1"/>
  <c r="N10" i="1"/>
  <c r="A744" i="1" l="1"/>
  <c r="A455" i="1"/>
  <c r="A152" i="1"/>
  <c r="A623" i="1"/>
  <c r="M763" i="1"/>
  <c r="M631" i="1" s="1"/>
  <c r="L763" i="1"/>
  <c r="L631" i="1" s="1"/>
  <c r="K763" i="1"/>
  <c r="K631" i="1" s="1"/>
  <c r="N763" i="1"/>
  <c r="N631" i="1" s="1"/>
  <c r="A745" i="1" l="1"/>
  <c r="A456" i="1"/>
  <c r="A153" i="1"/>
  <c r="A624" i="1"/>
  <c r="A746" i="1" l="1"/>
  <c r="A457" i="1"/>
  <c r="A154" i="1"/>
  <c r="A748" i="1" l="1"/>
  <c r="A458" i="1"/>
  <c r="A155" i="1"/>
  <c r="A749" i="1" l="1"/>
  <c r="A459" i="1"/>
  <c r="A156" i="1"/>
  <c r="A750" i="1" l="1"/>
  <c r="A460" i="1"/>
  <c r="A157" i="1"/>
  <c r="A751" i="1" l="1"/>
  <c r="A461" i="1"/>
  <c r="A158" i="1"/>
  <c r="A752" i="1" l="1"/>
  <c r="A462" i="1"/>
  <c r="A159" i="1"/>
  <c r="A753" i="1" l="1"/>
  <c r="A463" i="1"/>
  <c r="A160" i="1"/>
  <c r="A754" i="1" l="1"/>
  <c r="A464" i="1"/>
  <c r="A161" i="1"/>
  <c r="A755" i="1" l="1"/>
  <c r="A465" i="1"/>
  <c r="A162" i="1"/>
  <c r="A466" i="1" l="1"/>
  <c r="A163" i="1"/>
  <c r="A467" i="1" l="1"/>
  <c r="A164" i="1"/>
  <c r="A468" i="1" l="1"/>
  <c r="A165" i="1"/>
  <c r="A469" i="1" l="1"/>
  <c r="A166" i="1"/>
  <c r="A470" i="1" l="1"/>
  <c r="A167" i="1"/>
  <c r="A471" i="1" l="1"/>
  <c r="A168" i="1"/>
  <c r="A472" i="1" l="1"/>
  <c r="A169" i="1"/>
  <c r="A473" i="1" l="1"/>
  <c r="A474" i="1" s="1"/>
  <c r="A170" i="1"/>
  <c r="A475" i="1" l="1"/>
  <c r="A171" i="1"/>
  <c r="A476" i="1" l="1"/>
  <c r="A172" i="1"/>
  <c r="A477" i="1" l="1"/>
  <c r="A173" i="1"/>
  <c r="A478" i="1" l="1"/>
  <c r="A174" i="1"/>
  <c r="A479" i="1" l="1"/>
  <c r="A175" i="1"/>
  <c r="A480" i="1" l="1"/>
  <c r="A176" i="1"/>
  <c r="A481" i="1" l="1"/>
  <c r="A177" i="1"/>
  <c r="A482" i="1" l="1"/>
  <c r="A178" i="1"/>
  <c r="A483" i="1" l="1"/>
  <c r="A179" i="1"/>
  <c r="A484" i="1" l="1"/>
  <c r="A180" i="1"/>
  <c r="A485" i="1" l="1"/>
  <c r="A181" i="1"/>
  <c r="A486" i="1" l="1"/>
  <c r="A182" i="1"/>
  <c r="A487" i="1" l="1"/>
  <c r="A183" i="1"/>
  <c r="A488" i="1" l="1"/>
  <c r="A184" i="1"/>
  <c r="A489" i="1" l="1"/>
  <c r="A185" i="1"/>
  <c r="A490" i="1" l="1"/>
  <c r="A186" i="1"/>
  <c r="A491" i="1" l="1"/>
  <c r="A187" i="1"/>
  <c r="A492" i="1" l="1"/>
  <c r="A188" i="1"/>
  <c r="A493" i="1" l="1"/>
  <c r="A189" i="1"/>
  <c r="A494" i="1" l="1"/>
  <c r="A190" i="1"/>
  <c r="A495" i="1" l="1"/>
  <c r="A191" i="1"/>
  <c r="A496" i="1" l="1"/>
  <c r="A192" i="1"/>
  <c r="A497" i="1" l="1"/>
  <c r="A193" i="1"/>
  <c r="A498" i="1" l="1"/>
  <c r="A194" i="1"/>
  <c r="A499" i="1" l="1"/>
  <c r="A195" i="1"/>
  <c r="A500" i="1" l="1"/>
  <c r="A197" i="1"/>
  <c r="A501" i="1" l="1"/>
  <c r="A198" i="1"/>
  <c r="A502" i="1" l="1"/>
  <c r="A199" i="1"/>
  <c r="A503" i="1" l="1"/>
  <c r="A200" i="1"/>
  <c r="A504" i="1" l="1"/>
  <c r="A201" i="1"/>
  <c r="A202" i="1" s="1"/>
  <c r="A506" i="1" l="1"/>
  <c r="A507" i="1" l="1"/>
  <c r="A508" i="1" s="1"/>
  <c r="A509" i="1" l="1"/>
  <c r="A203" i="1"/>
  <c r="A510" i="1" l="1"/>
  <c r="A204" i="1"/>
  <c r="A511" i="1" l="1"/>
  <c r="A205" i="1"/>
  <c r="A512" i="1" l="1"/>
  <c r="A206" i="1"/>
  <c r="A513" i="1" l="1"/>
  <c r="A514" i="1" s="1"/>
  <c r="A515" i="1" s="1"/>
  <c r="A207" i="1"/>
  <c r="A208" i="1" s="1"/>
  <c r="A516" i="1" l="1"/>
  <c r="A209" i="1"/>
  <c r="A517" i="1"/>
  <c r="A210" i="1" l="1"/>
  <c r="A211" i="1" s="1"/>
  <c r="A518" i="1"/>
  <c r="A212" i="1" l="1"/>
  <c r="A213" i="1" s="1"/>
  <c r="A519" i="1"/>
  <c r="A520" i="1" l="1"/>
  <c r="A214" i="1"/>
  <c r="A521" i="1" l="1"/>
  <c r="A215" i="1"/>
  <c r="A522" i="1" l="1"/>
  <c r="A216" i="1"/>
  <c r="A523" i="1" l="1"/>
  <c r="A217" i="1"/>
  <c r="A524" i="1" l="1"/>
  <c r="A218" i="1"/>
  <c r="A525" i="1" l="1"/>
  <c r="A219" i="1"/>
  <c r="A526" i="1" l="1"/>
  <c r="A220" i="1"/>
  <c r="A527" i="1" l="1"/>
  <c r="A221" i="1"/>
  <c r="A528" i="1" l="1"/>
  <c r="A222" i="1"/>
  <c r="A529" i="1" l="1"/>
  <c r="A223" i="1"/>
  <c r="A530" i="1" l="1"/>
  <c r="A224" i="1"/>
  <c r="A531" i="1" l="1"/>
  <c r="A225" i="1"/>
  <c r="A532" i="1" l="1"/>
  <c r="A533" i="1" l="1"/>
  <c r="A534" i="1" l="1"/>
  <c r="A535" i="1" l="1"/>
  <c r="A536" i="1" l="1"/>
</calcChain>
</file>

<file path=xl/comments1.xml><?xml version="1.0" encoding="utf-8"?>
<comments xmlns="http://schemas.openxmlformats.org/spreadsheetml/2006/main">
  <authors>
    <author>Сыроватская Татьяна Иннокентьевна</author>
    <author>Карпова Светлана Сергеевна</author>
  </authors>
  <commentList>
    <comment ref="I277" authorId="0" shapeId="0">
      <text>
        <r>
          <rPr>
            <b/>
            <sz val="9"/>
            <color indexed="81"/>
            <rFont val="Tahoma"/>
            <family val="2"/>
            <charset val="204"/>
          </rPr>
          <t>Сыроватская Татьяна Иннокентьевна:</t>
        </r>
        <r>
          <rPr>
            <sz val="9"/>
            <color indexed="81"/>
            <rFont val="Tahoma"/>
            <family val="2"/>
            <charset val="204"/>
          </rPr>
          <t xml:space="preserve">
по ПСД 633788.43
</t>
        </r>
      </text>
    </comment>
    <comment ref="I279" authorId="0" shapeId="0">
      <text>
        <r>
          <rPr>
            <b/>
            <sz val="9"/>
            <color indexed="81"/>
            <rFont val="Tahoma"/>
            <family val="2"/>
            <charset val="204"/>
          </rPr>
          <t>Сыроватская Татьяна Иннокентьевна:</t>
        </r>
        <r>
          <rPr>
            <sz val="9"/>
            <color indexed="81"/>
            <rFont val="Tahoma"/>
            <family val="2"/>
            <charset val="204"/>
          </rPr>
          <t xml:space="preserve">
по ПСД 516286.87</t>
        </r>
      </text>
    </comment>
    <comment ref="I444" authorId="1" shapeId="0">
      <text>
        <r>
          <rPr>
            <b/>
            <sz val="9"/>
            <color indexed="81"/>
            <rFont val="Tahoma"/>
            <family val="2"/>
            <charset val="204"/>
          </rPr>
          <t>Карпова Светлана Сергеевна:</t>
        </r>
        <r>
          <rPr>
            <sz val="9"/>
            <color indexed="81"/>
            <rFont val="Tahoma"/>
            <family val="2"/>
            <charset val="204"/>
          </rPr>
          <t xml:space="preserve">
2 684 807.28 по ПСД</t>
        </r>
      </text>
    </comment>
    <comment ref="I472" authorId="1" shapeId="0">
      <text>
        <r>
          <rPr>
            <b/>
            <sz val="9"/>
            <color indexed="81"/>
            <rFont val="Tahoma"/>
            <family val="2"/>
            <charset val="204"/>
          </rPr>
          <t>Карпова Светлана Сергеевна:</t>
        </r>
        <r>
          <rPr>
            <sz val="9"/>
            <color indexed="81"/>
            <rFont val="Tahoma"/>
            <family val="2"/>
            <charset val="204"/>
          </rPr>
          <t xml:space="preserve">
1015535.66 по ПСД</t>
        </r>
      </text>
    </comment>
  </commentList>
</comments>
</file>

<file path=xl/sharedStrings.xml><?xml version="1.0" encoding="utf-8"?>
<sst xmlns="http://schemas.openxmlformats.org/spreadsheetml/2006/main" count="8928" uniqueCount="684">
  <si>
    <t>№ п/п</t>
  </si>
  <si>
    <t>Адрес МКД</t>
  </si>
  <si>
    <t>Количество этажей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</si>
  <si>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</si>
  <si>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</si>
  <si>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</si>
  <si>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</si>
  <si>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</si>
  <si>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</si>
  <si>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кв. м</t>
  </si>
  <si>
    <t>чел.</t>
  </si>
  <si>
    <t>руб.</t>
  </si>
  <si>
    <t>руб./кв. м</t>
  </si>
  <si>
    <t>Х</t>
  </si>
  <si>
    <t>всего</t>
  </si>
  <si>
    <t>в том числе</t>
  </si>
  <si>
    <t>Итого по Александровскому району</t>
  </si>
  <si>
    <t>Примечание:</t>
  </si>
  <si>
    <t>Количество жителей, зарегистрированных в МКД на дату утверждения краткосрочного плана</t>
  </si>
  <si>
    <t>Площадь помещений МКД, кв. м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</si>
  <si>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</si>
  <si>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</si>
  <si>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</si>
  <si>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Удельная стоимость работы (услуги), руб./кв. м</t>
  </si>
  <si>
    <t>Предельная стоимость работы (услуги), руб./кв. м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</si>
  <si>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</si>
  <si>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</si>
  <si>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</si>
  <si>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Код МКД</t>
  </si>
  <si>
    <t>Итого по Асиновскому району</t>
  </si>
  <si>
    <t>Итого по Верхнекетскому району</t>
  </si>
  <si>
    <t>Итого по Зырянскому району</t>
  </si>
  <si>
    <t>Итого по Каргасокскому району</t>
  </si>
  <si>
    <t>Итого по городу Кедровому</t>
  </si>
  <si>
    <t>Итого по Кожевниковскому району</t>
  </si>
  <si>
    <t>Итого по Колпашевскому району</t>
  </si>
  <si>
    <t>Итого по Кривошеинскому району</t>
  </si>
  <si>
    <t xml:space="preserve">Итого по Молчановскому району </t>
  </si>
  <si>
    <t>Итого по Парабельскому району</t>
  </si>
  <si>
    <t xml:space="preserve">Итого по Первомайскому району </t>
  </si>
  <si>
    <t xml:space="preserve">Итого по городской округ ЗАТО Северск </t>
  </si>
  <si>
    <t>Итого по городскому округу Стрежевой</t>
  </si>
  <si>
    <t>Итого по Городу Томску</t>
  </si>
  <si>
    <t xml:space="preserve">Итого по Томскому району </t>
  </si>
  <si>
    <t>Итого по Чаинскому району</t>
  </si>
  <si>
    <t xml:space="preserve">Итого по Шегарскому району </t>
  </si>
  <si>
    <t>Всего по Томской области</t>
  </si>
  <si>
    <t>Итого по городскому округу ЗАТО Северск</t>
  </si>
  <si>
    <t>Итого по Молчановскому району</t>
  </si>
  <si>
    <t>Итого по Томскому району</t>
  </si>
  <si>
    <t>Итого по Шегарскому району</t>
  </si>
  <si>
    <t>Итого по Первомайскому району</t>
  </si>
  <si>
    <t xml:space="preserve">Итого по Чаинскому району </t>
  </si>
  <si>
    <t>Год ввода в эксплуатацию</t>
  </si>
  <si>
    <t>Площадь помещений в МКД</t>
  </si>
  <si>
    <t>Способ формирования фонда капитального ремонта многоквартирного дома &lt;3&gt;</t>
  </si>
  <si>
    <t>Материал стен &lt;4&gt;</t>
  </si>
  <si>
    <t xml:space="preserve">&lt;1&gt; </t>
  </si>
  <si>
    <t>&lt;2&gt;</t>
  </si>
  <si>
    <t>выбирается из списка: ПСД, СМР –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–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– завершение работ по капитальному ремонту и осуществление строительного контроля; ПСД – разработка проектно-сметной документации, включая проведение проверки достоверности определения сметной стоимости; СМР – выполнение работ по капитальному ремонту и осуществление строительного контроля;</t>
  </si>
  <si>
    <t>&lt;3&gt;</t>
  </si>
  <si>
    <t xml:space="preserve">&lt;4&gt; </t>
  </si>
  <si>
    <t>выбирается из списка: К - кирпичные, П - панельные, Д - деревянные, Пр - прочие.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</si>
  <si>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– 5;</t>
  </si>
  <si>
    <t>П</t>
  </si>
  <si>
    <t>крыша</t>
  </si>
  <si>
    <t>Итого</t>
  </si>
  <si>
    <t>ремонт</t>
  </si>
  <si>
    <t>К</t>
  </si>
  <si>
    <t>строительный контроль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</si>
  <si>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</si>
  <si>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</si>
  <si>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</si>
  <si>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Пр</t>
  </si>
  <si>
    <t>внутридомовая инженерная система газоснабжения</t>
  </si>
  <si>
    <t>фасад</t>
  </si>
  <si>
    <t>переустройство невентилируемой крыши на вентилируемую крышу</t>
  </si>
  <si>
    <t>внутридомовая инженерная система электроснабжения</t>
  </si>
  <si>
    <t>внутридомовая инженерная система водоотведения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</si>
  <si>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</si>
  <si>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г. Томск, ул. Белинского, д. 28/1</t>
  </si>
  <si>
    <t>ПСД</t>
  </si>
  <si>
    <t>СМР</t>
  </si>
  <si>
    <t>ПСД, СМР (н)</t>
  </si>
  <si>
    <t>г. Асино, ул. им. Ивана Черных, д. 18</t>
  </si>
  <si>
    <t>г. Асино, ул. Транспортная, д. 1</t>
  </si>
  <si>
    <t>ЛО</t>
  </si>
  <si>
    <t>ПСД, СМР</t>
  </si>
  <si>
    <t>1988, 1989</t>
  </si>
  <si>
    <t>ТС</t>
  </si>
  <si>
    <t>ЭС</t>
  </si>
  <si>
    <t>Кировский район</t>
  </si>
  <si>
    <t>г. Томск, д. Лоскутово, ул. Ленина, д. 16</t>
  </si>
  <si>
    <t>ТС, ХВС, ГВС</t>
  </si>
  <si>
    <t>г. Томск, с. Тимирязевское, ул. Водозаборная, д. 3</t>
  </si>
  <si>
    <t>ГС</t>
  </si>
  <si>
    <t>г. Томск, ул. Советская, д. 105</t>
  </si>
  <si>
    <t>1982, 1983, 1985</t>
  </si>
  <si>
    <t>г. Томск, ул. Студенческая, д. 7</t>
  </si>
  <si>
    <t>г. Томск, ул. Усова, д. 15/1</t>
  </si>
  <si>
    <t>г. Томск, ул. Усова, д. 37а</t>
  </si>
  <si>
    <t>Ленинский район</t>
  </si>
  <si>
    <t>г. Томск, ул. Карла Ильмера, д. 19</t>
  </si>
  <si>
    <t>г. Томск, ул. Крымская, д. 43</t>
  </si>
  <si>
    <t>г. Томск, ул. Профсоюзная, д. 20а</t>
  </si>
  <si>
    <t xml:space="preserve">Октябрьский район </t>
  </si>
  <si>
    <t>г. Томск, ул. Бела Куна, д. 22/2</t>
  </si>
  <si>
    <t>ТС, ХВС, ГВС, ВО</t>
  </si>
  <si>
    <t>г. Томск, ул. Бела Куна, д. 24/2</t>
  </si>
  <si>
    <t>г. Томск, ул. Вокзальная, д. 23</t>
  </si>
  <si>
    <t>г. Томск, ул. Сергея Лазо, д. 17</t>
  </si>
  <si>
    <t>Советский район</t>
  </si>
  <si>
    <t>РУФ</t>
  </si>
  <si>
    <t>г. Асино, ул. им. Куйбышева, д. 8</t>
  </si>
  <si>
    <t>СМР (з)</t>
  </si>
  <si>
    <t>г. Асино, ул. Партизанская, д. 40</t>
  </si>
  <si>
    <t>г. Северск, ул. Мира, д. 2</t>
  </si>
  <si>
    <t>К, НОК</t>
  </si>
  <si>
    <t>г. Северск, ул. Тупиковая, д. 6</t>
  </si>
  <si>
    <t>г. Томск, д. Лоскутово, ул. Гагарина, д. 45</t>
  </si>
  <si>
    <t>г. Томск, ул. Дзержинского, д. 36</t>
  </si>
  <si>
    <t>г. Томск, ул. Елизаровых, д. 17</t>
  </si>
  <si>
    <t>г. Томск, ул. Карпова, д. 17</t>
  </si>
  <si>
    <t>г. Томск, ул. Киевская, д. 86г</t>
  </si>
  <si>
    <t>г. Томск, ул. Косарева, д. 23</t>
  </si>
  <si>
    <t>г. Томск, ул. Косарева, д. 25</t>
  </si>
  <si>
    <t>г. Томск, ул. Красноармейская, д. 89а</t>
  </si>
  <si>
    <t>г. Томск, ул. Кузнецова, д. 1</t>
  </si>
  <si>
    <t>г. Томск, ул. Мокрушина, д. 14</t>
  </si>
  <si>
    <t>г. Томск, ул. Усова, д. 52</t>
  </si>
  <si>
    <t>г. Томск, пер. Светлый, д. 36</t>
  </si>
  <si>
    <t>г. Томск, пер. Светлый, д. 40б</t>
  </si>
  <si>
    <t>г. Томск, ул. Войкова, д. 59а</t>
  </si>
  <si>
    <t>г. Томск, ул. Интернационалистов, д. 3</t>
  </si>
  <si>
    <t>г. Томск, ул. Нижне-Луговая, д. 1</t>
  </si>
  <si>
    <t>г. Томск, ул. Первомайская, д. 65</t>
  </si>
  <si>
    <t>г. Томск, ул. Первомайская, д. 65а</t>
  </si>
  <si>
    <t>г. Томск, ул. Профсоюзная, д. 35</t>
  </si>
  <si>
    <t>г. Томск, пер. Сергея Лазо, д. 2</t>
  </si>
  <si>
    <t>г. Томск, ул. 79 Гвардейской Дивизии, д. 3</t>
  </si>
  <si>
    <t>г. Томск, ул. Беринга, д. 5</t>
  </si>
  <si>
    <t>г. Томск, ул. Беринга, д. 5/2</t>
  </si>
  <si>
    <t>г. Томск, ул. Ивана Черных, д. 107/1</t>
  </si>
  <si>
    <t>г. Томск, ул. Ивана Черных, д. 109/3</t>
  </si>
  <si>
    <t>г. Томск, ул. Ивана Черных, д. 113а</t>
  </si>
  <si>
    <t>г. Томск, ул. Лазарева, д. 2</t>
  </si>
  <si>
    <t>г. Томск, ул. Лазарева, д. 5/1</t>
  </si>
  <si>
    <t>г. Томск, ул. Лазарева, д. 7</t>
  </si>
  <si>
    <t>г. Томск, ул. Лазарева, д. 9</t>
  </si>
  <si>
    <t>г. Томск, ул. Мичурина, д. 51/2</t>
  </si>
  <si>
    <t>г. Томск, ул. Партизанская, д. 6</t>
  </si>
  <si>
    <t>г. Томск, ул. Пушкина, д. 7а</t>
  </si>
  <si>
    <t>г. Томск, ул. Пушкина, д. 27з</t>
  </si>
  <si>
    <t>г. Томск, ул. Олега Кошевого, д. 70</t>
  </si>
  <si>
    <t>г. Томск, ул. Олега Кошевого, д. 73</t>
  </si>
  <si>
    <t>г. Томск, ул. Олега Кошевого, д. 77</t>
  </si>
  <si>
    <t>г. Томск, ул. Салтыкова-Щедрина, д. 48</t>
  </si>
  <si>
    <t>с. Зырянское, ул. Советская, д. 40</t>
  </si>
  <si>
    <t>ТС, ХВС</t>
  </si>
  <si>
    <t>г. Колпашево, ул. Обская, д. 75</t>
  </si>
  <si>
    <t>с. Озерное, ул. Трактовая, д. 5</t>
  </si>
  <si>
    <t>п. Рассвет, д. 2</t>
  </si>
  <si>
    <t>с. Подгорное, ул. 60 лет ВЛКСМ, д. 27</t>
  </si>
  <si>
    <t>1992, 1993</t>
  </si>
  <si>
    <t>г. Северск, ул. Ленина, д. 14</t>
  </si>
  <si>
    <t>г. Северск, ул. Парковая, д. 22</t>
  </si>
  <si>
    <t>г. Северск, ул. Царевского, д. 8</t>
  </si>
  <si>
    <t>Д</t>
  </si>
  <si>
    <t>разработка проектной документации, включая проведение проверки достоверности определения сметной стоимости</t>
  </si>
  <si>
    <t xml:space="preserve">ремонт </t>
  </si>
  <si>
    <t>лифтовое оборудование (подъезд № 1)</t>
  </si>
  <si>
    <t>замена</t>
  </si>
  <si>
    <t>лифтовое оборудование (подъезд № 5)</t>
  </si>
  <si>
    <t>лифтовое оборудование (подъезд № 2)</t>
  </si>
  <si>
    <t>лифтовое оборудование (подъезд № 3)</t>
  </si>
  <si>
    <t>лифтовое оборудование (подъезд № 4)</t>
  </si>
  <si>
    <t>коллективный (общедомовой) прибор учета потребления тепловой энергии, необходимый для предоставления теплоснабжения, узел управления и регулирования потребления тепловой энергии</t>
  </si>
  <si>
    <t>установка</t>
  </si>
  <si>
    <t>разработка проектной документации, включая проведение проверки достоверности определения сметной стоимости (ремонт)</t>
  </si>
  <si>
    <t>утепление</t>
  </si>
  <si>
    <t xml:space="preserve">Пр </t>
  </si>
  <si>
    <t xml:space="preserve">К </t>
  </si>
  <si>
    <t xml:space="preserve">фасад </t>
  </si>
  <si>
    <t>г. Асино, ул. им. Ю. Гагарина, д. 6</t>
  </si>
  <si>
    <t>г. Северск, ул. Солнечная, д. 7а</t>
  </si>
  <si>
    <t>г. Северск, ул. Солнечная, д. 13</t>
  </si>
  <si>
    <t>г. Томск, д. Лоскутово, ул. Ленина, д. 20</t>
  </si>
  <si>
    <t>г. Томск, пер. Ботанический, д. 7</t>
  </si>
  <si>
    <t>г. Томск, пер. Ботанический, д. 10</t>
  </si>
  <si>
    <t>г. Томск, пер. Ботанический, д. 12</t>
  </si>
  <si>
    <t>г. Томск, ул. Белинского, д. 21/1</t>
  </si>
  <si>
    <t>г. Томск, ул. Косарева, д. 8</t>
  </si>
  <si>
    <t>г. Томск, ул. Матросова, д. 6</t>
  </si>
  <si>
    <t>г. Томск, ул. Советская, д. 70</t>
  </si>
  <si>
    <t>г. Томск, ул. Советская, д. 99</t>
  </si>
  <si>
    <t>г. Томск, ул. Студенческая, д. 15/1</t>
  </si>
  <si>
    <t>г. Томск, пер. Карповский, д. 3</t>
  </si>
  <si>
    <t>г. Томск, пр-кт Ленина, д. 128/1</t>
  </si>
  <si>
    <t>г. Томск, пер. Баранчуковский, д. 35</t>
  </si>
  <si>
    <t>г. Томск, ул. Карла Ильмера, д. 21</t>
  </si>
  <si>
    <t>г. Томск, ул. Смирнова, д. 30</t>
  </si>
  <si>
    <t>г. Томск, ул. Смирнова, д. 35</t>
  </si>
  <si>
    <t>г. Томск, тракт Иркутский, д. 116</t>
  </si>
  <si>
    <t>г. Томск, пер. Карский, д. 13</t>
  </si>
  <si>
    <t>г. Томск, ул. Беринга, д. 22</t>
  </si>
  <si>
    <t>г. Томск, ул. Водопроводная, д. 11</t>
  </si>
  <si>
    <t>г. Томск, ул. Вокзальная, д. 43</t>
  </si>
  <si>
    <t>г. Томск, ул. Ивана Черных, д. 91</t>
  </si>
  <si>
    <t>г. Томск, ул. Ивановского, д. 16</t>
  </si>
  <si>
    <t>г. Томск, ул. Клюева, д. 26</t>
  </si>
  <si>
    <t>г. Томск, ул. Лазарева, д. 5/2</t>
  </si>
  <si>
    <t>г. Томск, ул. Мичурина, д. 2</t>
  </si>
  <si>
    <t>г. Томск, ул. Новосибирская, д. 31</t>
  </si>
  <si>
    <t>г. Томск, ул. Пушкина, д. 9</t>
  </si>
  <si>
    <t>г. Томск, ул. Пушкина, д. 22</t>
  </si>
  <si>
    <t>г. Томск, ул. Сергея Лазо, д. 6</t>
  </si>
  <si>
    <t>г. Томск, ул. Сергея Лазо, д. 26</t>
  </si>
  <si>
    <t>г. Томск, ул. Елизаровых, д. 48/1</t>
  </si>
  <si>
    <t>г. Томск, ул. Елизаровых, д. 68</t>
  </si>
  <si>
    <t>г. Томск, ул. Елизаровых, д. 76</t>
  </si>
  <si>
    <t>г. Томск, ул. Лебедева, д. 11</t>
  </si>
  <si>
    <t>г. Томск, ул. Лебедева, д. 87</t>
  </si>
  <si>
    <t>г. Томск, ул. Льва Толстого, д. 81</t>
  </si>
  <si>
    <t>СМР (н)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</si>
  <si>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электрической энергии,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–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–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</si>
  <si>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>Вид элемента строительных конструкций, оборудования, инженерных систем &lt;1&gt;</t>
  </si>
  <si>
    <t>Вид работы (услуги) по капитальному ремонту &lt;2&gt;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</si>
  <si>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</si>
  <si>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</si>
  <si>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>МКД - многоквартирный дом;</t>
  </si>
  <si>
    <t>ТС ХВС</t>
  </si>
  <si>
    <t xml:space="preserve">разработка проектной документации, включая проведение проверки достоверности определения сметной стоимости </t>
  </si>
  <si>
    <t>ХВС</t>
  </si>
  <si>
    <t>г. Стрежевой, 1-й микрорайон, д. 102а</t>
  </si>
  <si>
    <t>г. Стрежевой, 2-й микрорайон, д. 217</t>
  </si>
  <si>
    <t>г. Стрежевой, 2-й микрорайон, д. 218</t>
  </si>
  <si>
    <t>г. Стрежевой, 2-й микрорайон, д. 224</t>
  </si>
  <si>
    <t>г. Стрежевой, 2-й микрорайон, д. 238</t>
  </si>
  <si>
    <t>г. Стрежевой, 2-й микрорайон, д. 240</t>
  </si>
  <si>
    <t>г. Стрежевой, 1-й микрорайон, д. 182а</t>
  </si>
  <si>
    <t>г. Стрежевой, 1-й микрорайон, д. 185</t>
  </si>
  <si>
    <t>г. Стрежевой, 3-й микрорайон, д. 306</t>
  </si>
  <si>
    <t>г. Стрежевой, 4-й микрорайон, д. 419</t>
  </si>
  <si>
    <t>1970, 1971</t>
  </si>
  <si>
    <t>с. Каргасок, ул. Советская, д.29</t>
  </si>
  <si>
    <t>п. Победа, территория ОГСУ "дом интернат для престарелых и инвалидов, "Лесная дача", стр. 3</t>
  </si>
  <si>
    <t>1989, 1990, 1991</t>
  </si>
  <si>
    <t>г. Томск, тракт Иркутский, д. 72а</t>
  </si>
  <si>
    <t>г. Томск, тракт Иркутский, д. 102</t>
  </si>
  <si>
    <t>г. Томск, тракт Иркутский, д. 118/2</t>
  </si>
  <si>
    <t>г. Томск, тракт Иркутский, д. 120</t>
  </si>
  <si>
    <t>г. Томск, тракт Иркутский, д. 122</t>
  </si>
  <si>
    <t>г. Томск, тракт Иркутский, д. 128а</t>
  </si>
  <si>
    <t>г. Стрежевой, ул. Новая, д. 88а</t>
  </si>
  <si>
    <t>г. Стрежевой, ул. Новая, д. 90</t>
  </si>
  <si>
    <t>г. Стрежевой, ул. Новая, д. 94</t>
  </si>
  <si>
    <t>г. Томск, д. Лоскутово, ул. Ленина, д. 19</t>
  </si>
  <si>
    <t>Фонд - государственная корпорация - Фонд содействия реформированию жилищно-коммунального хозяйства.</t>
  </si>
  <si>
    <t>г. Северск, ул. Сосновая 16, д. 4</t>
  </si>
  <si>
    <t>с. Каргала, ул. Юбилейная, д. 7</t>
  </si>
  <si>
    <t>с. Каргала, ул. Юбилейная, д. 10</t>
  </si>
  <si>
    <t>с. Молчаново, ул. Димитрова, д. 73</t>
  </si>
  <si>
    <t>с. Александровское, ул. Гоголя, д. 19а</t>
  </si>
  <si>
    <t>п. Ягодное, ул. Строительная, д. 5</t>
  </si>
  <si>
    <t>рп. Белый Яр,  ул. Таежная, д. 2</t>
  </si>
  <si>
    <t>рп. Белый Яр, ул. Таежная, д. 44</t>
  </si>
  <si>
    <t>ЭС К</t>
  </si>
  <si>
    <t>с. Кривошеино, ул. Ленина, д. 61</t>
  </si>
  <si>
    <t>с. Кривошеино, ул. Ленина, д. 63</t>
  </si>
  <si>
    <t>с. Кривошеино, ул. Ленина, д. 71</t>
  </si>
  <si>
    <t>с. Кривошеино, ул. Октябрьская, д. 26</t>
  </si>
  <si>
    <t>п. Улу-Юл, ул. 50 лет Октября, д.1</t>
  </si>
  <si>
    <t>п. Улу-Юл, ул. Железнодорожная, д.18</t>
  </si>
  <si>
    <t>п. Улу-Юл, ул. Железнодорожная, д.20</t>
  </si>
  <si>
    <t>п. Улу-Юл, ул. Железнодорожная, д.22</t>
  </si>
  <si>
    <t>ХВС ВО</t>
  </si>
  <si>
    <t>с. Парабель, ул. Советская, д. 27</t>
  </si>
  <si>
    <t>1992, 1995, 2001</t>
  </si>
  <si>
    <t>г. Томск, тракт Иркутский, д. 13</t>
  </si>
  <si>
    <t>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</t>
  </si>
  <si>
    <t>1. Перечень многоквартирных домов, включенных в 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</t>
  </si>
  <si>
    <t>Приложение
к приказу Департамента ЖКХ и государственного 
жилищного надзора Томской области
от                                  №</t>
  </si>
  <si>
    <t>2020 год</t>
  </si>
  <si>
    <t>2021 год</t>
  </si>
  <si>
    <t>2022 год</t>
  </si>
  <si>
    <t xml:space="preserve">2. Перечень работ и услуг по капитальному ремонту общего имущества в многоквартирных домах, включенных в 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 </t>
  </si>
  <si>
    <t>с. Александровское, ул. Ленина, д. 14</t>
  </si>
  <si>
    <t>ВО</t>
  </si>
  <si>
    <t>г. Кедровый, мкр. 1-й, д. 40</t>
  </si>
  <si>
    <t>с. Зырянское, ул. Смирнова, д. 19</t>
  </si>
  <si>
    <t>2020</t>
  </si>
  <si>
    <t>с. Кожевниково, ул. Гагарина, д. 11</t>
  </si>
  <si>
    <t>с. Кожевниково, ул. Ленина, д. 18</t>
  </si>
  <si>
    <t>с. Кожевниково, ул. Титова, д. 4</t>
  </si>
  <si>
    <t>с. Кожевниково, ул. Титова, д. 8</t>
  </si>
  <si>
    <t>с. Кожевниково, ул. Титова, д. 12</t>
  </si>
  <si>
    <t xml:space="preserve"> СМР</t>
  </si>
  <si>
    <t>с. Кривошеино, ул. Кирова, д. 27</t>
  </si>
  <si>
    <t>с. Кривошеино, ул. Коммунистическая, д. 49</t>
  </si>
  <si>
    <t xml:space="preserve">с. Молчаново, ул. Димитрова, д. 73 </t>
  </si>
  <si>
    <t>с. Молчаново, ул. Степная, д. 1</t>
  </si>
  <si>
    <t>с. Молчаново, ул. Димитрова, д. 41</t>
  </si>
  <si>
    <t>с. Молчаново, ул. 60 лет Октября, д. 12</t>
  </si>
  <si>
    <t>с. Мельниково, ул. Коммунистическая, д. 11</t>
  </si>
  <si>
    <t>с. Мельниково, ул. Коммунистическая, д. 21</t>
  </si>
  <si>
    <t>п.Зональная Станция, ул. 40 Лет Победы, д. 1а</t>
  </si>
  <si>
    <t>д. Белоусово, ул. Мира, д. 13</t>
  </si>
  <si>
    <t>п. Аэропорт, д. 1</t>
  </si>
  <si>
    <t>п. Аэропорт, д. 2</t>
  </si>
  <si>
    <t>п.Зональная Станция, ул. 40 Лет Победы, д. 1б</t>
  </si>
  <si>
    <t>п. Копылово, ул. 1 Мая, д. 2</t>
  </si>
  <si>
    <t>п. Копылово, ул. 1 Мая, д. 6</t>
  </si>
  <si>
    <t>п. Копылово, ул. 1 Мая, д. 13</t>
  </si>
  <si>
    <t>п. Копылово, ул. 1 Мая, д. 15</t>
  </si>
  <si>
    <t>п. Копылово, ул. Зои Космодемьянской, д. 8</t>
  </si>
  <si>
    <t>п. Копылово, ул. Ленина, д. 1</t>
  </si>
  <si>
    <t>п. Копылово, ул. Ленина, д. 3</t>
  </si>
  <si>
    <t>п. Копылово, ул. Ленина, д. 4</t>
  </si>
  <si>
    <t>п. Копылово, ул. Ленина, д. 5</t>
  </si>
  <si>
    <t>п. Копылово, ул. Ленина, д. 6а</t>
  </si>
  <si>
    <t>п. Копылово, ул. Ленина, д. 9</t>
  </si>
  <si>
    <t>п. Рассвет, д. 1</t>
  </si>
  <si>
    <t>с. Богашево, ул. Новостройка, д. 1</t>
  </si>
  <si>
    <t>с. Калтай, ул. Ленина, д. 65</t>
  </si>
  <si>
    <t>с. Калтай, ул. Ленина, д. 65а</t>
  </si>
  <si>
    <t>с. Кафтанчиково, ул. Коммунистическая, д. 91</t>
  </si>
  <si>
    <t>с. Корнилово, ул. Голикова, д. 12/1</t>
  </si>
  <si>
    <t>с.Моряковский Затон, пер. Больничный, д. 1</t>
  </si>
  <si>
    <t>с.Моряковский Затон, пер. Ремесленный, д. 1</t>
  </si>
  <si>
    <t>с.Моряковский Затон, ул. Октябрьская, д. 7</t>
  </si>
  <si>
    <t>с.Моряковский Затон, ул. Советская, д. 8</t>
  </si>
  <si>
    <t>с. Томское, ул. Маяковского, д. 22</t>
  </si>
  <si>
    <t>с. Томское, ул. Маяковского, д. 23</t>
  </si>
  <si>
    <t>с. Турунтаево, ул. Советская, д. 2</t>
  </si>
  <si>
    <t>с. Турунтаево, ул. Советская, д. 4</t>
  </si>
  <si>
    <t>п. Улу-Юл, ул. 50 лет Октября, д. 1</t>
  </si>
  <si>
    <t>д. Торбеево, ул. Строительная, д.1</t>
  </si>
  <si>
    <t>г. Стрежевой, 1-й микрорайон, д. 142</t>
  </si>
  <si>
    <t>г. Стрежевой, 1-й микрорайон, д. 143</t>
  </si>
  <si>
    <t>г. Стрежевой, 2-й микрорайон, д. 201</t>
  </si>
  <si>
    <t>г. Стрежевой, 2-й микрорайон, д. 207</t>
  </si>
  <si>
    <t>г. Стрежевой, 2-й микрорайон, д. 222</t>
  </si>
  <si>
    <t>г. Стрежевой, 2-й микрорайон, д. 223</t>
  </si>
  <si>
    <t>г. Стрежевой, 2-й микрорайон, д. 225</t>
  </si>
  <si>
    <t>г. Стрежевой, 2-й микрорайон, д. 228</t>
  </si>
  <si>
    <t>г. Стрежевой, 2-й микрорайон, д. 234</t>
  </si>
  <si>
    <t>г. Асино, ул. 9 Мая, д. 64</t>
  </si>
  <si>
    <t>г. Асино, ул. им. 370 Стрелковой дивизии, д. 30</t>
  </si>
  <si>
    <t>г. Асино, ул. им. 370 Стрелковой дивизии, д. 36</t>
  </si>
  <si>
    <t>г. Асино, ул. им. 370 Стрелковой дивизии, д. 38</t>
  </si>
  <si>
    <t>г. Асино, ул. им. 370 Стрелковой дивизии, д. 40</t>
  </si>
  <si>
    <t>г. Асино, ул. Павлика Морозова, д. 2</t>
  </si>
  <si>
    <t>г. Асино, ул. Павлика Морозова, д. 5</t>
  </si>
  <si>
    <t>г. Асино, ул. Партизанская, д. 45</t>
  </si>
  <si>
    <t>г. Асино, ул. Сельская, д. 53</t>
  </si>
  <si>
    <t>г. Асино, ул. Сельская, д. 55</t>
  </si>
  <si>
    <t>г. Асино, ул. Станционная, д. 25</t>
  </si>
  <si>
    <t>г. Асино, ул. Челюскина, д. 15</t>
  </si>
  <si>
    <t>ТС ХВС ГВС</t>
  </si>
  <si>
    <t>г. Томск, пр-кт Кирова, д. 54</t>
  </si>
  <si>
    <t>г. Томск, тракт Московский, д. 70/1</t>
  </si>
  <si>
    <t>г. Томск, ул. Усова, д. 21/6</t>
  </si>
  <si>
    <t>г. Томск, ул. Смирнова, д. 40/3</t>
  </si>
  <si>
    <t>г. Томск, пер. Сергея Лазо, д. 10/3</t>
  </si>
  <si>
    <t>г. Томск, тракт Иркутский, д. 212</t>
  </si>
  <si>
    <t>г. Томск, ул. Мичурина, д. 14</t>
  </si>
  <si>
    <t>г. Томск, ул. Кулагина, д. 45</t>
  </si>
  <si>
    <t>РУФ К</t>
  </si>
  <si>
    <t>ЭС ТС ХВС ГВС</t>
  </si>
  <si>
    <t>ТС ХВС ГВС ПУ УУ</t>
  </si>
  <si>
    <t>К ЛО</t>
  </si>
  <si>
    <t xml:space="preserve"> ЛО</t>
  </si>
  <si>
    <t xml:space="preserve">ЭС ТС ХВС ГВС </t>
  </si>
  <si>
    <t>г. Томск, ул. Вершинина, д. 68</t>
  </si>
  <si>
    <t>г. Томск, пр-кт Ленина, д. 177</t>
  </si>
  <si>
    <t>г. Томск, ул. Говорова, д. 48</t>
  </si>
  <si>
    <t>г. Томск, п. Светлый, д. 17</t>
  </si>
  <si>
    <t>г. Томск, ул. Ивана Черных, д. 32</t>
  </si>
  <si>
    <t>г. Томск, ул. Яковлева, д. 2</t>
  </si>
  <si>
    <t>2021</t>
  </si>
  <si>
    <t>ХВС ГВС ВО</t>
  </si>
  <si>
    <t>2022</t>
  </si>
  <si>
    <t>1994, 2001</t>
  </si>
  <si>
    <t>1993, 1997</t>
  </si>
  <si>
    <t>1983, 1984</t>
  </si>
  <si>
    <t xml:space="preserve">СМР </t>
  </si>
  <si>
    <t>г. Северск, пр-кт Коммунистический, д. 90а</t>
  </si>
  <si>
    <t>г. Северск, пр-кт Коммунистический, д. 96</t>
  </si>
  <si>
    <t xml:space="preserve">г. Северск, ул. Калинина, д. 4 </t>
  </si>
  <si>
    <t>г. Северск, ул. Ленина, д. 102</t>
  </si>
  <si>
    <t>г. Северск, ул. Ленина, д. 122</t>
  </si>
  <si>
    <t>г. Северск, ул. Ленина, д. 132</t>
  </si>
  <si>
    <t>г. Северск, ул. Северная, д. 8</t>
  </si>
  <si>
    <t>п. Самусь, ул. Розы Люксембург, д. 2</t>
  </si>
  <si>
    <t>г. Северск, пр-кт Коммунистический, д. 4</t>
  </si>
  <si>
    <t>г. Северск, пр-кт Коммунистический, д. 44</t>
  </si>
  <si>
    <t>г. Северск, пр-кт Коммунистический, д. 69</t>
  </si>
  <si>
    <t>г. Северск, пр-кт Коммунистический, д. 89</t>
  </si>
  <si>
    <t>г. Северск, ул. 40 лет Октября, д. 6</t>
  </si>
  <si>
    <t xml:space="preserve">г. Северск, ул. 40 лет Октября, д. 10 </t>
  </si>
  <si>
    <t>г. Северск, ул. Горького, д. 9а</t>
  </si>
  <si>
    <t>г. Северск, ул. Калинина, д. 95</t>
  </si>
  <si>
    <t>г. Северск, ул. Калинина, д. 99</t>
  </si>
  <si>
    <t>г. Северск, ул. Калинина, д. 103</t>
  </si>
  <si>
    <t>г. Северск, ул. Крупской, д. 6</t>
  </si>
  <si>
    <t>г. Северск, ул. Ленина, д. 18</t>
  </si>
  <si>
    <t>г. Северск, ул. Ленина, д. 64</t>
  </si>
  <si>
    <t>г. Северск, ул. Пионерская, д. 14</t>
  </si>
  <si>
    <t xml:space="preserve">г. Северск, ул. Свердлова, д. 17 </t>
  </si>
  <si>
    <t>г. Северск, ул. Свердлова, д. 19</t>
  </si>
  <si>
    <t>г. Северск, ул. Северная, д. 4</t>
  </si>
  <si>
    <t>г. Северск, ул. Северная, д. 10</t>
  </si>
  <si>
    <t>г. Северск, ул. Советская, д. 23</t>
  </si>
  <si>
    <t>г. Северск, ул. Советская, д. 34</t>
  </si>
  <si>
    <t>г. Северск, ул. Советская, д. 36</t>
  </si>
  <si>
    <t>г. Северск, ул. Строителей, д. 19</t>
  </si>
  <si>
    <t>г. Северск, ул. Строителей, д. 22</t>
  </si>
  <si>
    <t>г. Северск, ул. Строителей, д. 28</t>
  </si>
  <si>
    <t>г. Северск, ул. Строителей, д. 33</t>
  </si>
  <si>
    <t>п. Самусь, ул. Пекарского, д. 20</t>
  </si>
  <si>
    <t>г. Северск, пр-кт Коммунистический, д. 98</t>
  </si>
  <si>
    <t>г. Северск, ул. Курчатова, д. 8</t>
  </si>
  <si>
    <t>г. Северск, ул. Курчатова, д. 21</t>
  </si>
  <si>
    <t xml:space="preserve"> СМР </t>
  </si>
  <si>
    <t>г. Колпашево, ул. Победы, д. 63</t>
  </si>
  <si>
    <t>г. Колпашево, ул. Победы, д. 65</t>
  </si>
  <si>
    <t>г. Колпашево, ул. Победы, д. 67</t>
  </si>
  <si>
    <t>г. Колпашево, ул. Победы, д. 69</t>
  </si>
  <si>
    <t>г. Колпашево, ул. Победы, д. 81</t>
  </si>
  <si>
    <t>г. Колпашево, ул. Победы, д. 106</t>
  </si>
  <si>
    <t>г. Томск, ул. Котовского, д. 28</t>
  </si>
  <si>
    <t>г. Томск, ул. Красноармейская, д. 101</t>
  </si>
  <si>
    <t>г. Томск, ул. Красноармейская, д. 103</t>
  </si>
  <si>
    <t>г. Томск, ул. Красноармейская, д. 105</t>
  </si>
  <si>
    <t>г. Томск, пр-кт Фрунзе, д. 123</t>
  </si>
  <si>
    <t>г. Асино, ул. имени В.В. Липатова, д. 25</t>
  </si>
  <si>
    <t>г. Асино, ул. имени Ленина, д. 90</t>
  </si>
  <si>
    <t xml:space="preserve">г. Колпашево, ул. Ленина, д. 41/1 </t>
  </si>
  <si>
    <t>г. Колпашево, ул. Ленина, д. 41/1</t>
  </si>
  <si>
    <t>с. Зырянское, пер. Энергетический, д. 4</t>
  </si>
  <si>
    <t>с. Зырянское, ул. Смирнова, д. 23</t>
  </si>
  <si>
    <t>г. Северск, пр-кт Коммунистический, д. 147</t>
  </si>
  <si>
    <t>г. Северск, пр-кт Коммунистический, д. 147а</t>
  </si>
  <si>
    <t>г. Северск, ул. Калинина, д. 92</t>
  </si>
  <si>
    <t>лифтовое оборудование (подъезд № 6)</t>
  </si>
  <si>
    <t>г. Северск, ул. Калинина, д. 133</t>
  </si>
  <si>
    <t>г. Томск, ул. Мокрушина, д. 16</t>
  </si>
  <si>
    <t>г. Томск, ул. 5 Армии, д. 7</t>
  </si>
  <si>
    <t>г. Томск, пер. Заозерный, д. 3</t>
  </si>
  <si>
    <t>г. Томск, ул. Междугородная, д. 20</t>
  </si>
  <si>
    <t>г. Стрежевой, ул. Коммунальная, д. 61</t>
  </si>
  <si>
    <t>г. Стрежевой, ул. Строителей, д. 53</t>
  </si>
  <si>
    <t>г. Стрежевой, ул. Строителей, д. 59</t>
  </si>
  <si>
    <t>лифтовое оборудование (подъезд № 7)</t>
  </si>
  <si>
    <t>п. Геологический, ул. Герасимовская, д. 3</t>
  </si>
  <si>
    <t>п. Геологический, ул. Герасимовская, д. 5</t>
  </si>
  <si>
    <t>г. Томск, пр-кт Академический, д. 15</t>
  </si>
  <si>
    <t>г. Томск, ул. Иртышская, д. 21</t>
  </si>
  <si>
    <t>1992, 1995</t>
  </si>
  <si>
    <t>г. Томск, ул. Больничная, д. 4/1</t>
  </si>
  <si>
    <t>г. Томск, ул. Кулева, д. 3</t>
  </si>
  <si>
    <t>лифтовое оборудование (подъезд № 8)</t>
  </si>
  <si>
    <t>ВО ХВС</t>
  </si>
  <si>
    <t>п. Ягодное, ул. Октябрьская, д. 3</t>
  </si>
  <si>
    <t xml:space="preserve">ТС ХВС </t>
  </si>
  <si>
    <t>ТС ВО</t>
  </si>
  <si>
    <t>г. Северск, пр-кт Коммунистический, д. 151</t>
  </si>
  <si>
    <t>лифтовое оборудование (подъезд № 19)</t>
  </si>
  <si>
    <t>г. Северск, ул. Калинина, д. 18</t>
  </si>
  <si>
    <t>итого</t>
  </si>
  <si>
    <t>г. Северск, ул. Калинина, д. 100</t>
  </si>
  <si>
    <t>г. Северск, ул. Кирова, д. 2</t>
  </si>
  <si>
    <t>г. Северск, ул. Кирова, д. 10</t>
  </si>
  <si>
    <t>г. Северск, ул. Крупской, д. 14а</t>
  </si>
  <si>
    <t>г. Северск, ул. Ленина, д. 34</t>
  </si>
  <si>
    <t>г. Северск, ул. Северная, д. 34</t>
  </si>
  <si>
    <t>г. Северск, ул. Советская, д. 5</t>
  </si>
  <si>
    <t>пос. Самусь, ул. Карла Маркса, д. 1</t>
  </si>
  <si>
    <t>фундамент</t>
  </si>
  <si>
    <t>1994, 1995, 1996, 1997, 1998</t>
  </si>
  <si>
    <t xml:space="preserve">ПСД, СМР </t>
  </si>
  <si>
    <t>ХВС, ГВС</t>
  </si>
  <si>
    <t>ХВС, ГВС, ВО, ТС</t>
  </si>
  <si>
    <t>1994, 1995</t>
  </si>
  <si>
    <t>Ф</t>
  </si>
  <si>
    <t>г. Стрежевой, 3-й микрорайон, д. 305</t>
  </si>
  <si>
    <t>лифтовое оборудование (1 подъезд)</t>
  </si>
  <si>
    <t>лифтовое оборудование (2 подъезд)</t>
  </si>
  <si>
    <t>лифтовое оборудование (3 подъезд)</t>
  </si>
  <si>
    <t>лифтовое оборудование (4 подъезд)</t>
  </si>
  <si>
    <t>лифтовое оборудование (5 подъезд)</t>
  </si>
  <si>
    <t>лифтовое оборудование (6 подъезд)</t>
  </si>
  <si>
    <t>лифтовое оборудование (7 подъезд)</t>
  </si>
  <si>
    <t>г. Томск, ул. Дзержинского, д. 56</t>
  </si>
  <si>
    <t>г. Томск, пер. Дербышевский, д. 26А</t>
  </si>
  <si>
    <t>г. Томск, ул. 79 Гвардейской Дивизии, д. 9/1</t>
  </si>
  <si>
    <t>г. Томск, ул. Ивана Черных, д. 24</t>
  </si>
  <si>
    <t>г. Томск, ул. Северный городок, д. 58</t>
  </si>
  <si>
    <t>г. Томск, ул. Северный городок, д. 59</t>
  </si>
  <si>
    <t>г. Томск, ул. Алтайская, д. 114</t>
  </si>
  <si>
    <t>г. Томск, ул. Алтайская, д. 120</t>
  </si>
  <si>
    <t>НОК</t>
  </si>
  <si>
    <t>1993, 1994</t>
  </si>
  <si>
    <t>п. Геологический, ул. Герасимовская, д. 29</t>
  </si>
  <si>
    <t>разработка проектной документации, включая проведение проверки достоверности определения сметной стоимости (утепление)</t>
  </si>
  <si>
    <t>с. Каргасок, ул. Красноармейская, д. 80</t>
  </si>
  <si>
    <t>с. Каргасок, ул. Учебная, д. 2</t>
  </si>
  <si>
    <t>с. Кожевниково, ул. Комарова, д. 9</t>
  </si>
  <si>
    <t>г. Колпашево, пер. Чапаева, д. 17</t>
  </si>
  <si>
    <t>г. Колпашево, пер. Чапаева, д. 19</t>
  </si>
  <si>
    <t>г. Колпашево, ул. Кирова, д. 89</t>
  </si>
  <si>
    <t>г. Колпашево, ул. Комсомольская, д. 2</t>
  </si>
  <si>
    <t>г. Колпашево, ул. Мира, д. 22</t>
  </si>
  <si>
    <t>г. Колпашево, ул. Советский Север, д. 53</t>
  </si>
  <si>
    <t>с. Тогур, ул. Чапаева, д. 2</t>
  </si>
  <si>
    <t>с. Тогур, ул. Чапаева, д. 4</t>
  </si>
  <si>
    <t>г. Колпашево, ул. Победы, д. 83</t>
  </si>
  <si>
    <t>г. Колпашево, ул. Победы, д. 86</t>
  </si>
  <si>
    <t>г. Колпашево, ул. Победы, д. 108</t>
  </si>
  <si>
    <t>г. Колпашево, ул. Победы, д. 110</t>
  </si>
  <si>
    <t>г. Колпашево, ул. Победы, д. 112</t>
  </si>
  <si>
    <t>г. Колпашево, ул. Победы, д. 80</t>
  </si>
  <si>
    <t>г. Колпашево,  ул. Победы, д. 108</t>
  </si>
  <si>
    <t>г. Колпашево,  ул. Победы, д. 110</t>
  </si>
  <si>
    <t>г. Колпашево,  ул. Победы, д. 112</t>
  </si>
  <si>
    <t>с. Парабель, ул. Техническая, д. 3</t>
  </si>
  <si>
    <t>с. Парабель, ул. Чехова, д. 14</t>
  </si>
  <si>
    <t>разработка проектной документации, включая проведение проверки достоверности определения сметной стоимости  (ремонт)</t>
  </si>
  <si>
    <t>разработка проектной документации, включая проведение проверки достоверности определения сметной стоимости  (утепление)</t>
  </si>
  <si>
    <t>с. Парабель, ул. Чехова, д. 20</t>
  </si>
  <si>
    <t>с. Александровское, ул. Химиков, д. 1</t>
  </si>
  <si>
    <t>с. Александровское, ул. Химиков, д. 3</t>
  </si>
  <si>
    <t>с. Бакчар, ул. Ленина, д. 46</t>
  </si>
  <si>
    <t>Итого по Бакчарскому району</t>
  </si>
  <si>
    <t xml:space="preserve"> ХВС</t>
  </si>
  <si>
    <t>г. Колпашево, пер. Клубный, д. 5</t>
  </si>
  <si>
    <t>г. Колпашево, ул. Кедровая, д. 3</t>
  </si>
  <si>
    <t>г. Колпашево, ул. Мира, д. 34</t>
  </si>
  <si>
    <t>с. Тогур, ул. Мичурина, д. 9</t>
  </si>
  <si>
    <t>с. Тогур, ул. Мичурина, д. 13</t>
  </si>
  <si>
    <t>с. Тогур, ул. Некрасова, д. 2</t>
  </si>
  <si>
    <t>с. Тогур, ул. Чапаева, д. 5</t>
  </si>
  <si>
    <t>г. Колпашево, ул. Ленина, д. 39/1</t>
  </si>
  <si>
    <t>г. Колпашево, ул. Победы, д. 85</t>
  </si>
  <si>
    <t>г. Северск, ул. Победы, д. 17</t>
  </si>
  <si>
    <t>г. Томск, ул. Беринга, д. 1/3</t>
  </si>
  <si>
    <t>г. Томск, ул. Ивана Черных, д. 20</t>
  </si>
  <si>
    <t>г. Томск, ул. Пушкина, д. 52в</t>
  </si>
  <si>
    <t>К, РУФ, НОК</t>
  </si>
  <si>
    <t>г. Томск, ул. Гагарина, д. 5/1</t>
  </si>
  <si>
    <t>г. Томск, ул. Железнодорожная, д. 5</t>
  </si>
  <si>
    <t>г. Томск, ул. Елизаровых, д. 38</t>
  </si>
  <si>
    <t>г. Томск, ул. Елизаровых, д. 40</t>
  </si>
  <si>
    <t>г. Томск, ул. Карташова, д. 70</t>
  </si>
  <si>
    <t>г. Томск, ул. Киевская, д. 88а</t>
  </si>
  <si>
    <t>г. Томск, пр-кт Мира, д. 31</t>
  </si>
  <si>
    <t>г. Томск, ул. Мичурина, д. 79</t>
  </si>
  <si>
    <t>г. Томск, пер. Фруктовый, д. 28</t>
  </si>
  <si>
    <t>г. Томск, пр-кт Комсомольский, д. 39/2</t>
  </si>
  <si>
    <t>г. Томск, пр-кт Комсомольский, д. 69</t>
  </si>
  <si>
    <t>г. Томск, ул. Сибирская, д. 90</t>
  </si>
  <si>
    <t>г. Томск, ул. Герцена, д. 54а</t>
  </si>
  <si>
    <t>с. Бакчар, ул. Хомутского, д. 51</t>
  </si>
  <si>
    <t>с. Каргасок, ул. Советская, д. 29</t>
  </si>
  <si>
    <t>п. Копылово, ул.1 Мая, д. 13</t>
  </si>
  <si>
    <t>п. Копылово, ул.1 Мая, д. 15</t>
  </si>
  <si>
    <t>с. Богашево, ул.Новостройка, д. 1</t>
  </si>
  <si>
    <t>г. Томск, ул. Кулагина, д. 27</t>
  </si>
  <si>
    <t>1990, 1991, 1992</t>
  </si>
  <si>
    <t>с. Зырянское, ул. Советская, д. 32</t>
  </si>
  <si>
    <t>г. Северск, пр-кт Коммунистический, д. 112</t>
  </si>
  <si>
    <t>лифтовое оборудование (подъезд № 9)</t>
  </si>
  <si>
    <t>лифтовое оборудование (подъезд № 13)</t>
  </si>
  <si>
    <t>лифтовое оборудование (подъезд № 14)</t>
  </si>
  <si>
    <t>лифтовое оборудование (подъезд № 15)</t>
  </si>
  <si>
    <t>г. Северск, ул. Курчатова, д. 13</t>
  </si>
  <si>
    <t>г. Северск, ул. Ленинградская, д. 12</t>
  </si>
  <si>
    <t>г. Северск, ул. Победы, д. 23</t>
  </si>
  <si>
    <t>г. Северск, ул. Северная, д. 30</t>
  </si>
  <si>
    <t>г. Северск, ул. Солнечная, д. 8</t>
  </si>
  <si>
    <t>г. Северск, пр-кт Коммунистический, д. 120</t>
  </si>
  <si>
    <t>лифтовое оборудование (подъезд № 16)</t>
  </si>
  <si>
    <t>лифтовое оборудование (подъезд № 12)</t>
  </si>
  <si>
    <t>г. Северск, ул. Победы, д. 13</t>
  </si>
  <si>
    <t>1983, 1984, 1985</t>
  </si>
  <si>
    <t>г. Стрежевой, 5-й микрорайон, д. 517</t>
  </si>
  <si>
    <t>г. Стрежевой, 4-й микрорайон, д. 436</t>
  </si>
  <si>
    <t>г. Стрежевой, ул. Строителей, д. 80</t>
  </si>
  <si>
    <t>с. Малиновка, ул. Рабочая, д. 25</t>
  </si>
  <si>
    <t xml:space="preserve"> СМР (з)</t>
  </si>
  <si>
    <t>г. Колпашево, ул. И. Лугинца, д. 33</t>
  </si>
  <si>
    <t>ЭС, ВО</t>
  </si>
  <si>
    <t>с. Первомайское, ул. Советская, д. 59</t>
  </si>
  <si>
    <t>г. Томск, пр-кт Кирова, д. 53/1</t>
  </si>
  <si>
    <t>г. Томск, пр-кт Кирова, д. 53/2</t>
  </si>
  <si>
    <t>г. Томск, пр-кт Кирова, д. 53/4</t>
  </si>
  <si>
    <t>г. Томск, ул. Усова, д. 12</t>
  </si>
  <si>
    <t>г. Томск, ул. Усова, д. 58</t>
  </si>
  <si>
    <t>г. Томск, ул. Учебная, д. 1/1</t>
  </si>
  <si>
    <t>г. Томск, пер. Совпартшкольный, д. 2а</t>
  </si>
  <si>
    <t>г. Томск, пр-кт Ленина, д. 193</t>
  </si>
  <si>
    <t>г. Томск, пр-кт Ленина, д. 210</t>
  </si>
  <si>
    <t>г. Томск, пр-кт Ленина, д. 224</t>
  </si>
  <si>
    <t>г. Томск, ул. Карла Маркса, д. 24</t>
  </si>
  <si>
    <t>г. Томск, п. Светлый, д. 23</t>
  </si>
  <si>
    <t>г. Томск, тракт Иркутский, д. 194</t>
  </si>
  <si>
    <t>г. Томск, ул. Бирюкова, д. 10</t>
  </si>
  <si>
    <t>г. Томск, ул. Бирюкова, д. 12</t>
  </si>
  <si>
    <t>г. Томск, ул. Клюева, д. 2</t>
  </si>
  <si>
    <t>г. Томск, ул. Клюева, д. 3</t>
  </si>
  <si>
    <t>г. Томск, ул. Клюева, д. 4</t>
  </si>
  <si>
    <t>г. Томск, ул. Клюева, д. 5</t>
  </si>
  <si>
    <t>г. Томск, ул. Междугородная, д. 28</t>
  </si>
  <si>
    <t>г. Томск, ул. Обручева, д. 20</t>
  </si>
  <si>
    <t>г. Томск, ул. Пушкина, д. 52</t>
  </si>
  <si>
    <t>г. Томск, ул. Пушкина, д. 52а</t>
  </si>
  <si>
    <t>г. Томск, ул. Пушкина, д. 54</t>
  </si>
  <si>
    <t>г. Томск, ул. Пушкина, д. 56</t>
  </si>
  <si>
    <t>г. Томск, ул. Сергея Лазо, д. 4</t>
  </si>
  <si>
    <t>г. Томск, ул. Сергея Лазо, д. 4/1</t>
  </si>
  <si>
    <t>г. Томск, пр-кт Комсомольский, д. 39</t>
  </si>
  <si>
    <t>г. Томск, ул. Алтайская, д. 97/1</t>
  </si>
  <si>
    <t>г. Томск, ул. Алтайская, д. 135</t>
  </si>
  <si>
    <t>г. Томск, ул. Киевская, д. 11</t>
  </si>
  <si>
    <t>г. Томск, ул. Лебедева, д. 76/1</t>
  </si>
  <si>
    <t>г. Томск, ул. Никитина, д. 12</t>
  </si>
  <si>
    <t>г. Томск, ул. Сибирская, д. 33</t>
  </si>
  <si>
    <t>г. Томск, ул. Сибирская, д. 102/1</t>
  </si>
  <si>
    <t>г. Томск, ул. Сибирская, д. 102/3</t>
  </si>
  <si>
    <t>г. Томск, ул. Сибирская, д. 104</t>
  </si>
  <si>
    <t>лифтовое оборудование (подъезд № 10)</t>
  </si>
  <si>
    <t>лифтовое оборудование (подъезд № 11)</t>
  </si>
  <si>
    <t>г. Томск, ул. Сибирская, д. 106</t>
  </si>
  <si>
    <t>г. Томск, ул. Сибирская, д. 108</t>
  </si>
  <si>
    <t>г. Томск, ул. Сибирская, д. 110</t>
  </si>
  <si>
    <t>г. Томск, пр-кт Кирова, д. 46</t>
  </si>
  <si>
    <t>г. Томск, пр-кт Кирова, д. 53/6</t>
  </si>
  <si>
    <t>г. Томск, пр-кт Кирова, д. 53/7</t>
  </si>
  <si>
    <t>г. Томск, пр-кт Кирова, д. 55</t>
  </si>
  <si>
    <t>г. Томск, пр-кт Кирова, д. 57</t>
  </si>
  <si>
    <t>г. Томск, пр-кт Кирова, д. 59</t>
  </si>
  <si>
    <t>г. Томск, ул. Дзержинского, д. 60а</t>
  </si>
  <si>
    <t>г. Томск, ул. Карташова, д. 31</t>
  </si>
  <si>
    <t>г. Томск, ул. Карташова, д. 42</t>
  </si>
  <si>
    <t>г. Томск, ул. Карташова, д. 42а</t>
  </si>
  <si>
    <t>г. Томск, ул. Советская, д. 46</t>
  </si>
  <si>
    <t>г. Томск, ул. Советская, д. 48</t>
  </si>
  <si>
    <t>г. Томск, ул. Усова, д. 60</t>
  </si>
  <si>
    <t>г. Томск, ул. Усова, д. 62</t>
  </si>
  <si>
    <t>г. Томск, ул. Усова, д. 64</t>
  </si>
  <si>
    <t>г. Томск, ул. Учебная, д. 42</t>
  </si>
  <si>
    <t>г. Томск, ул. Щорса, д. 13</t>
  </si>
  <si>
    <t>г. Томск, пер. Баранчуковский, д. 31</t>
  </si>
  <si>
    <t>г. Томск, пер. Ново-Станционный, д. 21</t>
  </si>
  <si>
    <t>г. Томск, ул. Войкова, д. 78</t>
  </si>
  <si>
    <t>г. Томск, пер. Пушкина, д. 5</t>
  </si>
  <si>
    <t>г. Томск, тракт Иркутский, д. 204</t>
  </si>
  <si>
    <t>г. Томск, ул. Бирюкова, д. 11</t>
  </si>
  <si>
    <t>г. Томск, ул. Ивановского, д. 11</t>
  </si>
  <si>
    <t>1992, 1994</t>
  </si>
  <si>
    <t>1990, 1991, 1993</t>
  </si>
  <si>
    <t>г. Томск, ул. Обручева, д. 14</t>
  </si>
  <si>
    <t>г. Томск, ул. Обручева, д. 18</t>
  </si>
  <si>
    <t>г. Томск, ул. Пушкина, д. 52г</t>
  </si>
  <si>
    <t>г. Томск, ул. Пушкина, д. 52д</t>
  </si>
  <si>
    <t>г. Томск, ул. Пушкина, д. 54б</t>
  </si>
  <si>
    <t>г. Томск, ул. Северный городок, д. 49</t>
  </si>
  <si>
    <t>г. Томск, ул. Северный городок, д. 50</t>
  </si>
  <si>
    <t>г. Томск, ул. Северный городок, д. 51</t>
  </si>
  <si>
    <t>г. Томск, ул. Северный городок, д. 57</t>
  </si>
  <si>
    <t>г. Томск, ул. Циолковского, д. 24</t>
  </si>
  <si>
    <t>г. Томск, пер. Нечевский, д. 15</t>
  </si>
  <si>
    <t>г. Томск, пр-кт Фрунзе, д. 130</t>
  </si>
  <si>
    <t>г. Томск, ул. Жуковского, д. 35</t>
  </si>
  <si>
    <t>г. Томск, ул. Сибирская, д. 112</t>
  </si>
  <si>
    <t>г. Томск, ул. Сибирская, д. 114</t>
  </si>
  <si>
    <t>г. Томск, ул. Шевченко, д. 39в</t>
  </si>
  <si>
    <t>г. Томск, ул. Шевченко, д. 39л/2</t>
  </si>
  <si>
    <t>РУФ, ЛО</t>
  </si>
  <si>
    <t>К, ЛО</t>
  </si>
  <si>
    <t>1996, 1997</t>
  </si>
  <si>
    <t>1995, 1998</t>
  </si>
  <si>
    <t>1990, 1992, 1995</t>
  </si>
  <si>
    <t>ТС, ЛО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</si>
</sst>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#,##0.0"/>
    <numFmt numFmtId="166" formatCode="#,##0.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2"/>
      <color indexed="8"/>
      <name val="PT Astra Serif"/>
      <family val="1"/>
      <charset val="204"/>
    </font>
    <font>
      <sz val="12"/>
      <color rgb="FF000000"/>
      <name val="PT Astra Serif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PT Astra Serif"/>
      <family val="1"/>
      <charset val="204"/>
    </font>
    <font>
      <sz val="10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61">
    <xf numFmtId="0" fontId="0" fillId="0" borderId="0" xfId="0"/>
    <xf numFmtId="4" fontId="1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4" fontId="5" fillId="0" borderId="0" xfId="0" applyNumberFormat="1" applyFont="1" applyFill="1"/>
    <xf numFmtId="4" fontId="5" fillId="0" borderId="1" xfId="0" applyNumberFormat="1" applyFont="1" applyFill="1" applyBorder="1" applyAlignment="1">
      <alignment horizontal="center" vertical="center" textRotation="90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top" wrapText="1"/>
    </xf>
    <xf numFmtId="1" fontId="5" fillId="0" borderId="1" xfId="0" quotePrefix="1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 applyProtection="1">
      <alignment horizontal="center" vertical="top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/>
      <protection locked="0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5" xfId="0" applyNumberFormat="1" applyFont="1" applyFill="1" applyBorder="1" applyAlignment="1" applyProtection="1">
      <alignment horizontal="center" vertical="center"/>
      <protection locked="0"/>
    </xf>
    <xf numFmtId="3" fontId="5" fillId="0" borderId="16" xfId="0" applyNumberFormat="1" applyFont="1" applyFill="1" applyBorder="1" applyAlignment="1" applyProtection="1">
      <alignment horizontal="center" vertical="center"/>
      <protection locked="0"/>
    </xf>
    <xf numFmtId="3" fontId="5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3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1" fontId="5" fillId="0" borderId="0" xfId="0" applyNumberFormat="1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1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wrapText="1"/>
    </xf>
    <xf numFmtId="4" fontId="7" fillId="0" borderId="3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/>
    </xf>
    <xf numFmtId="4" fontId="7" fillId="0" borderId="1" xfId="0" applyNumberFormat="1" applyFont="1" applyFill="1" applyBorder="1" applyAlignment="1">
      <alignment vertical="top" wrapText="1"/>
    </xf>
    <xf numFmtId="166" fontId="7" fillId="0" borderId="1" xfId="0" applyNumberFormat="1" applyFont="1" applyFill="1" applyBorder="1" applyAlignment="1">
      <alignment horizontal="center" wrapText="1"/>
    </xf>
    <xf numFmtId="0" fontId="7" fillId="0" borderId="6" xfId="0" applyFont="1" applyFill="1" applyBorder="1" applyAlignment="1">
      <alignment wrapText="1"/>
    </xf>
    <xf numFmtId="0" fontId="7" fillId="0" borderId="12" xfId="0" applyFont="1" applyFill="1" applyBorder="1" applyAlignment="1">
      <alignment wrapText="1"/>
    </xf>
    <xf numFmtId="3" fontId="7" fillId="0" borderId="1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wrapText="1"/>
    </xf>
    <xf numFmtId="4" fontId="7" fillId="0" borderId="2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 applyProtection="1">
      <alignment vertical="center"/>
      <protection locked="0"/>
    </xf>
    <xf numFmtId="4" fontId="6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1" fontId="6" fillId="0" borderId="0" xfId="0" applyNumberFormat="1" applyFont="1" applyFill="1" applyAlignment="1">
      <alignment horizontal="left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6" fillId="0" borderId="0" xfId="0" applyFont="1" applyFill="1" applyBorder="1"/>
    <xf numFmtId="0" fontId="6" fillId="0" borderId="0" xfId="0" applyFont="1" applyFill="1" applyAlignment="1">
      <alignment horizontal="left" vertical="center"/>
    </xf>
    <xf numFmtId="1" fontId="6" fillId="0" borderId="0" xfId="0" applyNumberFormat="1" applyFont="1" applyFill="1"/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0" fillId="0" borderId="0" xfId="0" applyFill="1"/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1" fontId="5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3" fontId="5" fillId="0" borderId="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3" fillId="0" borderId="0" xfId="0" applyFont="1" applyFill="1"/>
    <xf numFmtId="0" fontId="5" fillId="0" borderId="0" xfId="0" applyFont="1" applyFill="1" applyAlignment="1">
      <alignment vertical="top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4" fontId="5" fillId="0" borderId="0" xfId="0" applyNumberFormat="1" applyFont="1" applyFill="1" applyAlignment="1">
      <alignment wrapText="1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4" fontId="7" fillId="0" borderId="0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left" vertical="top"/>
    </xf>
    <xf numFmtId="1" fontId="5" fillId="0" borderId="1" xfId="0" applyNumberFormat="1" applyFont="1" applyFill="1" applyBorder="1" applyAlignment="1">
      <alignment horizontal="left" vertical="top"/>
    </xf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left" vertical="top"/>
    </xf>
    <xf numFmtId="4" fontId="5" fillId="0" borderId="5" xfId="0" applyNumberFormat="1" applyFont="1" applyFill="1" applyBorder="1" applyAlignment="1">
      <alignment horizontal="left" vertical="top"/>
    </xf>
    <xf numFmtId="4" fontId="5" fillId="0" borderId="6" xfId="0" applyNumberFormat="1" applyFont="1" applyFill="1" applyBorder="1" applyAlignment="1">
      <alignment horizontal="left" vertical="top"/>
    </xf>
    <xf numFmtId="4" fontId="5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3" fontId="5" fillId="0" borderId="3" xfId="0" applyNumberFormat="1" applyFont="1" applyFill="1" applyBorder="1" applyAlignment="1">
      <alignment horizontal="center" vertical="center" textRotation="90" wrapText="1"/>
    </xf>
    <xf numFmtId="3" fontId="5" fillId="0" borderId="7" xfId="0" applyNumberFormat="1" applyFont="1" applyFill="1" applyBorder="1" applyAlignment="1">
      <alignment horizontal="center" vertical="center" textRotation="90" wrapText="1"/>
    </xf>
    <xf numFmtId="3" fontId="5" fillId="0" borderId="2" xfId="0" applyNumberFormat="1" applyFont="1" applyFill="1" applyBorder="1" applyAlignment="1">
      <alignment horizontal="center" vertical="center" textRotation="90" wrapText="1"/>
    </xf>
    <xf numFmtId="4" fontId="5" fillId="0" borderId="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4" fontId="5" fillId="0" borderId="3" xfId="0" applyNumberFormat="1" applyFont="1" applyFill="1" applyBorder="1" applyAlignment="1">
      <alignment horizontal="center" vertical="center" textRotation="90" wrapText="1"/>
    </xf>
    <xf numFmtId="4" fontId="5" fillId="0" borderId="7" xfId="0" applyNumberFormat="1" applyFont="1" applyFill="1" applyBorder="1" applyAlignment="1">
      <alignment horizontal="center" vertical="center" textRotation="90" wrapText="1"/>
    </xf>
    <xf numFmtId="4" fontId="5" fillId="0" borderId="2" xfId="0" applyNumberFormat="1" applyFont="1" applyFill="1" applyBorder="1" applyAlignment="1">
      <alignment horizontal="center" vertical="center" textRotation="90" wrapText="1"/>
    </xf>
    <xf numFmtId="4" fontId="5" fillId="0" borderId="1" xfId="0" applyNumberFormat="1" applyFont="1" applyFill="1" applyBorder="1" applyAlignment="1" applyProtection="1">
      <alignment horizontal="left" vertical="top" wrapText="1"/>
      <protection locked="0"/>
    </xf>
    <xf numFmtId="4" fontId="5" fillId="0" borderId="1" xfId="0" applyNumberFormat="1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textRotation="90" wrapText="1"/>
    </xf>
    <xf numFmtId="1" fontId="5" fillId="0" borderId="7" xfId="0" applyNumberFormat="1" applyFont="1" applyFill="1" applyBorder="1" applyAlignment="1">
      <alignment horizontal="center" vertical="center" textRotation="90" wrapText="1"/>
    </xf>
    <xf numFmtId="1" fontId="5" fillId="0" borderId="2" xfId="0" applyNumberFormat="1" applyFont="1" applyFill="1" applyBorder="1" applyAlignment="1">
      <alignment horizontal="center" vertical="center" textRotation="90" wrapText="1"/>
    </xf>
    <xf numFmtId="4" fontId="5" fillId="0" borderId="3" xfId="0" applyNumberFormat="1" applyFont="1" applyFill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6" fillId="0" borderId="7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4" fontId="5" fillId="0" borderId="7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7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justify" vertical="top" wrapText="1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 applyProtection="1">
      <alignment vertical="center" wrapText="1"/>
      <protection locked="0"/>
    </xf>
    <xf numFmtId="1" fontId="5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4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horizontal="center" vertical="center"/>
    </xf>
    <xf numFmtId="3" fontId="12" fillId="0" borderId="1" xfId="0" quotePrefix="1" applyNumberFormat="1" applyFont="1" applyFill="1" applyBorder="1" applyAlignment="1">
      <alignment horizontal="center" vertical="center"/>
    </xf>
    <xf numFmtId="3" fontId="10" fillId="0" borderId="1" xfId="0" quotePrefix="1" applyNumberFormat="1" applyFont="1" applyFill="1" applyBorder="1" applyAlignment="1">
      <alignment horizontal="center" vertical="center"/>
    </xf>
    <xf numFmtId="4" fontId="5" fillId="0" borderId="1" xfId="0" quotePrefix="1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/>
    </xf>
    <xf numFmtId="3" fontId="5" fillId="0" borderId="1" xfId="3" applyNumberFormat="1" applyFont="1" applyFill="1" applyBorder="1" applyAlignment="1">
      <alignment horizontal="center" vertical="center"/>
    </xf>
    <xf numFmtId="4" fontId="5" fillId="0" borderId="1" xfId="3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 applyProtection="1">
      <alignment horizontal="center" vertical="center"/>
      <protection locked="0"/>
    </xf>
    <xf numFmtId="1" fontId="10" fillId="0" borderId="1" xfId="0" quotePrefix="1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Финансовый" xfId="3" builtinId="3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5-04%20&#1050;&#1088;&#1072;&#1090;&#1082;&#1086;&#1089;&#1088;&#1086;&#1095;&#1085;&#1099;&#1077;%20&#1087;&#1083;&#1072;&#1085;&#1099;\2_&#1050;&#1088;&#1072;&#1090;&#1082;&#1086;&#1089;&#1088;&#1086;&#1095;&#1085;&#1099;&#1081;%20&#1087;&#1083;&#1072;&#1085;%202020%20-%202022%20&#1075;&#1075;\3%20&#1082;&#1086;&#1088;&#1088;&#1077;&#1082;&#1090;&#1080;&#1088;&#1086;&#1074;&#1082;&#1072;%20&#1050;&#1055;%202020-2022\&#1057;&#1090;&#1088;&#1077;&#1078;&#1077;&#1074;&#1086;&#1081;\&#1057;&#1090;&#1088;&#1077;&#1078;&#1077;&#1074;&#1086;&#1081;%203%20&#1082;&#1086;&#1088;&#1088;&#1077;&#1082;&#1090;&#1080;&#1088;&#1086;&#1074;&#1082;&#1072;%20&#1050;&#1055;%202020-2022%20&#1056;&#1040;&#1041;&#1054;&#1063;&#1048;&#1049;%20&#1060;&#1040;&#1049;&#105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1"/>
      <sheetName val="форма 2"/>
    </sheetNames>
    <sheetDataSet>
      <sheetData sheetId="0">
        <row r="11">
          <cell r="A11">
            <v>1</v>
          </cell>
        </row>
      </sheetData>
      <sheetData sheetId="1">
        <row r="7">
          <cell r="I7">
            <v>86575870.430000007</v>
          </cell>
        </row>
        <row r="173">
          <cell r="I173">
            <v>64562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802"/>
  <sheetViews>
    <sheetView view="pageBreakPreview" zoomScale="75" zoomScaleNormal="60" zoomScaleSheetLayoutView="75" workbookViewId="0">
      <pane xSplit="3" ySplit="8" topLeftCell="D569" activePane="bottomRight" state="frozen"/>
      <selection pane="topRight" activeCell="D1" sqref="D1"/>
      <selection pane="bottomLeft" activeCell="A9" sqref="A9"/>
      <selection pane="bottomRight" activeCell="N6" sqref="N6"/>
    </sheetView>
  </sheetViews>
  <sheetFormatPr defaultColWidth="9.140625" defaultRowHeight="15.75" x14ac:dyDescent="0.25"/>
  <cols>
    <col min="1" max="1" width="9.42578125" style="40" customWidth="1"/>
    <col min="2" max="2" width="9.5703125" style="40" customWidth="1"/>
    <col min="3" max="3" width="52" style="343" customWidth="1"/>
    <col min="4" max="4" width="16.42578125" style="338" customWidth="1"/>
    <col min="5" max="5" width="23.85546875" style="336" customWidth="1"/>
    <col min="6" max="6" width="16.5703125" style="336" customWidth="1"/>
    <col min="7" max="7" width="14.85546875" style="336" customWidth="1"/>
    <col min="8" max="8" width="16.42578125" style="336" customWidth="1"/>
    <col min="9" max="9" width="11.42578125" style="40" customWidth="1"/>
    <col min="10" max="10" width="20.5703125" style="336" customWidth="1"/>
    <col min="11" max="11" width="12.140625" style="336" customWidth="1"/>
    <col min="12" max="13" width="12.85546875" style="336" customWidth="1"/>
    <col min="14" max="14" width="20.140625" style="336" customWidth="1"/>
    <col min="15" max="15" width="16.5703125" style="336" customWidth="1"/>
    <col min="16" max="16" width="13.7109375" style="336" customWidth="1"/>
    <col min="17" max="17" width="12.5703125" style="336" customWidth="1"/>
    <col min="18" max="18" width="8.85546875" style="336" customWidth="1"/>
    <col min="19" max="19" width="8.42578125" style="344" customWidth="1"/>
    <col min="20" max="74" width="12.85546875" style="3" bestFit="1" customWidth="1"/>
    <col min="75" max="75" width="13.42578125" style="3" bestFit="1" customWidth="1"/>
    <col min="76" max="16384" width="9.140625" style="3"/>
  </cols>
  <sheetData>
    <row r="1" spans="1:19" s="41" customFormat="1" ht="87" customHeight="1" x14ac:dyDescent="0.25">
      <c r="A1" s="2"/>
      <c r="B1" s="2"/>
      <c r="C1" s="154"/>
      <c r="D1" s="337"/>
      <c r="E1" s="154"/>
      <c r="F1" s="154"/>
      <c r="G1" s="2"/>
      <c r="H1" s="2"/>
      <c r="I1" s="2"/>
      <c r="J1" s="2"/>
      <c r="K1" s="2"/>
      <c r="L1" s="2"/>
      <c r="M1" s="2"/>
      <c r="N1" s="2"/>
      <c r="O1" s="173" t="s">
        <v>281</v>
      </c>
      <c r="P1" s="173"/>
      <c r="Q1" s="173"/>
      <c r="R1" s="173"/>
      <c r="S1" s="173"/>
    </row>
    <row r="2" spans="1:19" s="41" customFormat="1" x14ac:dyDescent="0.25">
      <c r="A2" s="174" t="s">
        <v>279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</row>
    <row r="3" spans="1:19" x14ac:dyDescent="0.25">
      <c r="A3" s="188" t="s">
        <v>280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</row>
    <row r="4" spans="1:19" x14ac:dyDescent="0.25">
      <c r="A4" s="177" t="s">
        <v>0</v>
      </c>
      <c r="B4" s="202" t="s">
        <v>28</v>
      </c>
      <c r="C4" s="205" t="s">
        <v>1</v>
      </c>
      <c r="D4" s="190" t="s">
        <v>53</v>
      </c>
      <c r="E4" s="190" t="s">
        <v>225</v>
      </c>
      <c r="F4" s="190" t="s">
        <v>226</v>
      </c>
      <c r="G4" s="190" t="s">
        <v>3</v>
      </c>
      <c r="H4" s="190" t="s">
        <v>54</v>
      </c>
      <c r="I4" s="202" t="s">
        <v>18</v>
      </c>
      <c r="J4" s="199" t="s">
        <v>4</v>
      </c>
      <c r="K4" s="200"/>
      <c r="L4" s="200"/>
      <c r="M4" s="200"/>
      <c r="N4" s="200"/>
      <c r="O4" s="201"/>
      <c r="P4" s="190" t="s">
        <v>227</v>
      </c>
      <c r="Q4" s="190" t="s">
        <v>228</v>
      </c>
      <c r="R4" s="190" t="s">
        <v>5</v>
      </c>
      <c r="S4" s="185" t="s">
        <v>55</v>
      </c>
    </row>
    <row r="5" spans="1:19" x14ac:dyDescent="0.25">
      <c r="A5" s="178"/>
      <c r="B5" s="203"/>
      <c r="C5" s="206"/>
      <c r="D5" s="191"/>
      <c r="E5" s="191"/>
      <c r="F5" s="191"/>
      <c r="G5" s="191"/>
      <c r="H5" s="191"/>
      <c r="I5" s="203"/>
      <c r="J5" s="190" t="s">
        <v>14</v>
      </c>
      <c r="K5" s="199" t="s">
        <v>15</v>
      </c>
      <c r="L5" s="200"/>
      <c r="M5" s="200"/>
      <c r="N5" s="200"/>
      <c r="O5" s="201"/>
      <c r="P5" s="191"/>
      <c r="Q5" s="191"/>
      <c r="R5" s="191"/>
      <c r="S5" s="186"/>
    </row>
    <row r="6" spans="1:19" ht="129.75" x14ac:dyDescent="0.25">
      <c r="A6" s="178"/>
      <c r="B6" s="203"/>
      <c r="C6" s="206"/>
      <c r="D6" s="191"/>
      <c r="E6" s="191"/>
      <c r="F6" s="191"/>
      <c r="G6" s="192"/>
      <c r="H6" s="192"/>
      <c r="I6" s="204"/>
      <c r="J6" s="192"/>
      <c r="K6" s="4" t="s">
        <v>6</v>
      </c>
      <c r="L6" s="4" t="s">
        <v>7</v>
      </c>
      <c r="M6" s="4" t="s">
        <v>8</v>
      </c>
      <c r="N6" s="4" t="s">
        <v>26</v>
      </c>
      <c r="O6" s="4" t="s">
        <v>27</v>
      </c>
      <c r="P6" s="192"/>
      <c r="Q6" s="192"/>
      <c r="R6" s="191"/>
      <c r="S6" s="186"/>
    </row>
    <row r="7" spans="1:19" x14ac:dyDescent="0.25">
      <c r="A7" s="179"/>
      <c r="B7" s="204"/>
      <c r="C7" s="207"/>
      <c r="D7" s="192"/>
      <c r="E7" s="192"/>
      <c r="F7" s="192"/>
      <c r="G7" s="135" t="s">
        <v>9</v>
      </c>
      <c r="H7" s="135" t="s">
        <v>9</v>
      </c>
      <c r="I7" s="5" t="s">
        <v>10</v>
      </c>
      <c r="J7" s="135" t="s">
        <v>11</v>
      </c>
      <c r="K7" s="135" t="s">
        <v>11</v>
      </c>
      <c r="L7" s="135" t="s">
        <v>11</v>
      </c>
      <c r="M7" s="135" t="s">
        <v>11</v>
      </c>
      <c r="N7" s="135" t="s">
        <v>11</v>
      </c>
      <c r="O7" s="135" t="s">
        <v>11</v>
      </c>
      <c r="P7" s="135" t="s">
        <v>12</v>
      </c>
      <c r="Q7" s="135" t="s">
        <v>12</v>
      </c>
      <c r="R7" s="192"/>
      <c r="S7" s="187"/>
    </row>
    <row r="8" spans="1:19" x14ac:dyDescent="0.25">
      <c r="A8" s="6">
        <v>1</v>
      </c>
      <c r="B8" s="6">
        <v>2</v>
      </c>
      <c r="C8" s="6">
        <v>3</v>
      </c>
      <c r="D8" s="5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</row>
    <row r="9" spans="1:19" ht="15.75" customHeight="1" x14ac:dyDescent="0.25">
      <c r="A9" s="7" t="s">
        <v>282</v>
      </c>
      <c r="B9" s="7"/>
      <c r="C9" s="15"/>
      <c r="D9" s="5"/>
      <c r="E9" s="15"/>
      <c r="F9" s="15"/>
      <c r="G9" s="15"/>
      <c r="H9" s="15"/>
      <c r="I9" s="6"/>
      <c r="J9" s="15"/>
      <c r="K9" s="15"/>
      <c r="L9" s="15"/>
      <c r="M9" s="15"/>
      <c r="N9" s="15"/>
      <c r="O9" s="15"/>
      <c r="P9" s="15"/>
      <c r="Q9" s="15"/>
      <c r="R9" s="15"/>
      <c r="S9" s="10"/>
    </row>
    <row r="10" spans="1:19" ht="15.75" customHeight="1" x14ac:dyDescent="0.25">
      <c r="A10" s="183" t="s">
        <v>46</v>
      </c>
      <c r="B10" s="183"/>
      <c r="C10" s="183"/>
      <c r="D10" s="5" t="s">
        <v>13</v>
      </c>
      <c r="E10" s="15" t="s">
        <v>13</v>
      </c>
      <c r="F10" s="15" t="s">
        <v>13</v>
      </c>
      <c r="G10" s="15">
        <f t="shared" ref="G10:O10" si="0">G11+G16+G25+G27+G32+G71+G86+G226+G230+G237+G244+G264+G271+G275+G280+G286+G299</f>
        <v>1243444.79</v>
      </c>
      <c r="H10" s="15">
        <f t="shared" si="0"/>
        <v>1035926.99</v>
      </c>
      <c r="I10" s="10">
        <f t="shared" si="0"/>
        <v>40018</v>
      </c>
      <c r="J10" s="15">
        <f t="shared" si="0"/>
        <v>993251676.13</v>
      </c>
      <c r="K10" s="15">
        <f t="shared" si="0"/>
        <v>0</v>
      </c>
      <c r="L10" s="15">
        <f t="shared" si="0"/>
        <v>0</v>
      </c>
      <c r="M10" s="15">
        <f t="shared" si="0"/>
        <v>0</v>
      </c>
      <c r="N10" s="15">
        <f t="shared" si="0"/>
        <v>965637198.55999994</v>
      </c>
      <c r="O10" s="15">
        <f t="shared" si="0"/>
        <v>27614477.57</v>
      </c>
      <c r="P10" s="15" t="s">
        <v>13</v>
      </c>
      <c r="Q10" s="15" t="s">
        <v>13</v>
      </c>
      <c r="R10" s="15" t="s">
        <v>13</v>
      </c>
      <c r="S10" s="10" t="s">
        <v>13</v>
      </c>
    </row>
    <row r="11" spans="1:19" ht="15.75" customHeight="1" x14ac:dyDescent="0.25">
      <c r="A11" s="183" t="s">
        <v>16</v>
      </c>
      <c r="B11" s="183"/>
      <c r="C11" s="183"/>
      <c r="D11" s="5" t="s">
        <v>13</v>
      </c>
      <c r="E11" s="15" t="s">
        <v>13</v>
      </c>
      <c r="F11" s="15" t="s">
        <v>13</v>
      </c>
      <c r="G11" s="15">
        <f>SUM(G12:G15)</f>
        <v>1348.8</v>
      </c>
      <c r="H11" s="15">
        <f>SUM(H12:H15)</f>
        <v>1222.7</v>
      </c>
      <c r="I11" s="10">
        <f t="shared" ref="I11:O11" si="1">SUM(I12:I15)</f>
        <v>68</v>
      </c>
      <c r="J11" s="15">
        <f t="shared" si="1"/>
        <v>1315886.17</v>
      </c>
      <c r="K11" s="15">
        <f t="shared" si="1"/>
        <v>0</v>
      </c>
      <c r="L11" s="15">
        <f t="shared" si="1"/>
        <v>0</v>
      </c>
      <c r="M11" s="15">
        <f t="shared" si="1"/>
        <v>0</v>
      </c>
      <c r="N11" s="15">
        <f t="shared" si="1"/>
        <v>1177196.96</v>
      </c>
      <c r="O11" s="15">
        <f t="shared" si="1"/>
        <v>138689.21</v>
      </c>
      <c r="P11" s="15" t="s">
        <v>13</v>
      </c>
      <c r="Q11" s="15" t="s">
        <v>13</v>
      </c>
      <c r="R11" s="15" t="s">
        <v>13</v>
      </c>
      <c r="S11" s="10" t="s">
        <v>13</v>
      </c>
    </row>
    <row r="12" spans="1:19" ht="15.75" customHeight="1" x14ac:dyDescent="0.25">
      <c r="A12" s="126">
        <v>1</v>
      </c>
      <c r="B12" s="126">
        <v>4661</v>
      </c>
      <c r="C12" s="142" t="s">
        <v>262</v>
      </c>
      <c r="D12" s="134">
        <v>1969</v>
      </c>
      <c r="E12" s="126" t="s">
        <v>230</v>
      </c>
      <c r="F12" s="134" t="s">
        <v>82</v>
      </c>
      <c r="G12" s="9">
        <v>366.6</v>
      </c>
      <c r="H12" s="9">
        <v>330.2</v>
      </c>
      <c r="I12" s="10">
        <v>14</v>
      </c>
      <c r="J12" s="15">
        <f>'Форма 2'!I7</f>
        <v>1063312.17</v>
      </c>
      <c r="K12" s="15">
        <v>0</v>
      </c>
      <c r="L12" s="15">
        <v>0</v>
      </c>
      <c r="M12" s="15">
        <v>0</v>
      </c>
      <c r="N12" s="15">
        <f t="shared" ref="N12:N13" si="2">J12-K12-L12-M12-O12</f>
        <v>951243.26</v>
      </c>
      <c r="O12" s="15">
        <v>112068.91</v>
      </c>
      <c r="P12" s="15">
        <f t="shared" ref="P12:P13" si="3">J12/H12</f>
        <v>3220.21</v>
      </c>
      <c r="Q12" s="15">
        <f>'Форма 2'!K7</f>
        <v>3661</v>
      </c>
      <c r="R12" s="18">
        <v>2020</v>
      </c>
      <c r="S12" s="153">
        <v>1</v>
      </c>
    </row>
    <row r="13" spans="1:19" ht="15.75" customHeight="1" x14ac:dyDescent="0.25">
      <c r="A13" s="126">
        <f>A12+1</f>
        <v>2</v>
      </c>
      <c r="B13" s="11">
        <v>4692</v>
      </c>
      <c r="C13" s="142" t="s">
        <v>286</v>
      </c>
      <c r="D13" s="134">
        <v>1968</v>
      </c>
      <c r="E13" s="134" t="s">
        <v>287</v>
      </c>
      <c r="F13" s="134" t="s">
        <v>81</v>
      </c>
      <c r="G13" s="15">
        <v>261.60000000000002</v>
      </c>
      <c r="H13" s="15">
        <v>237.2</v>
      </c>
      <c r="I13" s="10">
        <v>12</v>
      </c>
      <c r="J13" s="15">
        <f>'Форма 2'!I12</f>
        <v>15180.8</v>
      </c>
      <c r="K13" s="15">
        <v>0</v>
      </c>
      <c r="L13" s="15">
        <v>0</v>
      </c>
      <c r="M13" s="15">
        <v>0</v>
      </c>
      <c r="N13" s="15">
        <f t="shared" si="2"/>
        <v>13580.8</v>
      </c>
      <c r="O13" s="15">
        <v>1600</v>
      </c>
      <c r="P13" s="15">
        <f t="shared" si="3"/>
        <v>64</v>
      </c>
      <c r="Q13" s="15">
        <f>'Форма 2'!K12</f>
        <v>64</v>
      </c>
      <c r="R13" s="18">
        <v>2020</v>
      </c>
      <c r="S13" s="153">
        <v>1</v>
      </c>
    </row>
    <row r="14" spans="1:19" ht="15.75" customHeight="1" x14ac:dyDescent="0.25">
      <c r="A14" s="126">
        <f>A13+1</f>
        <v>3</v>
      </c>
      <c r="B14" s="13">
        <v>4753</v>
      </c>
      <c r="C14" s="339" t="s">
        <v>530</v>
      </c>
      <c r="D14" s="126">
        <v>1967</v>
      </c>
      <c r="E14" s="134" t="s">
        <v>68</v>
      </c>
      <c r="F14" s="134" t="s">
        <v>81</v>
      </c>
      <c r="G14" s="15">
        <v>358</v>
      </c>
      <c r="H14" s="15">
        <v>325.2</v>
      </c>
      <c r="I14" s="10">
        <v>18</v>
      </c>
      <c r="J14" s="15">
        <f>'Форма 2'!I14</f>
        <v>84226.8</v>
      </c>
      <c r="K14" s="15">
        <v>0</v>
      </c>
      <c r="L14" s="15">
        <v>0</v>
      </c>
      <c r="M14" s="15">
        <v>0</v>
      </c>
      <c r="N14" s="15">
        <f>J14-K14-L14-M14-O14</f>
        <v>75349.63</v>
      </c>
      <c r="O14" s="15">
        <v>8877.17</v>
      </c>
      <c r="P14" s="15">
        <f>J14/H14</f>
        <v>259</v>
      </c>
      <c r="Q14" s="15">
        <f>'Форма 2'!K14</f>
        <v>259</v>
      </c>
      <c r="R14" s="18">
        <v>2020</v>
      </c>
      <c r="S14" s="153">
        <v>1</v>
      </c>
    </row>
    <row r="15" spans="1:19" ht="15.75" customHeight="1" x14ac:dyDescent="0.25">
      <c r="A15" s="126">
        <f>A14+1</f>
        <v>4</v>
      </c>
      <c r="B15" s="13">
        <v>4754</v>
      </c>
      <c r="C15" s="339" t="s">
        <v>531</v>
      </c>
      <c r="D15" s="126">
        <v>1967</v>
      </c>
      <c r="E15" s="134" t="s">
        <v>112</v>
      </c>
      <c r="F15" s="134" t="s">
        <v>81</v>
      </c>
      <c r="G15" s="15">
        <v>362.6</v>
      </c>
      <c r="H15" s="15">
        <v>330.1</v>
      </c>
      <c r="I15" s="10">
        <v>24</v>
      </c>
      <c r="J15" s="15">
        <f>'Форма 2'!I16</f>
        <v>153166.39999999999</v>
      </c>
      <c r="K15" s="15">
        <v>0</v>
      </c>
      <c r="L15" s="15">
        <v>0</v>
      </c>
      <c r="M15" s="15">
        <v>0</v>
      </c>
      <c r="N15" s="15">
        <f>J15-K15-L15-M15-O15</f>
        <v>137023.26999999999</v>
      </c>
      <c r="O15" s="15">
        <v>16143.13</v>
      </c>
      <c r="P15" s="15">
        <f>J15/H15</f>
        <v>464</v>
      </c>
      <c r="Q15" s="15">
        <f>'Форма 2'!K16</f>
        <v>464</v>
      </c>
      <c r="R15" s="18">
        <v>2020</v>
      </c>
      <c r="S15" s="153">
        <v>1</v>
      </c>
    </row>
    <row r="16" spans="1:19" ht="15.75" customHeight="1" x14ac:dyDescent="0.25">
      <c r="A16" s="183" t="s">
        <v>29</v>
      </c>
      <c r="B16" s="183"/>
      <c r="C16" s="183"/>
      <c r="D16" s="5" t="s">
        <v>13</v>
      </c>
      <c r="E16" s="15" t="s">
        <v>13</v>
      </c>
      <c r="F16" s="15" t="s">
        <v>13</v>
      </c>
      <c r="G16" s="15">
        <f>SUM(G17:G24)</f>
        <v>15225.26</v>
      </c>
      <c r="H16" s="15">
        <f t="shared" ref="H16:O16" si="4">SUM(H17:H24)</f>
        <v>12287.33</v>
      </c>
      <c r="I16" s="10">
        <f t="shared" si="4"/>
        <v>367</v>
      </c>
      <c r="J16" s="15">
        <f t="shared" si="4"/>
        <v>34392463.869999997</v>
      </c>
      <c r="K16" s="15">
        <f t="shared" si="4"/>
        <v>0</v>
      </c>
      <c r="L16" s="15">
        <f t="shared" si="4"/>
        <v>0</v>
      </c>
      <c r="M16" s="15">
        <f t="shared" si="4"/>
        <v>0</v>
      </c>
      <c r="N16" s="15">
        <f t="shared" si="4"/>
        <v>33732487.350000001</v>
      </c>
      <c r="O16" s="15">
        <f t="shared" si="4"/>
        <v>659976.52</v>
      </c>
      <c r="P16" s="15" t="s">
        <v>13</v>
      </c>
      <c r="Q16" s="15" t="s">
        <v>13</v>
      </c>
      <c r="R16" s="15" t="s">
        <v>13</v>
      </c>
      <c r="S16" s="10" t="s">
        <v>13</v>
      </c>
    </row>
    <row r="17" spans="1:19" s="41" customFormat="1" ht="15.75" customHeight="1" x14ac:dyDescent="0.25">
      <c r="A17" s="104">
        <v>1</v>
      </c>
      <c r="B17" s="134">
        <v>4405</v>
      </c>
      <c r="C17" s="142" t="s">
        <v>84</v>
      </c>
      <c r="D17" s="134">
        <v>1988</v>
      </c>
      <c r="E17" s="134" t="s">
        <v>68</v>
      </c>
      <c r="F17" s="126" t="s">
        <v>82</v>
      </c>
      <c r="G17" s="15">
        <v>2594.37</v>
      </c>
      <c r="H17" s="15">
        <v>1765.93</v>
      </c>
      <c r="I17" s="138">
        <v>47</v>
      </c>
      <c r="J17" s="15">
        <f>'Форма 2'!I20</f>
        <v>7206813.8799999999</v>
      </c>
      <c r="K17" s="15">
        <v>0</v>
      </c>
      <c r="L17" s="15">
        <v>0</v>
      </c>
      <c r="M17" s="15">
        <v>0</v>
      </c>
      <c r="N17" s="15">
        <f>J17-K17-L17-M17-O17</f>
        <v>7070826.0899999999</v>
      </c>
      <c r="O17" s="15">
        <v>135987.79</v>
      </c>
      <c r="P17" s="15">
        <f>J17/H17</f>
        <v>4081.03</v>
      </c>
      <c r="Q17" s="15">
        <f>'Форма 2'!K20</f>
        <v>5144</v>
      </c>
      <c r="R17" s="347" t="s">
        <v>290</v>
      </c>
      <c r="S17" s="153">
        <v>1</v>
      </c>
    </row>
    <row r="18" spans="1:19" s="41" customFormat="1" ht="15.75" customHeight="1" x14ac:dyDescent="0.25">
      <c r="A18" s="102">
        <f>A17+1</f>
        <v>2</v>
      </c>
      <c r="B18" s="130">
        <v>4563</v>
      </c>
      <c r="C18" s="136" t="s">
        <v>183</v>
      </c>
      <c r="D18" s="16">
        <v>1976</v>
      </c>
      <c r="E18" s="126" t="s">
        <v>68</v>
      </c>
      <c r="F18" s="126" t="s">
        <v>82</v>
      </c>
      <c r="G18" s="348">
        <v>4770.96</v>
      </c>
      <c r="H18" s="348">
        <v>4353.01</v>
      </c>
      <c r="I18" s="138">
        <v>123</v>
      </c>
      <c r="J18" s="140">
        <f>'Форма 2'!I23</f>
        <v>10662580.619999999</v>
      </c>
      <c r="K18" s="15">
        <v>0</v>
      </c>
      <c r="L18" s="15">
        <v>0</v>
      </c>
      <c r="M18" s="15">
        <v>0</v>
      </c>
      <c r="N18" s="15">
        <f>J18-K18-L18-M18-O18</f>
        <v>10468313.75</v>
      </c>
      <c r="O18" s="15">
        <v>194266.87</v>
      </c>
      <c r="P18" s="140">
        <f>J18/H18</f>
        <v>2449.4699999999998</v>
      </c>
      <c r="Q18" s="15">
        <f>'Форма 2'!K23</f>
        <v>3878</v>
      </c>
      <c r="R18" s="18" t="s">
        <v>290</v>
      </c>
      <c r="S18" s="153">
        <v>1</v>
      </c>
    </row>
    <row r="19" spans="1:19" s="41" customFormat="1" ht="15.75" customHeight="1" x14ac:dyDescent="0.25">
      <c r="A19" s="102">
        <f t="shared" ref="A19" si="5">A18+1</f>
        <v>3</v>
      </c>
      <c r="B19" s="130">
        <v>4598</v>
      </c>
      <c r="C19" s="136" t="s">
        <v>113</v>
      </c>
      <c r="D19" s="16">
        <v>1981</v>
      </c>
      <c r="E19" s="126" t="s">
        <v>68</v>
      </c>
      <c r="F19" s="126" t="s">
        <v>82</v>
      </c>
      <c r="G19" s="348">
        <v>818.97</v>
      </c>
      <c r="H19" s="348">
        <v>726.63</v>
      </c>
      <c r="I19" s="138">
        <v>20</v>
      </c>
      <c r="J19" s="140">
        <f>'Форма 2'!I26</f>
        <v>3548027.05</v>
      </c>
      <c r="K19" s="15">
        <v>0</v>
      </c>
      <c r="L19" s="15">
        <v>0</v>
      </c>
      <c r="M19" s="15">
        <v>0</v>
      </c>
      <c r="N19" s="15">
        <f t="shared" ref="N19" si="6">J19-K19-L19-M19-O19</f>
        <v>3470760.5</v>
      </c>
      <c r="O19" s="15">
        <v>77266.55</v>
      </c>
      <c r="P19" s="140">
        <f t="shared" ref="P19" si="7">J19/H19</f>
        <v>4882.8500000000004</v>
      </c>
      <c r="Q19" s="15">
        <f>'Форма 2'!K26</f>
        <v>7688</v>
      </c>
      <c r="R19" s="18">
        <v>2020</v>
      </c>
      <c r="S19" s="153">
        <v>1</v>
      </c>
    </row>
    <row r="20" spans="1:19" s="41" customFormat="1" ht="15.75" customHeight="1" x14ac:dyDescent="0.25">
      <c r="A20" s="104">
        <f>A19+1</f>
        <v>4</v>
      </c>
      <c r="B20" s="134">
        <v>4589</v>
      </c>
      <c r="C20" s="124" t="s">
        <v>85</v>
      </c>
      <c r="D20" s="134">
        <v>1990</v>
      </c>
      <c r="E20" s="134" t="s">
        <v>68</v>
      </c>
      <c r="F20" s="126" t="s">
        <v>82</v>
      </c>
      <c r="G20" s="135">
        <v>5250.48</v>
      </c>
      <c r="H20" s="135">
        <v>4046.4</v>
      </c>
      <c r="I20" s="138">
        <v>115</v>
      </c>
      <c r="J20" s="15">
        <f>'Форма 2'!I29</f>
        <v>10320593.359999999</v>
      </c>
      <c r="K20" s="15">
        <v>0</v>
      </c>
      <c r="L20" s="15">
        <v>0</v>
      </c>
      <c r="M20" s="15">
        <v>0</v>
      </c>
      <c r="N20" s="15">
        <f>J20-K20-L20-M20-O20</f>
        <v>10125922.949999999</v>
      </c>
      <c r="O20" s="15">
        <v>194670.41</v>
      </c>
      <c r="P20" s="15">
        <f>J20/H20</f>
        <v>2550.56</v>
      </c>
      <c r="Q20" s="15">
        <f>'Форма 2'!K29</f>
        <v>3878</v>
      </c>
      <c r="R20" s="347" t="s">
        <v>290</v>
      </c>
      <c r="S20" s="153">
        <v>1</v>
      </c>
    </row>
    <row r="21" spans="1:19" s="41" customFormat="1" ht="15.75" customHeight="1" x14ac:dyDescent="0.25">
      <c r="A21" s="102">
        <f t="shared" ref="A21:A23" si="8">A20+1</f>
        <v>5</v>
      </c>
      <c r="B21" s="137">
        <v>8083</v>
      </c>
      <c r="C21" s="150" t="s">
        <v>352</v>
      </c>
      <c r="D21" s="126">
        <v>1953</v>
      </c>
      <c r="E21" s="126" t="s">
        <v>89</v>
      </c>
      <c r="F21" s="126" t="s">
        <v>81</v>
      </c>
      <c r="G21" s="15">
        <v>425.58</v>
      </c>
      <c r="H21" s="15">
        <v>325.16000000000003</v>
      </c>
      <c r="I21" s="138">
        <v>12</v>
      </c>
      <c r="J21" s="15">
        <f>'Форма 2'!I32</f>
        <v>44546.92</v>
      </c>
      <c r="K21" s="15">
        <v>0</v>
      </c>
      <c r="L21" s="15">
        <v>0</v>
      </c>
      <c r="M21" s="15">
        <v>0</v>
      </c>
      <c r="N21" s="15">
        <f t="shared" ref="N21:N23" si="9">J21-K21-L21-M21-O21</f>
        <v>43720.74</v>
      </c>
      <c r="O21" s="15">
        <v>826.18</v>
      </c>
      <c r="P21" s="15">
        <f t="shared" ref="P21:P23" si="10">J21/H21</f>
        <v>137</v>
      </c>
      <c r="Q21" s="15">
        <f>'Форма 2'!K32</f>
        <v>137</v>
      </c>
      <c r="R21" s="18">
        <v>2020</v>
      </c>
      <c r="S21" s="153">
        <v>1</v>
      </c>
    </row>
    <row r="22" spans="1:19" s="41" customFormat="1" ht="15.75" customHeight="1" x14ac:dyDescent="0.25">
      <c r="A22" s="102">
        <f t="shared" si="8"/>
        <v>6</v>
      </c>
      <c r="B22" s="137">
        <v>4480</v>
      </c>
      <c r="C22" s="150" t="s">
        <v>354</v>
      </c>
      <c r="D22" s="126">
        <v>1956</v>
      </c>
      <c r="E22" s="126" t="s">
        <v>68</v>
      </c>
      <c r="F22" s="126" t="s">
        <v>81</v>
      </c>
      <c r="G22" s="15">
        <v>426.1</v>
      </c>
      <c r="H22" s="15">
        <v>385</v>
      </c>
      <c r="I22" s="138">
        <v>16</v>
      </c>
      <c r="J22" s="15">
        <f>'Форма 2'!I34</f>
        <v>90734.87</v>
      </c>
      <c r="K22" s="15">
        <v>0</v>
      </c>
      <c r="L22" s="15">
        <v>0</v>
      </c>
      <c r="M22" s="15">
        <v>0</v>
      </c>
      <c r="N22" s="15">
        <f t="shared" si="9"/>
        <v>88971.22</v>
      </c>
      <c r="O22" s="15">
        <v>1763.65</v>
      </c>
      <c r="P22" s="15">
        <f t="shared" si="10"/>
        <v>235.67</v>
      </c>
      <c r="Q22" s="15">
        <f>'Форма 2'!K34</f>
        <v>247</v>
      </c>
      <c r="R22" s="18">
        <v>2020</v>
      </c>
      <c r="S22" s="153">
        <v>1</v>
      </c>
    </row>
    <row r="23" spans="1:19" s="41" customFormat="1" ht="15.75" customHeight="1" x14ac:dyDescent="0.25">
      <c r="A23" s="102">
        <f t="shared" si="8"/>
        <v>7</v>
      </c>
      <c r="B23" s="137">
        <v>4532</v>
      </c>
      <c r="C23" s="150" t="s">
        <v>356</v>
      </c>
      <c r="D23" s="126">
        <v>1938</v>
      </c>
      <c r="E23" s="126" t="s">
        <v>230</v>
      </c>
      <c r="F23" s="126" t="s">
        <v>81</v>
      </c>
      <c r="G23" s="15">
        <v>347</v>
      </c>
      <c r="H23" s="15">
        <v>317.3</v>
      </c>
      <c r="I23" s="138">
        <v>19</v>
      </c>
      <c r="J23" s="15">
        <f>'Форма 2'!I36</f>
        <v>53536.44</v>
      </c>
      <c r="K23" s="15">
        <v>0</v>
      </c>
      <c r="L23" s="15">
        <v>0</v>
      </c>
      <c r="M23" s="15">
        <v>0</v>
      </c>
      <c r="N23" s="15">
        <f t="shared" si="9"/>
        <v>52483.08</v>
      </c>
      <c r="O23" s="15">
        <v>1053.3599999999999</v>
      </c>
      <c r="P23" s="15">
        <f t="shared" si="10"/>
        <v>168.72</v>
      </c>
      <c r="Q23" s="15">
        <f>'Форма 2'!K36</f>
        <v>179</v>
      </c>
      <c r="R23" s="18">
        <v>2020</v>
      </c>
      <c r="S23" s="153">
        <v>1</v>
      </c>
    </row>
    <row r="24" spans="1:19" s="41" customFormat="1" ht="15.75" customHeight="1" x14ac:dyDescent="0.25">
      <c r="A24" s="104">
        <f>A23+1</f>
        <v>8</v>
      </c>
      <c r="B24" s="137">
        <v>4464</v>
      </c>
      <c r="C24" s="150" t="s">
        <v>357</v>
      </c>
      <c r="D24" s="134">
        <v>1969</v>
      </c>
      <c r="E24" s="126" t="s">
        <v>68</v>
      </c>
      <c r="F24" s="126" t="s">
        <v>87</v>
      </c>
      <c r="G24" s="15">
        <v>591.79999999999995</v>
      </c>
      <c r="H24" s="15">
        <v>367.9</v>
      </c>
      <c r="I24" s="138">
        <v>15</v>
      </c>
      <c r="J24" s="15">
        <f>'Форма 2'!I39</f>
        <v>2465630.73</v>
      </c>
      <c r="K24" s="15">
        <v>0</v>
      </c>
      <c r="L24" s="15">
        <v>0</v>
      </c>
      <c r="M24" s="15">
        <v>0</v>
      </c>
      <c r="N24" s="15">
        <f>J24-K24-L24-M24-O24</f>
        <v>2411489.02</v>
      </c>
      <c r="O24" s="15">
        <v>54141.71</v>
      </c>
      <c r="P24" s="15">
        <f>J24/H24</f>
        <v>6701.9</v>
      </c>
      <c r="Q24" s="15">
        <f>'Форма 2'!K39</f>
        <v>7935</v>
      </c>
      <c r="R24" s="347" t="s">
        <v>290</v>
      </c>
      <c r="S24" s="153">
        <v>1</v>
      </c>
    </row>
    <row r="25" spans="1:19" ht="15.75" customHeight="1" x14ac:dyDescent="0.25">
      <c r="A25" s="175" t="s">
        <v>533</v>
      </c>
      <c r="B25" s="175"/>
      <c r="C25" s="175"/>
      <c r="D25" s="5" t="s">
        <v>13</v>
      </c>
      <c r="E25" s="15" t="s">
        <v>13</v>
      </c>
      <c r="F25" s="15" t="s">
        <v>13</v>
      </c>
      <c r="G25" s="15">
        <f>SUM(G26)</f>
        <v>424.3</v>
      </c>
      <c r="H25" s="15">
        <f t="shared" ref="H25:O25" si="11">SUM(H26)</f>
        <v>381.3</v>
      </c>
      <c r="I25" s="10">
        <f t="shared" si="11"/>
        <v>12</v>
      </c>
      <c r="J25" s="15">
        <f t="shared" si="11"/>
        <v>95325</v>
      </c>
      <c r="K25" s="15">
        <f t="shared" si="11"/>
        <v>0</v>
      </c>
      <c r="L25" s="15">
        <f t="shared" si="11"/>
        <v>0</v>
      </c>
      <c r="M25" s="15">
        <f t="shared" si="11"/>
        <v>0</v>
      </c>
      <c r="N25" s="15">
        <f t="shared" si="11"/>
        <v>9592.42</v>
      </c>
      <c r="O25" s="15">
        <f t="shared" si="11"/>
        <v>85732.58</v>
      </c>
      <c r="P25" s="15" t="s">
        <v>13</v>
      </c>
      <c r="Q25" s="15" t="s">
        <v>13</v>
      </c>
      <c r="R25" s="15" t="s">
        <v>13</v>
      </c>
      <c r="S25" s="10" t="s">
        <v>13</v>
      </c>
    </row>
    <row r="26" spans="1:19" ht="15.75" customHeight="1" x14ac:dyDescent="0.25">
      <c r="A26" s="113">
        <v>1</v>
      </c>
      <c r="B26" s="137">
        <v>4784</v>
      </c>
      <c r="C26" s="150" t="s">
        <v>532</v>
      </c>
      <c r="D26" s="126">
        <v>1962</v>
      </c>
      <c r="E26" s="126" t="s">
        <v>181</v>
      </c>
      <c r="F26" s="126" t="s">
        <v>81</v>
      </c>
      <c r="G26" s="9">
        <v>424.3</v>
      </c>
      <c r="H26" s="9">
        <v>381.3</v>
      </c>
      <c r="I26" s="10">
        <v>12</v>
      </c>
      <c r="J26" s="15">
        <f>'Форма 2'!I44</f>
        <v>95325</v>
      </c>
      <c r="K26" s="15">
        <v>0</v>
      </c>
      <c r="L26" s="15">
        <v>0</v>
      </c>
      <c r="M26" s="15">
        <v>0</v>
      </c>
      <c r="N26" s="15">
        <f>J26-K26-L26-M26-O26</f>
        <v>9592.42</v>
      </c>
      <c r="O26" s="15">
        <v>85732.58</v>
      </c>
      <c r="P26" s="15">
        <f>J26/H26</f>
        <v>250</v>
      </c>
      <c r="Q26" s="15">
        <f>'Форма 2'!K44</f>
        <v>250</v>
      </c>
      <c r="R26" s="18">
        <v>2020</v>
      </c>
      <c r="S26" s="10">
        <v>1</v>
      </c>
    </row>
    <row r="27" spans="1:19" ht="15.75" customHeight="1" x14ac:dyDescent="0.25">
      <c r="A27" s="175" t="s">
        <v>30</v>
      </c>
      <c r="B27" s="175"/>
      <c r="C27" s="175"/>
      <c r="D27" s="5" t="s">
        <v>13</v>
      </c>
      <c r="E27" s="15" t="s">
        <v>13</v>
      </c>
      <c r="F27" s="15" t="s">
        <v>13</v>
      </c>
      <c r="G27" s="15">
        <f t="shared" ref="G27:O27" si="12">SUM(G28:G31)</f>
        <v>2450.6</v>
      </c>
      <c r="H27" s="15">
        <f t="shared" si="12"/>
        <v>2243</v>
      </c>
      <c r="I27" s="10">
        <f t="shared" si="12"/>
        <v>102</v>
      </c>
      <c r="J27" s="15">
        <f t="shared" si="12"/>
        <v>6825661.21</v>
      </c>
      <c r="K27" s="15">
        <f t="shared" si="12"/>
        <v>0</v>
      </c>
      <c r="L27" s="15">
        <f t="shared" si="12"/>
        <v>0</v>
      </c>
      <c r="M27" s="15">
        <f t="shared" si="12"/>
        <v>0</v>
      </c>
      <c r="N27" s="15">
        <f t="shared" si="12"/>
        <v>6746982.0800000001</v>
      </c>
      <c r="O27" s="15">
        <f t="shared" si="12"/>
        <v>78679.13</v>
      </c>
      <c r="P27" s="15" t="s">
        <v>13</v>
      </c>
      <c r="Q27" s="15" t="s">
        <v>13</v>
      </c>
      <c r="R27" s="15" t="s">
        <v>13</v>
      </c>
      <c r="S27" s="10" t="s">
        <v>13</v>
      </c>
    </row>
    <row r="28" spans="1:19" ht="15.75" customHeight="1" x14ac:dyDescent="0.25">
      <c r="A28" s="11">
        <v>1</v>
      </c>
      <c r="B28" s="11">
        <v>6698</v>
      </c>
      <c r="C28" s="142" t="s">
        <v>264</v>
      </c>
      <c r="D28" s="134">
        <v>1968</v>
      </c>
      <c r="E28" s="134" t="s">
        <v>266</v>
      </c>
      <c r="F28" s="134" t="s">
        <v>82</v>
      </c>
      <c r="G28" s="15">
        <v>364.7</v>
      </c>
      <c r="H28" s="15">
        <v>332.7</v>
      </c>
      <c r="I28" s="10">
        <v>20</v>
      </c>
      <c r="J28" s="15">
        <f>'Форма 2'!I47</f>
        <v>2014936.67</v>
      </c>
      <c r="K28" s="15">
        <v>0</v>
      </c>
      <c r="L28" s="15">
        <v>0</v>
      </c>
      <c r="M28" s="15">
        <v>0</v>
      </c>
      <c r="N28" s="15">
        <f>J28-K28-L28-M28-O28</f>
        <v>1993780.12</v>
      </c>
      <c r="O28" s="15">
        <v>21156.55</v>
      </c>
      <c r="P28" s="15">
        <f>J28/H28</f>
        <v>6056.32</v>
      </c>
      <c r="Q28" s="15">
        <f>'Форма 2'!K47</f>
        <v>8931</v>
      </c>
      <c r="R28" s="18">
        <v>2020</v>
      </c>
      <c r="S28" s="153">
        <v>1</v>
      </c>
    </row>
    <row r="29" spans="1:19" ht="15.75" customHeight="1" x14ac:dyDescent="0.25">
      <c r="A29" s="11">
        <f>A28+1</f>
        <v>2</v>
      </c>
      <c r="B29" s="11">
        <v>6646</v>
      </c>
      <c r="C29" s="142" t="s">
        <v>265</v>
      </c>
      <c r="D29" s="134">
        <v>1979</v>
      </c>
      <c r="E29" s="134" t="s">
        <v>68</v>
      </c>
      <c r="F29" s="134" t="s">
        <v>82</v>
      </c>
      <c r="G29" s="15">
        <v>527.1</v>
      </c>
      <c r="H29" s="15">
        <v>481.9</v>
      </c>
      <c r="I29" s="10">
        <v>17</v>
      </c>
      <c r="J29" s="15">
        <f>'Форма 2'!I52</f>
        <v>2959854.86</v>
      </c>
      <c r="K29" s="15">
        <v>0</v>
      </c>
      <c r="L29" s="15">
        <v>0</v>
      </c>
      <c r="M29" s="15">
        <v>0</v>
      </c>
      <c r="N29" s="15">
        <f>J29-K29-L29-M29-O29</f>
        <v>2928854.96</v>
      </c>
      <c r="O29" s="15">
        <v>30999.9</v>
      </c>
      <c r="P29" s="15">
        <f>J29/H29</f>
        <v>6142.05</v>
      </c>
      <c r="Q29" s="15">
        <f>'Форма 2'!K52</f>
        <v>8203</v>
      </c>
      <c r="R29" s="18">
        <v>2020</v>
      </c>
      <c r="S29" s="153">
        <v>1</v>
      </c>
    </row>
    <row r="30" spans="1:19" ht="15.75" customHeight="1" x14ac:dyDescent="0.25">
      <c r="A30" s="12">
        <f>A29+1</f>
        <v>3</v>
      </c>
      <c r="B30" s="12">
        <v>6714</v>
      </c>
      <c r="C30" s="142" t="s">
        <v>263</v>
      </c>
      <c r="D30" s="134">
        <v>1974</v>
      </c>
      <c r="E30" s="134" t="s">
        <v>464</v>
      </c>
      <c r="F30" s="134" t="s">
        <v>82</v>
      </c>
      <c r="G30" s="15">
        <v>774.7</v>
      </c>
      <c r="H30" s="15">
        <v>706.7</v>
      </c>
      <c r="I30" s="349">
        <v>21</v>
      </c>
      <c r="J30" s="15">
        <f>'Форма 2'!I55</f>
        <v>1735758.53</v>
      </c>
      <c r="K30" s="15">
        <v>0</v>
      </c>
      <c r="L30" s="15">
        <v>0</v>
      </c>
      <c r="M30" s="15">
        <v>0</v>
      </c>
      <c r="N30" s="15">
        <f>J30-K30-L30-M30-O30</f>
        <v>1710436.64</v>
      </c>
      <c r="O30" s="15">
        <v>25321.89</v>
      </c>
      <c r="P30" s="15">
        <f>J30/H30</f>
        <v>2456.15</v>
      </c>
      <c r="Q30" s="15">
        <f>'Форма 2'!K55</f>
        <v>3661</v>
      </c>
      <c r="R30" s="18">
        <v>2020</v>
      </c>
      <c r="S30" s="153">
        <v>1</v>
      </c>
    </row>
    <row r="31" spans="1:19" ht="15.75" customHeight="1" x14ac:dyDescent="0.25">
      <c r="A31" s="12">
        <f>A30+1</f>
        <v>4</v>
      </c>
      <c r="B31" s="12">
        <v>6711</v>
      </c>
      <c r="C31" s="142" t="s">
        <v>463</v>
      </c>
      <c r="D31" s="134">
        <v>1976</v>
      </c>
      <c r="E31" s="134" t="s">
        <v>465</v>
      </c>
      <c r="F31" s="134" t="s">
        <v>81</v>
      </c>
      <c r="G31" s="15">
        <v>784.1</v>
      </c>
      <c r="H31" s="15">
        <v>721.7</v>
      </c>
      <c r="I31" s="349">
        <v>44</v>
      </c>
      <c r="J31" s="15">
        <f>'Форма 2'!I60</f>
        <v>115111.15</v>
      </c>
      <c r="K31" s="15">
        <v>0</v>
      </c>
      <c r="L31" s="15">
        <v>0</v>
      </c>
      <c r="M31" s="15">
        <v>0</v>
      </c>
      <c r="N31" s="15">
        <f>J31-K31-L31-M31-O31</f>
        <v>113910.36</v>
      </c>
      <c r="O31" s="15">
        <v>1200.79</v>
      </c>
      <c r="P31" s="15">
        <f>J31/H31</f>
        <v>159.5</v>
      </c>
      <c r="Q31" s="15">
        <f>'Форма 2'!K60</f>
        <v>170</v>
      </c>
      <c r="R31" s="18">
        <v>2020</v>
      </c>
      <c r="S31" s="153">
        <v>1</v>
      </c>
    </row>
    <row r="32" spans="1:19" s="41" customFormat="1" ht="15.75" customHeight="1" x14ac:dyDescent="0.25">
      <c r="A32" s="189" t="s">
        <v>47</v>
      </c>
      <c r="B32" s="189"/>
      <c r="C32" s="189"/>
      <c r="D32" s="5" t="s">
        <v>13</v>
      </c>
      <c r="E32" s="15" t="s">
        <v>13</v>
      </c>
      <c r="F32" s="15" t="s">
        <v>13</v>
      </c>
      <c r="G32" s="15">
        <f t="shared" ref="G32:O32" si="13">SUM(G33:G70)</f>
        <v>300794.73</v>
      </c>
      <c r="H32" s="15">
        <f t="shared" si="13"/>
        <v>242948.05</v>
      </c>
      <c r="I32" s="10">
        <f t="shared" si="13"/>
        <v>9225</v>
      </c>
      <c r="J32" s="15">
        <f t="shared" si="13"/>
        <v>200941680.96000001</v>
      </c>
      <c r="K32" s="15">
        <f t="shared" si="13"/>
        <v>0</v>
      </c>
      <c r="L32" s="15">
        <f t="shared" si="13"/>
        <v>0</v>
      </c>
      <c r="M32" s="15">
        <f t="shared" si="13"/>
        <v>0</v>
      </c>
      <c r="N32" s="15">
        <f t="shared" si="13"/>
        <v>195706132.38</v>
      </c>
      <c r="O32" s="15">
        <f t="shared" si="13"/>
        <v>5235548.58</v>
      </c>
      <c r="P32" s="15" t="s">
        <v>13</v>
      </c>
      <c r="Q32" s="15" t="s">
        <v>13</v>
      </c>
      <c r="R32" s="15" t="s">
        <v>13</v>
      </c>
      <c r="S32" s="10" t="s">
        <v>13</v>
      </c>
    </row>
    <row r="33" spans="1:19" s="41" customFormat="1" ht="15.75" customHeight="1" x14ac:dyDescent="0.25">
      <c r="A33" s="126">
        <v>1</v>
      </c>
      <c r="B33" s="14">
        <v>6026</v>
      </c>
      <c r="C33" s="142" t="s">
        <v>386</v>
      </c>
      <c r="D33" s="134">
        <v>1982</v>
      </c>
      <c r="E33" s="135" t="s">
        <v>68</v>
      </c>
      <c r="F33" s="134" t="s">
        <v>83</v>
      </c>
      <c r="G33" s="15">
        <v>3706.7</v>
      </c>
      <c r="H33" s="15">
        <v>2728.7</v>
      </c>
      <c r="I33" s="10">
        <v>103</v>
      </c>
      <c r="J33" s="15">
        <f>'Форма 2'!I64</f>
        <v>2934280.57</v>
      </c>
      <c r="K33" s="15">
        <v>0</v>
      </c>
      <c r="L33" s="15">
        <v>0</v>
      </c>
      <c r="M33" s="15">
        <v>0</v>
      </c>
      <c r="N33" s="15">
        <f t="shared" ref="N33:N38" si="14">J33-K33-L33-M33-O33</f>
        <v>2852220.26</v>
      </c>
      <c r="O33" s="15">
        <v>82060.31</v>
      </c>
      <c r="P33" s="15">
        <f t="shared" ref="P33:P70" si="15">J33/H33</f>
        <v>1075.3399999999999</v>
      </c>
      <c r="Q33" s="15">
        <f>'Форма 2'!K64</f>
        <v>3966</v>
      </c>
      <c r="R33" s="18">
        <v>2021</v>
      </c>
      <c r="S33" s="153">
        <v>1</v>
      </c>
    </row>
    <row r="34" spans="1:19" s="41" customFormat="1" ht="15.75" customHeight="1" x14ac:dyDescent="0.25">
      <c r="A34" s="126">
        <f>A33+1</f>
        <v>2</v>
      </c>
      <c r="B34" s="14">
        <v>6030</v>
      </c>
      <c r="C34" s="142" t="s">
        <v>387</v>
      </c>
      <c r="D34" s="134">
        <v>1974</v>
      </c>
      <c r="E34" s="135" t="s">
        <v>68</v>
      </c>
      <c r="F34" s="134" t="s">
        <v>223</v>
      </c>
      <c r="G34" s="15">
        <v>17546.48</v>
      </c>
      <c r="H34" s="15">
        <v>16127.59</v>
      </c>
      <c r="I34" s="10">
        <v>458</v>
      </c>
      <c r="J34" s="15">
        <f>'Форма 2'!I67</f>
        <v>4533752.47</v>
      </c>
      <c r="K34" s="15">
        <v>0</v>
      </c>
      <c r="L34" s="15">
        <v>0</v>
      </c>
      <c r="M34" s="15">
        <v>0</v>
      </c>
      <c r="N34" s="15">
        <f t="shared" si="14"/>
        <v>4404572.1399999997</v>
      </c>
      <c r="O34" s="15">
        <v>129180.33</v>
      </c>
      <c r="P34" s="15">
        <f t="shared" si="15"/>
        <v>281.12</v>
      </c>
      <c r="Q34" s="15">
        <f>'Форма 2'!K67</f>
        <v>2440</v>
      </c>
      <c r="R34" s="18">
        <v>2021</v>
      </c>
      <c r="S34" s="153">
        <v>1</v>
      </c>
    </row>
    <row r="35" spans="1:19" s="41" customFormat="1" ht="15.75" customHeight="1" x14ac:dyDescent="0.25">
      <c r="A35" s="126">
        <v>3</v>
      </c>
      <c r="B35" s="14">
        <v>6039</v>
      </c>
      <c r="C35" s="142" t="s">
        <v>570</v>
      </c>
      <c r="D35" s="134">
        <v>1973</v>
      </c>
      <c r="E35" s="135" t="s">
        <v>86</v>
      </c>
      <c r="F35" s="134" t="s">
        <v>81</v>
      </c>
      <c r="G35" s="15">
        <v>10649.7</v>
      </c>
      <c r="H35" s="15">
        <v>6661.52</v>
      </c>
      <c r="I35" s="10">
        <v>252</v>
      </c>
      <c r="J35" s="15">
        <f>'Форма 2'!I69</f>
        <v>32281</v>
      </c>
      <c r="K35" s="15">
        <v>0</v>
      </c>
      <c r="L35" s="15">
        <v>0</v>
      </c>
      <c r="M35" s="15">
        <v>0</v>
      </c>
      <c r="N35" s="15">
        <f t="shared" si="14"/>
        <v>32281</v>
      </c>
      <c r="O35" s="15">
        <v>0</v>
      </c>
      <c r="P35" s="15">
        <f t="shared" ref="P35" si="16">J35/H35</f>
        <v>4.8499999999999996</v>
      </c>
      <c r="Q35" s="15">
        <f>'Форма 2'!K69</f>
        <v>4.8499999999999996</v>
      </c>
      <c r="R35" s="18">
        <v>2020</v>
      </c>
      <c r="S35" s="153">
        <v>1</v>
      </c>
    </row>
    <row r="36" spans="1:19" s="41" customFormat="1" ht="15.75" customHeight="1" x14ac:dyDescent="0.25">
      <c r="A36" s="126">
        <f>A35+1</f>
        <v>4</v>
      </c>
      <c r="B36" s="119">
        <v>6058</v>
      </c>
      <c r="C36" s="142" t="s">
        <v>441</v>
      </c>
      <c r="D36" s="134">
        <v>1991</v>
      </c>
      <c r="E36" s="135" t="s">
        <v>86</v>
      </c>
      <c r="F36" s="134" t="s">
        <v>480</v>
      </c>
      <c r="G36" s="15">
        <v>4869.7</v>
      </c>
      <c r="H36" s="15">
        <v>4746.3</v>
      </c>
      <c r="I36" s="10">
        <v>179</v>
      </c>
      <c r="J36" s="15">
        <f>'Форма 2'!I71</f>
        <v>5318402.43</v>
      </c>
      <c r="K36" s="15">
        <v>0</v>
      </c>
      <c r="L36" s="15">
        <v>0</v>
      </c>
      <c r="M36" s="15">
        <v>0</v>
      </c>
      <c r="N36" s="15">
        <f t="shared" si="14"/>
        <v>5179848.05</v>
      </c>
      <c r="O36" s="15">
        <v>138554.38</v>
      </c>
      <c r="P36" s="15">
        <f>J36/H36</f>
        <v>1120.54</v>
      </c>
      <c r="Q36" s="15">
        <f>'Форма 2'!K71</f>
        <v>1203.74</v>
      </c>
      <c r="R36" s="18">
        <v>2020</v>
      </c>
      <c r="S36" s="153">
        <v>1</v>
      </c>
    </row>
    <row r="37" spans="1:19" s="41" customFormat="1" ht="15.75" customHeight="1" x14ac:dyDescent="0.25">
      <c r="A37" s="126">
        <f>A36+1</f>
        <v>5</v>
      </c>
      <c r="B37" s="119">
        <v>6059</v>
      </c>
      <c r="C37" s="142" t="s">
        <v>442</v>
      </c>
      <c r="D37" s="134">
        <v>1992</v>
      </c>
      <c r="E37" s="135" t="s">
        <v>86</v>
      </c>
      <c r="F37" s="134" t="s">
        <v>480</v>
      </c>
      <c r="G37" s="15">
        <v>5103.5</v>
      </c>
      <c r="H37" s="15">
        <v>3823.5</v>
      </c>
      <c r="I37" s="10">
        <v>144</v>
      </c>
      <c r="J37" s="15">
        <f>'Форма 2'!I78</f>
        <v>5594922</v>
      </c>
      <c r="K37" s="15">
        <v>0</v>
      </c>
      <c r="L37" s="15">
        <v>0</v>
      </c>
      <c r="M37" s="15">
        <v>0</v>
      </c>
      <c r="N37" s="15">
        <f t="shared" si="14"/>
        <v>5456367.6200000001</v>
      </c>
      <c r="O37" s="15">
        <v>138554.38</v>
      </c>
      <c r="P37" s="15">
        <f>J37/H37</f>
        <v>1463.3</v>
      </c>
      <c r="Q37" s="15">
        <f>'Форма 2'!K78</f>
        <v>1494.25</v>
      </c>
      <c r="R37" s="18">
        <v>2020</v>
      </c>
      <c r="S37" s="153">
        <v>1</v>
      </c>
    </row>
    <row r="38" spans="1:19" s="41" customFormat="1" ht="47.25" customHeight="1" x14ac:dyDescent="0.25">
      <c r="A38" s="126">
        <f t="shared" ref="A38" si="17">A37+1</f>
        <v>6</v>
      </c>
      <c r="B38" s="146">
        <v>6061</v>
      </c>
      <c r="C38" s="142" t="s">
        <v>466</v>
      </c>
      <c r="D38" s="134" t="s">
        <v>479</v>
      </c>
      <c r="E38" s="135" t="s">
        <v>86</v>
      </c>
      <c r="F38" s="134" t="s">
        <v>480</v>
      </c>
      <c r="G38" s="15">
        <v>46580.1</v>
      </c>
      <c r="H38" s="15">
        <v>43293.2</v>
      </c>
      <c r="I38" s="10">
        <v>1568</v>
      </c>
      <c r="J38" s="15">
        <f>'Форма 2'!I85</f>
        <v>2435333</v>
      </c>
      <c r="K38" s="15">
        <v>0</v>
      </c>
      <c r="L38" s="15">
        <v>0</v>
      </c>
      <c r="M38" s="15">
        <v>0</v>
      </c>
      <c r="N38" s="15">
        <f t="shared" si="14"/>
        <v>2379020.7400000002</v>
      </c>
      <c r="O38" s="15">
        <v>56312.26</v>
      </c>
      <c r="P38" s="15">
        <f t="shared" ref="P38" si="18">J38/H38</f>
        <v>56.25</v>
      </c>
      <c r="Q38" s="15">
        <f>'Форма 2'!K85</f>
        <v>57.35</v>
      </c>
      <c r="R38" s="18">
        <v>2020</v>
      </c>
      <c r="S38" s="153">
        <v>1</v>
      </c>
    </row>
    <row r="39" spans="1:19" s="41" customFormat="1" ht="15.75" customHeight="1" x14ac:dyDescent="0.25">
      <c r="A39" s="126">
        <f>A38+1</f>
        <v>7</v>
      </c>
      <c r="B39" s="126">
        <v>5864</v>
      </c>
      <c r="C39" s="142" t="s">
        <v>388</v>
      </c>
      <c r="D39" s="134">
        <v>1959</v>
      </c>
      <c r="E39" s="134" t="s">
        <v>68</v>
      </c>
      <c r="F39" s="134" t="s">
        <v>223</v>
      </c>
      <c r="G39" s="15">
        <v>3876.9</v>
      </c>
      <c r="H39" s="15">
        <v>2829</v>
      </c>
      <c r="I39" s="10">
        <v>107</v>
      </c>
      <c r="J39" s="15">
        <f>'Форма 2'!I94</f>
        <v>2691115.91</v>
      </c>
      <c r="K39" s="15">
        <v>0</v>
      </c>
      <c r="L39" s="15">
        <v>0</v>
      </c>
      <c r="M39" s="15">
        <v>0</v>
      </c>
      <c r="N39" s="15">
        <f t="shared" ref="N39:N68" si="19">J39-K39-L39-M39-O39</f>
        <v>2614484.7400000002</v>
      </c>
      <c r="O39" s="15">
        <v>76631.17</v>
      </c>
      <c r="P39" s="15">
        <f t="shared" si="15"/>
        <v>951.26</v>
      </c>
      <c r="Q39" s="15">
        <f>'Форма 2'!K94</f>
        <v>5036</v>
      </c>
      <c r="R39" s="18">
        <v>2021</v>
      </c>
      <c r="S39" s="153">
        <v>1</v>
      </c>
    </row>
    <row r="40" spans="1:19" s="41" customFormat="1" ht="15.75" customHeight="1" x14ac:dyDescent="0.25">
      <c r="A40" s="126">
        <f>A39+1</f>
        <v>8</v>
      </c>
      <c r="B40" s="146">
        <v>5870</v>
      </c>
      <c r="C40" s="142" t="s">
        <v>468</v>
      </c>
      <c r="D40" s="134">
        <v>1957</v>
      </c>
      <c r="E40" s="135" t="s">
        <v>481</v>
      </c>
      <c r="F40" s="134" t="s">
        <v>114</v>
      </c>
      <c r="G40" s="15">
        <v>3421</v>
      </c>
      <c r="H40" s="15">
        <v>2339.1999999999998</v>
      </c>
      <c r="I40" s="10">
        <v>96</v>
      </c>
      <c r="J40" s="15">
        <f>'Форма 2'!I96</f>
        <v>1132055.8899999999</v>
      </c>
      <c r="K40" s="15">
        <v>0</v>
      </c>
      <c r="L40" s="15">
        <v>0</v>
      </c>
      <c r="M40" s="15">
        <v>0</v>
      </c>
      <c r="N40" s="15">
        <f t="shared" si="19"/>
        <v>1104021.31</v>
      </c>
      <c r="O40" s="15">
        <v>28034.58</v>
      </c>
      <c r="P40" s="15">
        <f t="shared" si="15"/>
        <v>483.95</v>
      </c>
      <c r="Q40" s="15">
        <f>'Форма 2'!K96</f>
        <v>1316</v>
      </c>
      <c r="R40" s="18">
        <v>2020</v>
      </c>
      <c r="S40" s="153">
        <v>1</v>
      </c>
    </row>
    <row r="41" spans="1:19" s="41" customFormat="1" ht="15.75" customHeight="1" x14ac:dyDescent="0.25">
      <c r="A41" s="126">
        <f t="shared" ref="A41:A45" si="20">A40+1</f>
        <v>9</v>
      </c>
      <c r="B41" s="126">
        <v>5920</v>
      </c>
      <c r="C41" s="142" t="s">
        <v>443</v>
      </c>
      <c r="D41" s="126">
        <v>1991</v>
      </c>
      <c r="E41" s="134" t="s">
        <v>86</v>
      </c>
      <c r="F41" s="134" t="s">
        <v>87</v>
      </c>
      <c r="G41" s="15">
        <v>13263.1</v>
      </c>
      <c r="H41" s="15">
        <v>11783.6</v>
      </c>
      <c r="I41" s="10">
        <v>445</v>
      </c>
      <c r="J41" s="15">
        <f>'Форма 2'!I101</f>
        <v>12438504.539999999</v>
      </c>
      <c r="K41" s="15">
        <v>0</v>
      </c>
      <c r="L41" s="15">
        <v>0</v>
      </c>
      <c r="M41" s="15">
        <v>0</v>
      </c>
      <c r="N41" s="15">
        <f t="shared" si="19"/>
        <v>12123935.18</v>
      </c>
      <c r="O41" s="15">
        <v>314569.36</v>
      </c>
      <c r="P41" s="15">
        <f t="shared" si="15"/>
        <v>1055.58</v>
      </c>
      <c r="Q41" s="15">
        <f>'Форма 2'!K101</f>
        <v>1182.27</v>
      </c>
      <c r="R41" s="18">
        <v>2020</v>
      </c>
      <c r="S41" s="153">
        <v>1</v>
      </c>
    </row>
    <row r="42" spans="1:19" s="41" customFormat="1" ht="15.75" customHeight="1" x14ac:dyDescent="0.25">
      <c r="A42" s="126">
        <f t="shared" si="20"/>
        <v>10</v>
      </c>
      <c r="B42" s="126">
        <v>5926</v>
      </c>
      <c r="C42" s="142" t="s">
        <v>470</v>
      </c>
      <c r="D42" s="126">
        <v>1994</v>
      </c>
      <c r="E42" s="134" t="s">
        <v>86</v>
      </c>
      <c r="F42" s="134" t="s">
        <v>87</v>
      </c>
      <c r="G42" s="15">
        <v>9610.2000000000007</v>
      </c>
      <c r="H42" s="15">
        <v>8565.2999999999993</v>
      </c>
      <c r="I42" s="10">
        <v>324</v>
      </c>
      <c r="J42" s="15">
        <f>'Форма 2'!I120</f>
        <v>9095712</v>
      </c>
      <c r="K42" s="15">
        <v>0</v>
      </c>
      <c r="L42" s="15">
        <v>0</v>
      </c>
      <c r="M42" s="15">
        <v>0</v>
      </c>
      <c r="N42" s="15">
        <f t="shared" si="19"/>
        <v>8870462.9800000004</v>
      </c>
      <c r="O42" s="15">
        <v>225249.02</v>
      </c>
      <c r="P42" s="15">
        <f t="shared" si="15"/>
        <v>1061.93</v>
      </c>
      <c r="Q42" s="15">
        <f>'Форма 2'!K120</f>
        <v>1084.33</v>
      </c>
      <c r="R42" s="18">
        <v>2020</v>
      </c>
      <c r="S42" s="153">
        <v>1</v>
      </c>
    </row>
    <row r="43" spans="1:19" s="41" customFormat="1" ht="15.75" customHeight="1" x14ac:dyDescent="0.25">
      <c r="A43" s="126">
        <f t="shared" si="20"/>
        <v>11</v>
      </c>
      <c r="B43" s="126">
        <v>5937</v>
      </c>
      <c r="C43" s="142" t="s">
        <v>445</v>
      </c>
      <c r="D43" s="126">
        <v>1990</v>
      </c>
      <c r="E43" s="134" t="s">
        <v>86</v>
      </c>
      <c r="F43" s="134" t="s">
        <v>87</v>
      </c>
      <c r="G43" s="15">
        <v>15633.2</v>
      </c>
      <c r="H43" s="15">
        <v>10637.8</v>
      </c>
      <c r="I43" s="10">
        <v>402</v>
      </c>
      <c r="J43" s="15">
        <f>'Форма 2'!I133</f>
        <v>13643568</v>
      </c>
      <c r="K43" s="15">
        <v>0</v>
      </c>
      <c r="L43" s="15">
        <v>0</v>
      </c>
      <c r="M43" s="15">
        <v>0</v>
      </c>
      <c r="N43" s="15">
        <f>J43-K43-L43-M43-O43</f>
        <v>13305694.48</v>
      </c>
      <c r="O43" s="15">
        <v>337873.52</v>
      </c>
      <c r="P43" s="15">
        <f>J43/H43</f>
        <v>1282.56</v>
      </c>
      <c r="Q43" s="15">
        <f>'Форма 2'!K133</f>
        <v>1309.6199999999999</v>
      </c>
      <c r="R43" s="18">
        <v>2020</v>
      </c>
      <c r="S43" s="153">
        <v>1</v>
      </c>
    </row>
    <row r="44" spans="1:19" s="41" customFormat="1" ht="15.75" customHeight="1" x14ac:dyDescent="0.25">
      <c r="A44" s="126">
        <f t="shared" si="20"/>
        <v>12</v>
      </c>
      <c r="B44" s="126">
        <v>5940</v>
      </c>
      <c r="C44" s="142" t="s">
        <v>471</v>
      </c>
      <c r="D44" s="126">
        <v>1968</v>
      </c>
      <c r="E44" s="134" t="s">
        <v>112</v>
      </c>
      <c r="F44" s="134" t="s">
        <v>114</v>
      </c>
      <c r="G44" s="15">
        <v>6041.6</v>
      </c>
      <c r="H44" s="15">
        <v>3856.6</v>
      </c>
      <c r="I44" s="10">
        <v>209</v>
      </c>
      <c r="J44" s="15">
        <f>'Форма 2'!I152</f>
        <v>7609082.9100000001</v>
      </c>
      <c r="K44" s="15">
        <v>0</v>
      </c>
      <c r="L44" s="15">
        <v>0</v>
      </c>
      <c r="M44" s="15">
        <v>0</v>
      </c>
      <c r="N44" s="15">
        <f t="shared" ref="N44:N46" si="21">J44-K44-L44-M44-O44</f>
        <v>7528513.7800000003</v>
      </c>
      <c r="O44" s="15">
        <v>80569.13</v>
      </c>
      <c r="P44" s="15">
        <f t="shared" ref="P44:P46" si="22">J44/H44</f>
        <v>1973</v>
      </c>
      <c r="Q44" s="15">
        <f>'Форма 2'!K152</f>
        <v>6136</v>
      </c>
      <c r="R44" s="18">
        <v>2020</v>
      </c>
      <c r="S44" s="153">
        <v>1</v>
      </c>
    </row>
    <row r="45" spans="1:19" s="41" customFormat="1" ht="15.75" customHeight="1" x14ac:dyDescent="0.25">
      <c r="A45" s="126">
        <f t="shared" si="20"/>
        <v>13</v>
      </c>
      <c r="B45" s="126">
        <v>5948</v>
      </c>
      <c r="C45" s="142" t="s">
        <v>472</v>
      </c>
      <c r="D45" s="126">
        <v>1967</v>
      </c>
      <c r="E45" s="134" t="s">
        <v>112</v>
      </c>
      <c r="F45" s="134" t="s">
        <v>114</v>
      </c>
      <c r="G45" s="15">
        <v>6049.4</v>
      </c>
      <c r="H45" s="15">
        <v>3853.4</v>
      </c>
      <c r="I45" s="10">
        <v>192</v>
      </c>
      <c r="J45" s="15">
        <f>'Форма 2'!I155</f>
        <v>7376546.0300000003</v>
      </c>
      <c r="K45" s="15">
        <v>0</v>
      </c>
      <c r="L45" s="15">
        <v>0</v>
      </c>
      <c r="M45" s="15">
        <v>0</v>
      </c>
      <c r="N45" s="15">
        <f t="shared" si="21"/>
        <v>7291298.1600000001</v>
      </c>
      <c r="O45" s="15">
        <v>85247.87</v>
      </c>
      <c r="P45" s="15">
        <f t="shared" si="22"/>
        <v>1914.3</v>
      </c>
      <c r="Q45" s="15">
        <f>'Форма 2'!K155</f>
        <v>6136</v>
      </c>
      <c r="R45" s="18">
        <v>2020</v>
      </c>
      <c r="S45" s="153">
        <v>1</v>
      </c>
    </row>
    <row r="46" spans="1:19" s="41" customFormat="1" ht="15.75" customHeight="1" x14ac:dyDescent="0.25">
      <c r="A46" s="126">
        <f t="shared" ref="A46:A51" si="23">A45+1</f>
        <v>14</v>
      </c>
      <c r="B46" s="126">
        <v>6087</v>
      </c>
      <c r="C46" s="142" t="s">
        <v>473</v>
      </c>
      <c r="D46" s="126">
        <v>1964</v>
      </c>
      <c r="E46" s="134" t="s">
        <v>482</v>
      </c>
      <c r="F46" s="134" t="s">
        <v>114</v>
      </c>
      <c r="G46" s="15">
        <v>4009.9</v>
      </c>
      <c r="H46" s="15">
        <v>2459.1</v>
      </c>
      <c r="I46" s="10">
        <v>221</v>
      </c>
      <c r="J46" s="15">
        <f>'Форма 2'!I158</f>
        <v>5828539.4800000004</v>
      </c>
      <c r="K46" s="19">
        <v>0</v>
      </c>
      <c r="L46" s="19">
        <v>0</v>
      </c>
      <c r="M46" s="19">
        <v>0</v>
      </c>
      <c r="N46" s="15">
        <f t="shared" si="21"/>
        <v>5684199.7300000004</v>
      </c>
      <c r="O46" s="15">
        <v>144339.75</v>
      </c>
      <c r="P46" s="15">
        <f t="shared" si="22"/>
        <v>2370.19</v>
      </c>
      <c r="Q46" s="15">
        <f>'Форма 2'!K158</f>
        <v>5271</v>
      </c>
      <c r="R46" s="18">
        <v>2020</v>
      </c>
      <c r="S46" s="153">
        <v>1</v>
      </c>
    </row>
    <row r="47" spans="1:19" s="41" customFormat="1" ht="15.75" customHeight="1" x14ac:dyDescent="0.25">
      <c r="A47" s="126">
        <f t="shared" si="23"/>
        <v>15</v>
      </c>
      <c r="B47" s="126">
        <v>6120</v>
      </c>
      <c r="C47" s="142" t="s">
        <v>575</v>
      </c>
      <c r="D47" s="126">
        <v>1971</v>
      </c>
      <c r="E47" s="134" t="s">
        <v>86</v>
      </c>
      <c r="F47" s="134" t="s">
        <v>81</v>
      </c>
      <c r="G47" s="15">
        <v>3182.7</v>
      </c>
      <c r="H47" s="15">
        <v>2259.1</v>
      </c>
      <c r="I47" s="10">
        <v>85</v>
      </c>
      <c r="J47" s="15">
        <f>'Форма 2'!I167</f>
        <v>32281</v>
      </c>
      <c r="K47" s="19">
        <v>0</v>
      </c>
      <c r="L47" s="19">
        <v>0</v>
      </c>
      <c r="M47" s="19">
        <v>0</v>
      </c>
      <c r="N47" s="15">
        <f t="shared" ref="N47" si="24">J47-K47-L47-M47-O47</f>
        <v>32281</v>
      </c>
      <c r="O47" s="15">
        <v>0</v>
      </c>
      <c r="P47" s="15">
        <f t="shared" ref="P47" si="25">J47/H47</f>
        <v>14.29</v>
      </c>
      <c r="Q47" s="15">
        <f>'Форма 2'!K167</f>
        <v>14.29</v>
      </c>
      <c r="R47" s="18">
        <v>2020</v>
      </c>
      <c r="S47" s="153">
        <v>1</v>
      </c>
    </row>
    <row r="48" spans="1:19" s="41" customFormat="1" ht="15.75" customHeight="1" x14ac:dyDescent="0.25">
      <c r="A48" s="126">
        <f t="shared" si="23"/>
        <v>16</v>
      </c>
      <c r="B48" s="126">
        <v>6125</v>
      </c>
      <c r="C48" s="142" t="s">
        <v>422</v>
      </c>
      <c r="D48" s="126">
        <v>1969</v>
      </c>
      <c r="E48" s="134" t="s">
        <v>86</v>
      </c>
      <c r="F48" s="134" t="s">
        <v>87</v>
      </c>
      <c r="G48" s="15">
        <v>2916.2</v>
      </c>
      <c r="H48" s="15">
        <v>2272.8000000000002</v>
      </c>
      <c r="I48" s="10">
        <v>86</v>
      </c>
      <c r="J48" s="15">
        <f>'Форма 2'!I169</f>
        <v>2273928</v>
      </c>
      <c r="K48" s="15">
        <v>0</v>
      </c>
      <c r="L48" s="15">
        <v>0</v>
      </c>
      <c r="M48" s="15">
        <v>0</v>
      </c>
      <c r="N48" s="15">
        <f>J48-K48-L48-M48-O48</f>
        <v>2217615.7400000002</v>
      </c>
      <c r="O48" s="15">
        <v>56312.26</v>
      </c>
      <c r="P48" s="15">
        <f>J48/H48</f>
        <v>1000.5</v>
      </c>
      <c r="Q48" s="15">
        <f>'Форма 2'!K169</f>
        <v>1021.61</v>
      </c>
      <c r="R48" s="18">
        <v>2020</v>
      </c>
      <c r="S48" s="153">
        <v>1</v>
      </c>
    </row>
    <row r="49" spans="1:19" s="41" customFormat="1" ht="15.75" customHeight="1" x14ac:dyDescent="0.25">
      <c r="A49" s="126">
        <f t="shared" si="23"/>
        <v>17</v>
      </c>
      <c r="B49" s="126">
        <v>6143</v>
      </c>
      <c r="C49" s="142" t="s">
        <v>164</v>
      </c>
      <c r="D49" s="134">
        <v>1954</v>
      </c>
      <c r="E49" s="134" t="s">
        <v>117</v>
      </c>
      <c r="F49" s="134" t="s">
        <v>82</v>
      </c>
      <c r="G49" s="15">
        <v>2169.6999999999998</v>
      </c>
      <c r="H49" s="15">
        <v>1897.7</v>
      </c>
      <c r="I49" s="10">
        <v>76</v>
      </c>
      <c r="J49" s="15">
        <f>'Форма 2'!I173</f>
        <v>11699705.98</v>
      </c>
      <c r="K49" s="15">
        <v>0</v>
      </c>
      <c r="L49" s="15">
        <v>0</v>
      </c>
      <c r="M49" s="15">
        <v>0</v>
      </c>
      <c r="N49" s="15">
        <f t="shared" si="19"/>
        <v>11408514.890000001</v>
      </c>
      <c r="O49" s="15">
        <v>291191.09000000003</v>
      </c>
      <c r="P49" s="15">
        <f t="shared" si="15"/>
        <v>6165.2</v>
      </c>
      <c r="Q49" s="15">
        <f>'Форма 2'!K173</f>
        <v>9490</v>
      </c>
      <c r="R49" s="18">
        <v>2020</v>
      </c>
      <c r="S49" s="153">
        <v>1</v>
      </c>
    </row>
    <row r="50" spans="1:19" s="41" customFormat="1" ht="15.75" customHeight="1" x14ac:dyDescent="0.25">
      <c r="A50" s="126">
        <f t="shared" si="23"/>
        <v>18</v>
      </c>
      <c r="B50" s="126">
        <v>6152</v>
      </c>
      <c r="C50" s="142" t="s">
        <v>474</v>
      </c>
      <c r="D50" s="126">
        <v>1957</v>
      </c>
      <c r="E50" s="135" t="s">
        <v>68</v>
      </c>
      <c r="F50" s="134" t="s">
        <v>114</v>
      </c>
      <c r="G50" s="15">
        <v>2850.4</v>
      </c>
      <c r="H50" s="15">
        <v>2611.6</v>
      </c>
      <c r="I50" s="10">
        <v>115</v>
      </c>
      <c r="J50" s="15">
        <f>'Форма 2'!I178</f>
        <v>4992672.33</v>
      </c>
      <c r="K50" s="15">
        <v>0</v>
      </c>
      <c r="L50" s="15">
        <v>0</v>
      </c>
      <c r="M50" s="15">
        <v>0</v>
      </c>
      <c r="N50" s="15">
        <f>J50-K50-L50-M50-O50</f>
        <v>4845717.45</v>
      </c>
      <c r="O50" s="15">
        <v>146954.88</v>
      </c>
      <c r="P50" s="15">
        <f t="shared" si="15"/>
        <v>1911.73</v>
      </c>
      <c r="Q50" s="15">
        <f>'Форма 2'!K178</f>
        <v>5144</v>
      </c>
      <c r="R50" s="18">
        <v>2020</v>
      </c>
      <c r="S50" s="153">
        <v>1</v>
      </c>
    </row>
    <row r="51" spans="1:19" s="41" customFormat="1" ht="15.75" customHeight="1" x14ac:dyDescent="0.25">
      <c r="A51" s="126">
        <f t="shared" si="23"/>
        <v>19</v>
      </c>
      <c r="B51" s="14">
        <v>6176</v>
      </c>
      <c r="C51" s="142" t="s">
        <v>389</v>
      </c>
      <c r="D51" s="134">
        <v>1973</v>
      </c>
      <c r="E51" s="135" t="s">
        <v>68</v>
      </c>
      <c r="F51" s="134" t="s">
        <v>82</v>
      </c>
      <c r="G51" s="15">
        <v>14775.36</v>
      </c>
      <c r="H51" s="15">
        <v>10924.18</v>
      </c>
      <c r="I51" s="10">
        <v>413</v>
      </c>
      <c r="J51" s="15">
        <f>'Форма 2'!I181</f>
        <v>10747534.029999999</v>
      </c>
      <c r="K51" s="15">
        <v>0</v>
      </c>
      <c r="L51" s="15">
        <v>0</v>
      </c>
      <c r="M51" s="15">
        <v>0</v>
      </c>
      <c r="N51" s="15">
        <f>J51-K51-L51-M51-O51</f>
        <v>10549506.24</v>
      </c>
      <c r="O51" s="15">
        <v>198027.79</v>
      </c>
      <c r="P51" s="15">
        <f t="shared" si="15"/>
        <v>983.83</v>
      </c>
      <c r="Q51" s="15">
        <f>'Форма 2'!K181</f>
        <v>2492</v>
      </c>
      <c r="R51" s="18">
        <v>2020</v>
      </c>
      <c r="S51" s="153">
        <v>1</v>
      </c>
    </row>
    <row r="52" spans="1:19" s="41" customFormat="1" ht="15.75" customHeight="1" x14ac:dyDescent="0.25">
      <c r="A52" s="126">
        <f t="shared" ref="A52:A69" si="26">A51+1</f>
        <v>20</v>
      </c>
      <c r="B52" s="14">
        <v>6183</v>
      </c>
      <c r="C52" s="142" t="s">
        <v>390</v>
      </c>
      <c r="D52" s="134">
        <v>2009</v>
      </c>
      <c r="E52" s="135" t="s">
        <v>68</v>
      </c>
      <c r="F52" s="134" t="s">
        <v>83</v>
      </c>
      <c r="G52" s="15">
        <v>13239.2</v>
      </c>
      <c r="H52" s="15">
        <v>9992</v>
      </c>
      <c r="I52" s="10">
        <v>378</v>
      </c>
      <c r="J52" s="15">
        <f>'Форма 2'!I184</f>
        <v>6219893.0700000003</v>
      </c>
      <c r="K52" s="15">
        <v>0</v>
      </c>
      <c r="L52" s="15">
        <v>0</v>
      </c>
      <c r="M52" s="15">
        <v>0</v>
      </c>
      <c r="N52" s="15">
        <f>J52-K52-L52-M52-O52</f>
        <v>5998182.3700000001</v>
      </c>
      <c r="O52" s="15">
        <v>221710.7</v>
      </c>
      <c r="P52" s="15">
        <f t="shared" si="15"/>
        <v>622.49</v>
      </c>
      <c r="Q52" s="15">
        <f>'Форма 2'!K184</f>
        <v>2604</v>
      </c>
      <c r="R52" s="18">
        <v>2021</v>
      </c>
      <c r="S52" s="153">
        <v>1</v>
      </c>
    </row>
    <row r="53" spans="1:19" s="41" customFormat="1" ht="15.75" customHeight="1" x14ac:dyDescent="0.25">
      <c r="A53" s="126">
        <f t="shared" si="26"/>
        <v>21</v>
      </c>
      <c r="B53" s="126">
        <v>6184</v>
      </c>
      <c r="C53" s="142" t="s">
        <v>391</v>
      </c>
      <c r="D53" s="134">
        <v>2008</v>
      </c>
      <c r="E53" s="135" t="s">
        <v>68</v>
      </c>
      <c r="F53" s="134" t="s">
        <v>223</v>
      </c>
      <c r="G53" s="15">
        <v>13239.2</v>
      </c>
      <c r="H53" s="15">
        <v>10125.5</v>
      </c>
      <c r="I53" s="10">
        <v>378</v>
      </c>
      <c r="J53" s="15">
        <f>'Форма 2'!I187</f>
        <v>5490887.7699999996</v>
      </c>
      <c r="K53" s="15">
        <v>0</v>
      </c>
      <c r="L53" s="15">
        <v>0</v>
      </c>
      <c r="M53" s="15">
        <v>0</v>
      </c>
      <c r="N53" s="15">
        <f>J53-K53-L53-M53-O53</f>
        <v>5354209.2300000004</v>
      </c>
      <c r="O53" s="15">
        <v>136678.54</v>
      </c>
      <c r="P53" s="15">
        <f t="shared" si="15"/>
        <v>542.28</v>
      </c>
      <c r="Q53" s="15">
        <f>'Форма 2'!K187</f>
        <v>2440</v>
      </c>
      <c r="R53" s="18">
        <v>2021</v>
      </c>
      <c r="S53" s="153">
        <v>1</v>
      </c>
    </row>
    <row r="54" spans="1:19" s="41" customFormat="1" ht="15.75" customHeight="1" x14ac:dyDescent="0.25">
      <c r="A54" s="126">
        <f t="shared" si="26"/>
        <v>22</v>
      </c>
      <c r="B54" s="126">
        <v>6193</v>
      </c>
      <c r="C54" s="142" t="s">
        <v>576</v>
      </c>
      <c r="D54" s="126">
        <v>1990</v>
      </c>
      <c r="E54" s="135" t="s">
        <v>86</v>
      </c>
      <c r="F54" s="134" t="s">
        <v>81</v>
      </c>
      <c r="G54" s="15">
        <v>12387.7</v>
      </c>
      <c r="H54" s="15">
        <v>11067.6</v>
      </c>
      <c r="I54" s="10">
        <v>418</v>
      </c>
      <c r="J54" s="15">
        <f>'Форма 2'!I189</f>
        <v>32281</v>
      </c>
      <c r="K54" s="15">
        <v>0</v>
      </c>
      <c r="L54" s="15">
        <v>0</v>
      </c>
      <c r="M54" s="15">
        <v>0</v>
      </c>
      <c r="N54" s="15">
        <f t="shared" ref="N54" si="27">J54-K54-L54-M54-O54</f>
        <v>32281</v>
      </c>
      <c r="O54" s="15">
        <v>0</v>
      </c>
      <c r="P54" s="15">
        <f>J54/H54</f>
        <v>2.92</v>
      </c>
      <c r="Q54" s="15">
        <f>'Форма 2'!K189</f>
        <v>2.92</v>
      </c>
      <c r="R54" s="18">
        <v>2020</v>
      </c>
      <c r="S54" s="153">
        <v>1</v>
      </c>
    </row>
    <row r="55" spans="1:19" s="154" customFormat="1" ht="15.75" customHeight="1" x14ac:dyDescent="0.25">
      <c r="A55" s="126">
        <f>A54+1</f>
        <v>23</v>
      </c>
      <c r="B55" s="126">
        <v>6237</v>
      </c>
      <c r="C55" s="142" t="s">
        <v>116</v>
      </c>
      <c r="D55" s="134">
        <v>1953</v>
      </c>
      <c r="E55" s="135" t="s">
        <v>117</v>
      </c>
      <c r="F55" s="134" t="s">
        <v>82</v>
      </c>
      <c r="G55" s="15">
        <v>588.70000000000005</v>
      </c>
      <c r="H55" s="19">
        <v>542.70000000000005</v>
      </c>
      <c r="I55" s="10">
        <v>25</v>
      </c>
      <c r="J55" s="15">
        <f>'Форма 2'!I191</f>
        <v>4339739.6900000004</v>
      </c>
      <c r="K55" s="15">
        <v>0</v>
      </c>
      <c r="L55" s="15">
        <v>0</v>
      </c>
      <c r="M55" s="15">
        <v>0</v>
      </c>
      <c r="N55" s="15">
        <f t="shared" si="19"/>
        <v>4232269.04</v>
      </c>
      <c r="O55" s="15">
        <v>107470.65</v>
      </c>
      <c r="P55" s="15">
        <f t="shared" si="15"/>
        <v>7996.57</v>
      </c>
      <c r="Q55" s="15">
        <f>'Форма 2'!K191</f>
        <v>12034</v>
      </c>
      <c r="R55" s="18">
        <v>2020</v>
      </c>
      <c r="S55" s="153">
        <v>1</v>
      </c>
    </row>
    <row r="56" spans="1:19" s="41" customFormat="1" ht="15.75" customHeight="1" x14ac:dyDescent="0.25">
      <c r="A56" s="126">
        <f t="shared" si="26"/>
        <v>24</v>
      </c>
      <c r="B56" s="126">
        <v>6273</v>
      </c>
      <c r="C56" s="142" t="s">
        <v>165</v>
      </c>
      <c r="D56" s="134">
        <v>1954</v>
      </c>
      <c r="E56" s="134" t="s">
        <v>68</v>
      </c>
      <c r="F56" s="134" t="s">
        <v>82</v>
      </c>
      <c r="G56" s="15">
        <v>1891.2</v>
      </c>
      <c r="H56" s="15">
        <v>1500.8</v>
      </c>
      <c r="I56" s="10">
        <v>76</v>
      </c>
      <c r="J56" s="15">
        <f>'Форма 2'!I196</f>
        <v>5106318.45</v>
      </c>
      <c r="K56" s="15">
        <v>0</v>
      </c>
      <c r="L56" s="15">
        <v>0</v>
      </c>
      <c r="M56" s="15">
        <v>0</v>
      </c>
      <c r="N56" s="15">
        <f t="shared" si="19"/>
        <v>4934231.37</v>
      </c>
      <c r="O56" s="15">
        <v>172087.08</v>
      </c>
      <c r="P56" s="15">
        <f t="shared" si="15"/>
        <v>3402.4</v>
      </c>
      <c r="Q56" s="15">
        <f>'Форма 2'!K196</f>
        <v>5144</v>
      </c>
      <c r="R56" s="18">
        <v>2020</v>
      </c>
      <c r="S56" s="153">
        <v>1</v>
      </c>
    </row>
    <row r="57" spans="1:19" s="41" customFormat="1" ht="15.75" customHeight="1" x14ac:dyDescent="0.25">
      <c r="A57" s="126">
        <f>A56+1</f>
        <v>25</v>
      </c>
      <c r="B57" s="126">
        <v>6324</v>
      </c>
      <c r="C57" s="142" t="s">
        <v>544</v>
      </c>
      <c r="D57" s="126">
        <v>1994</v>
      </c>
      <c r="E57" s="134" t="s">
        <v>86</v>
      </c>
      <c r="F57" s="134" t="s">
        <v>87</v>
      </c>
      <c r="G57" s="15">
        <v>7539.3</v>
      </c>
      <c r="H57" s="15">
        <v>6717.2</v>
      </c>
      <c r="I57" s="10">
        <v>254</v>
      </c>
      <c r="J57" s="15">
        <f>'Форма 2'!I199</f>
        <v>6821784</v>
      </c>
      <c r="K57" s="15">
        <v>0</v>
      </c>
      <c r="L57" s="15">
        <v>0</v>
      </c>
      <c r="M57" s="15">
        <v>0</v>
      </c>
      <c r="N57" s="15">
        <f>J57-K57-L57-M57-O57</f>
        <v>6652847.2300000004</v>
      </c>
      <c r="O57" s="15">
        <v>168936.77</v>
      </c>
      <c r="P57" s="15">
        <f>J57/H57</f>
        <v>1015.57</v>
      </c>
      <c r="Q57" s="15">
        <f>'Форма 2'!K199</f>
        <v>1037</v>
      </c>
      <c r="R57" s="18">
        <v>2020</v>
      </c>
      <c r="S57" s="153">
        <v>1</v>
      </c>
    </row>
    <row r="58" spans="1:19" s="41" customFormat="1" ht="15.75" customHeight="1" x14ac:dyDescent="0.25">
      <c r="A58" s="126">
        <f t="shared" ref="A58:A60" si="28">A57+1</f>
        <v>26</v>
      </c>
      <c r="B58" s="126">
        <v>6330</v>
      </c>
      <c r="C58" s="142" t="s">
        <v>577</v>
      </c>
      <c r="D58" s="126">
        <v>1996</v>
      </c>
      <c r="E58" s="134" t="s">
        <v>86</v>
      </c>
      <c r="F58" s="134" t="s">
        <v>81</v>
      </c>
      <c r="G58" s="15">
        <v>11732.1</v>
      </c>
      <c r="H58" s="15">
        <v>10514.2</v>
      </c>
      <c r="I58" s="10">
        <v>397</v>
      </c>
      <c r="J58" s="15">
        <f>'Форма 2'!I209</f>
        <v>64562</v>
      </c>
      <c r="K58" s="15">
        <v>0</v>
      </c>
      <c r="L58" s="15">
        <v>0</v>
      </c>
      <c r="M58" s="15">
        <v>0</v>
      </c>
      <c r="N58" s="15">
        <f>J58-K58-L58-M58-O58</f>
        <v>64562</v>
      </c>
      <c r="O58" s="15">
        <v>0</v>
      </c>
      <c r="P58" s="15">
        <f>J58/H58</f>
        <v>6.14</v>
      </c>
      <c r="Q58" s="15">
        <f>'Форма 2'!K209</f>
        <v>6.14</v>
      </c>
      <c r="R58" s="18">
        <v>2020</v>
      </c>
      <c r="S58" s="153">
        <v>1</v>
      </c>
    </row>
    <row r="59" spans="1:19" s="41" customFormat="1" ht="15.75" customHeight="1" x14ac:dyDescent="0.25">
      <c r="A59" s="126">
        <f t="shared" si="28"/>
        <v>27</v>
      </c>
      <c r="B59" s="126">
        <v>6364</v>
      </c>
      <c r="C59" s="142" t="s">
        <v>392</v>
      </c>
      <c r="D59" s="134">
        <v>1967</v>
      </c>
      <c r="E59" s="135" t="s">
        <v>68</v>
      </c>
      <c r="F59" s="134" t="s">
        <v>83</v>
      </c>
      <c r="G59" s="15">
        <v>3412.3</v>
      </c>
      <c r="H59" s="15">
        <v>2466.5</v>
      </c>
      <c r="I59" s="10">
        <v>93</v>
      </c>
      <c r="J59" s="15">
        <f>'Форма 2'!I212</f>
        <v>2640798.1800000002</v>
      </c>
      <c r="K59" s="15">
        <v>0</v>
      </c>
      <c r="L59" s="15">
        <v>0</v>
      </c>
      <c r="M59" s="15">
        <v>0</v>
      </c>
      <c r="N59" s="15">
        <f t="shared" si="19"/>
        <v>2635997.65</v>
      </c>
      <c r="O59" s="15">
        <v>4800.53</v>
      </c>
      <c r="P59" s="15">
        <f t="shared" si="15"/>
        <v>1070.67</v>
      </c>
      <c r="Q59" s="15">
        <f>'Форма 2'!K212</f>
        <v>3966</v>
      </c>
      <c r="R59" s="18">
        <v>2021</v>
      </c>
      <c r="S59" s="153">
        <v>1</v>
      </c>
    </row>
    <row r="60" spans="1:19" s="41" customFormat="1" ht="15.75" customHeight="1" x14ac:dyDescent="0.25">
      <c r="A60" s="126">
        <f t="shared" si="28"/>
        <v>28</v>
      </c>
      <c r="B60" s="126">
        <v>6373</v>
      </c>
      <c r="C60" s="142" t="s">
        <v>578</v>
      </c>
      <c r="D60" s="126">
        <v>1990</v>
      </c>
      <c r="E60" s="135" t="s">
        <v>86</v>
      </c>
      <c r="F60" s="134" t="s">
        <v>81</v>
      </c>
      <c r="G60" s="15">
        <v>11155.32</v>
      </c>
      <c r="H60" s="15">
        <v>8155.3</v>
      </c>
      <c r="I60" s="10">
        <v>308</v>
      </c>
      <c r="J60" s="15">
        <f>'Форма 2'!I215</f>
        <v>129124</v>
      </c>
      <c r="K60" s="15">
        <v>0</v>
      </c>
      <c r="L60" s="15">
        <v>0</v>
      </c>
      <c r="M60" s="15">
        <v>0</v>
      </c>
      <c r="N60" s="15">
        <f>J60-K60-L60-M60-O60</f>
        <v>129124</v>
      </c>
      <c r="O60" s="15">
        <v>0</v>
      </c>
      <c r="P60" s="15">
        <f>J60/H60</f>
        <v>15.83</v>
      </c>
      <c r="Q60" s="15">
        <f>'Форма 2'!K215</f>
        <v>15.83</v>
      </c>
      <c r="R60" s="18">
        <v>2020</v>
      </c>
      <c r="S60" s="153">
        <v>1</v>
      </c>
    </row>
    <row r="61" spans="1:19" s="41" customFormat="1" ht="15.75" customHeight="1" x14ac:dyDescent="0.25">
      <c r="A61" s="126">
        <f>A60+1</f>
        <v>29</v>
      </c>
      <c r="B61" s="126">
        <v>6374</v>
      </c>
      <c r="C61" s="142" t="s">
        <v>475</v>
      </c>
      <c r="D61" s="134" t="s">
        <v>483</v>
      </c>
      <c r="E61" s="135" t="s">
        <v>86</v>
      </c>
      <c r="F61" s="134" t="s">
        <v>83</v>
      </c>
      <c r="G61" s="15">
        <v>12629.25</v>
      </c>
      <c r="H61" s="15">
        <v>9480</v>
      </c>
      <c r="I61" s="10">
        <v>358</v>
      </c>
      <c r="J61" s="15">
        <f>'Форма 2'!I220</f>
        <v>3523875.5</v>
      </c>
      <c r="K61" s="15">
        <v>0</v>
      </c>
      <c r="L61" s="15">
        <v>0</v>
      </c>
      <c r="M61" s="15">
        <v>0</v>
      </c>
      <c r="N61" s="15">
        <f>J61-K61-L61-M61-O61</f>
        <v>3242314.22</v>
      </c>
      <c r="O61" s="15">
        <v>281561.28000000003</v>
      </c>
      <c r="P61" s="15">
        <f t="shared" si="15"/>
        <v>371.72</v>
      </c>
      <c r="Q61" s="15">
        <f>'Форма 2'!K220</f>
        <v>1199.33</v>
      </c>
      <c r="R61" s="18">
        <v>2021</v>
      </c>
      <c r="S61" s="153">
        <v>1</v>
      </c>
    </row>
    <row r="62" spans="1:19" s="41" customFormat="1" ht="15.75" customHeight="1" x14ac:dyDescent="0.25">
      <c r="A62" s="126">
        <f t="shared" si="26"/>
        <v>30</v>
      </c>
      <c r="B62" s="126">
        <v>6387</v>
      </c>
      <c r="C62" s="142" t="s">
        <v>476</v>
      </c>
      <c r="D62" s="126">
        <v>1955</v>
      </c>
      <c r="E62" s="135" t="s">
        <v>68</v>
      </c>
      <c r="F62" s="134" t="s">
        <v>83</v>
      </c>
      <c r="G62" s="15">
        <v>1507</v>
      </c>
      <c r="H62" s="15">
        <v>880</v>
      </c>
      <c r="I62" s="10">
        <v>33</v>
      </c>
      <c r="J62" s="15">
        <f>'Форма 2'!I231</f>
        <v>1789488.06</v>
      </c>
      <c r="K62" s="15">
        <v>0</v>
      </c>
      <c r="L62" s="15">
        <v>0</v>
      </c>
      <c r="M62" s="15">
        <v>0</v>
      </c>
      <c r="N62" s="15">
        <f>J62-K62-L62-M62-O62</f>
        <v>1734612.13</v>
      </c>
      <c r="O62" s="15">
        <v>54875.93</v>
      </c>
      <c r="P62" s="15">
        <f>J62/H62</f>
        <v>2033.51</v>
      </c>
      <c r="Q62" s="15">
        <f>'Форма 2'!K231</f>
        <v>7787</v>
      </c>
      <c r="R62" s="18">
        <v>2021</v>
      </c>
      <c r="S62" s="153">
        <v>1</v>
      </c>
    </row>
    <row r="63" spans="1:19" s="41" customFormat="1" ht="15.75" customHeight="1" x14ac:dyDescent="0.25">
      <c r="A63" s="126">
        <f>A62+1</f>
        <v>31</v>
      </c>
      <c r="B63" s="126">
        <v>6407</v>
      </c>
      <c r="C63" s="142" t="s">
        <v>184</v>
      </c>
      <c r="D63" s="134">
        <v>1978</v>
      </c>
      <c r="E63" s="134" t="s">
        <v>68</v>
      </c>
      <c r="F63" s="134" t="s">
        <v>82</v>
      </c>
      <c r="G63" s="15">
        <v>3604.6</v>
      </c>
      <c r="H63" s="15">
        <v>2722</v>
      </c>
      <c r="I63" s="10">
        <v>103</v>
      </c>
      <c r="J63" s="15">
        <f>'Форма 2'!I234</f>
        <v>9222458.5</v>
      </c>
      <c r="K63" s="15">
        <v>0</v>
      </c>
      <c r="L63" s="15">
        <v>0</v>
      </c>
      <c r="M63" s="15">
        <v>0</v>
      </c>
      <c r="N63" s="15">
        <f t="shared" si="19"/>
        <v>8966508.6199999992</v>
      </c>
      <c r="O63" s="15">
        <v>255949.88</v>
      </c>
      <c r="P63" s="15">
        <f t="shared" si="15"/>
        <v>3388.12</v>
      </c>
      <c r="Q63" s="15">
        <f>'Форма 2'!K234</f>
        <v>3878</v>
      </c>
      <c r="R63" s="18">
        <v>2020</v>
      </c>
      <c r="S63" s="153">
        <v>1</v>
      </c>
    </row>
    <row r="64" spans="1:19" s="41" customFormat="1" ht="15.75" customHeight="1" x14ac:dyDescent="0.25">
      <c r="A64" s="126">
        <f t="shared" ref="A64" si="29">A63+1</f>
        <v>32</v>
      </c>
      <c r="B64" s="126">
        <v>6408</v>
      </c>
      <c r="C64" s="142" t="s">
        <v>579</v>
      </c>
      <c r="D64" s="126">
        <v>1994</v>
      </c>
      <c r="E64" s="134" t="s">
        <v>86</v>
      </c>
      <c r="F64" s="134" t="s">
        <v>81</v>
      </c>
      <c r="G64" s="15">
        <v>4545.7</v>
      </c>
      <c r="H64" s="15">
        <v>3930.3</v>
      </c>
      <c r="I64" s="10">
        <v>102</v>
      </c>
      <c r="J64" s="15">
        <f>'Форма 2'!I237</f>
        <v>64562</v>
      </c>
      <c r="K64" s="15">
        <v>0</v>
      </c>
      <c r="L64" s="15">
        <v>0</v>
      </c>
      <c r="M64" s="15">
        <v>0</v>
      </c>
      <c r="N64" s="15">
        <f t="shared" si="19"/>
        <v>64562</v>
      </c>
      <c r="O64" s="15">
        <v>0</v>
      </c>
      <c r="P64" s="15">
        <f>J64/H64</f>
        <v>16.43</v>
      </c>
      <c r="Q64" s="15">
        <f>'Форма 2'!K237</f>
        <v>16.43</v>
      </c>
      <c r="R64" s="18">
        <v>2020</v>
      </c>
      <c r="S64" s="153">
        <v>1</v>
      </c>
    </row>
    <row r="65" spans="1:19" s="41" customFormat="1" ht="15.75" customHeight="1" x14ac:dyDescent="0.25">
      <c r="A65" s="126">
        <f>A64+1</f>
        <v>33</v>
      </c>
      <c r="B65" s="126">
        <v>6413</v>
      </c>
      <c r="C65" s="142" t="s">
        <v>185</v>
      </c>
      <c r="D65" s="134">
        <v>1980</v>
      </c>
      <c r="E65" s="134" t="s">
        <v>68</v>
      </c>
      <c r="F65" s="134" t="s">
        <v>82</v>
      </c>
      <c r="G65" s="15">
        <v>11003.22</v>
      </c>
      <c r="H65" s="15">
        <v>8338.86</v>
      </c>
      <c r="I65" s="10">
        <v>315</v>
      </c>
      <c r="J65" s="15">
        <f>'Форма 2'!I240</f>
        <v>24901647.77</v>
      </c>
      <c r="K65" s="15">
        <v>0</v>
      </c>
      <c r="L65" s="15">
        <v>0</v>
      </c>
      <c r="M65" s="15">
        <v>0</v>
      </c>
      <c r="N65" s="15">
        <f t="shared" si="19"/>
        <v>24117544.100000001</v>
      </c>
      <c r="O65" s="15">
        <v>784103.67</v>
      </c>
      <c r="P65" s="15">
        <f t="shared" si="15"/>
        <v>2986.22</v>
      </c>
      <c r="Q65" s="15">
        <f>'Форма 2'!K240</f>
        <v>3878</v>
      </c>
      <c r="R65" s="18">
        <v>2020</v>
      </c>
      <c r="S65" s="153">
        <v>1</v>
      </c>
    </row>
    <row r="66" spans="1:19" s="41" customFormat="1" ht="15.75" customHeight="1" x14ac:dyDescent="0.25">
      <c r="A66" s="126">
        <f t="shared" si="26"/>
        <v>34</v>
      </c>
      <c r="B66" s="126">
        <v>8214</v>
      </c>
      <c r="C66" s="142" t="s">
        <v>258</v>
      </c>
      <c r="D66" s="134">
        <v>2010</v>
      </c>
      <c r="E66" s="134" t="s">
        <v>68</v>
      </c>
      <c r="F66" s="134" t="s">
        <v>82</v>
      </c>
      <c r="G66" s="15">
        <v>10767.5</v>
      </c>
      <c r="H66" s="15">
        <v>7976.7</v>
      </c>
      <c r="I66" s="10">
        <v>254</v>
      </c>
      <c r="J66" s="15">
        <f>'Форма 2'!I243</f>
        <v>5801329</v>
      </c>
      <c r="K66" s="15">
        <v>0</v>
      </c>
      <c r="L66" s="15">
        <v>0</v>
      </c>
      <c r="M66" s="15">
        <v>0</v>
      </c>
      <c r="N66" s="15">
        <f t="shared" si="19"/>
        <v>5736350.8200000003</v>
      </c>
      <c r="O66" s="15">
        <v>64978.18</v>
      </c>
      <c r="P66" s="15">
        <f t="shared" si="15"/>
        <v>727.28</v>
      </c>
      <c r="Q66" s="15">
        <f>'Форма 2'!K243</f>
        <v>3878</v>
      </c>
      <c r="R66" s="18">
        <v>2020</v>
      </c>
      <c r="S66" s="153">
        <v>1</v>
      </c>
    </row>
    <row r="67" spans="1:19" s="41" customFormat="1" ht="15.75" customHeight="1" x14ac:dyDescent="0.25">
      <c r="A67" s="126">
        <f t="shared" si="26"/>
        <v>35</v>
      </c>
      <c r="B67" s="126">
        <v>6480</v>
      </c>
      <c r="C67" s="142" t="s">
        <v>118</v>
      </c>
      <c r="D67" s="134">
        <v>1954</v>
      </c>
      <c r="E67" s="134" t="s">
        <v>117</v>
      </c>
      <c r="F67" s="134" t="s">
        <v>82</v>
      </c>
      <c r="G67" s="15">
        <v>434.6</v>
      </c>
      <c r="H67" s="15">
        <v>402.4</v>
      </c>
      <c r="I67" s="10">
        <v>24</v>
      </c>
      <c r="J67" s="15">
        <f>'Форма 2'!I246</f>
        <v>3434025.56</v>
      </c>
      <c r="K67" s="15">
        <v>0</v>
      </c>
      <c r="L67" s="15">
        <v>0</v>
      </c>
      <c r="M67" s="15">
        <v>0</v>
      </c>
      <c r="N67" s="15">
        <f t="shared" si="19"/>
        <v>3348556.95</v>
      </c>
      <c r="O67" s="15">
        <v>85468.61</v>
      </c>
      <c r="P67" s="15">
        <f t="shared" si="15"/>
        <v>8533.86</v>
      </c>
      <c r="Q67" s="15">
        <f>'Форма 2'!K246</f>
        <v>12034</v>
      </c>
      <c r="R67" s="18">
        <v>2020</v>
      </c>
      <c r="S67" s="153">
        <v>1</v>
      </c>
    </row>
    <row r="68" spans="1:19" s="41" customFormat="1" ht="15.75" customHeight="1" x14ac:dyDescent="0.25">
      <c r="A68" s="126">
        <f t="shared" si="26"/>
        <v>36</v>
      </c>
      <c r="B68" s="126">
        <v>6490</v>
      </c>
      <c r="C68" s="142" t="s">
        <v>166</v>
      </c>
      <c r="D68" s="134">
        <v>1966</v>
      </c>
      <c r="E68" s="134" t="s">
        <v>68</v>
      </c>
      <c r="F68" s="134" t="s">
        <v>82</v>
      </c>
      <c r="G68" s="15">
        <v>3827.5</v>
      </c>
      <c r="H68" s="15">
        <v>3518.3</v>
      </c>
      <c r="I68" s="10">
        <v>190</v>
      </c>
      <c r="J68" s="15">
        <f>'Форма 2'!I251</f>
        <v>9749463.25</v>
      </c>
      <c r="K68" s="15">
        <v>0</v>
      </c>
      <c r="L68" s="15">
        <v>0</v>
      </c>
      <c r="M68" s="15">
        <v>0</v>
      </c>
      <c r="N68" s="15">
        <f t="shared" si="19"/>
        <v>9418637.2300000004</v>
      </c>
      <c r="O68" s="15">
        <v>330826.02</v>
      </c>
      <c r="P68" s="15">
        <f t="shared" si="15"/>
        <v>2771.07</v>
      </c>
      <c r="Q68" s="15">
        <f>'Форма 2'!K251</f>
        <v>3878</v>
      </c>
      <c r="R68" s="18">
        <v>2020</v>
      </c>
      <c r="S68" s="153">
        <v>1</v>
      </c>
    </row>
    <row r="69" spans="1:19" s="41" customFormat="1" ht="15.75" customHeight="1" x14ac:dyDescent="0.25">
      <c r="A69" s="126">
        <f t="shared" si="26"/>
        <v>37</v>
      </c>
      <c r="B69" s="126">
        <v>6550</v>
      </c>
      <c r="C69" s="142" t="s">
        <v>477</v>
      </c>
      <c r="D69" s="126">
        <v>1957</v>
      </c>
      <c r="E69" s="134" t="s">
        <v>484</v>
      </c>
      <c r="F69" s="134" t="s">
        <v>82</v>
      </c>
      <c r="G69" s="15">
        <v>531.6</v>
      </c>
      <c r="H69" s="15">
        <v>485.6</v>
      </c>
      <c r="I69" s="10">
        <v>27</v>
      </c>
      <c r="J69" s="15">
        <f>'Форма 2'!I254</f>
        <v>916364.21</v>
      </c>
      <c r="K69" s="15">
        <v>0</v>
      </c>
      <c r="L69" s="15">
        <v>0</v>
      </c>
      <c r="M69" s="15">
        <v>0</v>
      </c>
      <c r="N69" s="15">
        <f>J69-K69-L69-M69-O69</f>
        <v>893671.08</v>
      </c>
      <c r="O69" s="15">
        <v>22693.13</v>
      </c>
      <c r="P69" s="15">
        <f t="shared" si="15"/>
        <v>1887.08</v>
      </c>
      <c r="Q69" s="15">
        <f>'Форма 2'!K254</f>
        <v>5668</v>
      </c>
      <c r="R69" s="18">
        <v>2020</v>
      </c>
      <c r="S69" s="153">
        <v>1</v>
      </c>
    </row>
    <row r="70" spans="1:19" s="41" customFormat="1" ht="15.75" customHeight="1" x14ac:dyDescent="0.25">
      <c r="A70" s="126">
        <f>A69+1</f>
        <v>38</v>
      </c>
      <c r="B70" s="126">
        <v>6510</v>
      </c>
      <c r="C70" s="142" t="s">
        <v>393</v>
      </c>
      <c r="D70" s="134">
        <v>1930</v>
      </c>
      <c r="E70" s="134" t="s">
        <v>158</v>
      </c>
      <c r="F70" s="134" t="s">
        <v>83</v>
      </c>
      <c r="G70" s="15">
        <v>502.9</v>
      </c>
      <c r="H70" s="15">
        <v>461.9</v>
      </c>
      <c r="I70" s="10">
        <v>17</v>
      </c>
      <c r="J70" s="15">
        <f>'Форма 2'!I257</f>
        <v>282861.38</v>
      </c>
      <c r="K70" s="15">
        <v>0</v>
      </c>
      <c r="L70" s="15">
        <v>0</v>
      </c>
      <c r="M70" s="15">
        <v>0</v>
      </c>
      <c r="N70" s="15">
        <f>J70-K70-L70-M70-O70</f>
        <v>269115.84999999998</v>
      </c>
      <c r="O70" s="15">
        <v>13745.53</v>
      </c>
      <c r="P70" s="15">
        <f t="shared" si="15"/>
        <v>612.39</v>
      </c>
      <c r="Q70" s="15">
        <f>'Форма 2'!K257</f>
        <v>3603</v>
      </c>
      <c r="R70" s="18">
        <v>2021</v>
      </c>
      <c r="S70" s="153">
        <v>1</v>
      </c>
    </row>
    <row r="71" spans="1:19" s="41" customFormat="1" ht="15.75" customHeight="1" x14ac:dyDescent="0.25">
      <c r="A71" s="175" t="s">
        <v>41</v>
      </c>
      <c r="B71" s="175"/>
      <c r="C71" s="175"/>
      <c r="D71" s="5" t="s">
        <v>13</v>
      </c>
      <c r="E71" s="15" t="s">
        <v>13</v>
      </c>
      <c r="F71" s="15" t="s">
        <v>13</v>
      </c>
      <c r="G71" s="15">
        <f>SUM(G72:G85)</f>
        <v>81961.7</v>
      </c>
      <c r="H71" s="15">
        <f>SUM(H72:H85)</f>
        <v>66514.399999999994</v>
      </c>
      <c r="I71" s="10">
        <f t="shared" ref="H71:O71" si="30">SUM(I72:I85)</f>
        <v>2870</v>
      </c>
      <c r="J71" s="15">
        <f t="shared" si="30"/>
        <v>86575870.430000007</v>
      </c>
      <c r="K71" s="15">
        <f t="shared" si="30"/>
        <v>0</v>
      </c>
      <c r="L71" s="15">
        <f t="shared" si="30"/>
        <v>0</v>
      </c>
      <c r="M71" s="15">
        <f t="shared" si="30"/>
        <v>0</v>
      </c>
      <c r="N71" s="15">
        <f t="shared" si="30"/>
        <v>84887956.269999996</v>
      </c>
      <c r="O71" s="15">
        <f t="shared" si="30"/>
        <v>1687914.16</v>
      </c>
      <c r="P71" s="15" t="s">
        <v>13</v>
      </c>
      <c r="Q71" s="15" t="s">
        <v>13</v>
      </c>
      <c r="R71" s="15" t="s">
        <v>13</v>
      </c>
      <c r="S71" s="10" t="s">
        <v>13</v>
      </c>
    </row>
    <row r="72" spans="1:19" s="41" customFormat="1" ht="15.75" customHeight="1" x14ac:dyDescent="0.25">
      <c r="A72" s="20">
        <v>1</v>
      </c>
      <c r="B72" s="134">
        <v>5108</v>
      </c>
      <c r="C72" s="150" t="s">
        <v>235</v>
      </c>
      <c r="D72" s="137">
        <v>1973</v>
      </c>
      <c r="E72" s="137" t="s">
        <v>107</v>
      </c>
      <c r="F72" s="22" t="s">
        <v>82</v>
      </c>
      <c r="G72" s="25">
        <v>2778.4</v>
      </c>
      <c r="H72" s="15">
        <v>2556</v>
      </c>
      <c r="I72" s="349">
        <v>159</v>
      </c>
      <c r="J72" s="15">
        <f>'Форма 2'!I263</f>
        <v>7192958.3600000003</v>
      </c>
      <c r="K72" s="350">
        <v>0</v>
      </c>
      <c r="L72" s="350">
        <v>0</v>
      </c>
      <c r="M72" s="350">
        <v>0</v>
      </c>
      <c r="N72" s="15">
        <f t="shared" ref="N72:N83" si="31">J72-K72-L72-M72-O72</f>
        <v>7061120.6600000001</v>
      </c>
      <c r="O72" s="15">
        <v>131837.70000000001</v>
      </c>
      <c r="P72" s="15">
        <f t="shared" ref="P72:P83" si="32">J72/H72</f>
        <v>2814.15</v>
      </c>
      <c r="Q72" s="15">
        <f>'Форма 2'!K263</f>
        <v>4813</v>
      </c>
      <c r="R72" s="351" t="s">
        <v>290</v>
      </c>
      <c r="S72" s="10">
        <v>1</v>
      </c>
    </row>
    <row r="73" spans="1:19" s="41" customFormat="1" ht="15.75" customHeight="1" x14ac:dyDescent="0.25">
      <c r="A73" s="20">
        <f t="shared" ref="A73:A83" si="33">A72+1</f>
        <v>2</v>
      </c>
      <c r="B73" s="133">
        <v>5114</v>
      </c>
      <c r="C73" s="150" t="s">
        <v>236</v>
      </c>
      <c r="D73" s="137">
        <v>1973</v>
      </c>
      <c r="E73" s="137" t="s">
        <v>107</v>
      </c>
      <c r="F73" s="22" t="s">
        <v>82</v>
      </c>
      <c r="G73" s="25">
        <v>1002.9</v>
      </c>
      <c r="H73" s="15">
        <v>909.6</v>
      </c>
      <c r="I73" s="349">
        <v>56</v>
      </c>
      <c r="J73" s="15">
        <f>'Форма 2'!I272</f>
        <v>3188907.56</v>
      </c>
      <c r="K73" s="350">
        <v>0</v>
      </c>
      <c r="L73" s="350">
        <v>0</v>
      </c>
      <c r="M73" s="350">
        <v>0</v>
      </c>
      <c r="N73" s="15">
        <f t="shared" si="31"/>
        <v>3130458.97</v>
      </c>
      <c r="O73" s="15">
        <v>58448.59</v>
      </c>
      <c r="P73" s="15">
        <f t="shared" si="32"/>
        <v>3505.84</v>
      </c>
      <c r="Q73" s="15">
        <f>'Форма 2'!K272</f>
        <v>4813</v>
      </c>
      <c r="R73" s="351" t="s">
        <v>290</v>
      </c>
      <c r="S73" s="10">
        <v>1</v>
      </c>
    </row>
    <row r="74" spans="1:19" s="41" customFormat="1" ht="15.75" customHeight="1" x14ac:dyDescent="0.25">
      <c r="A74" s="20">
        <f t="shared" si="33"/>
        <v>3</v>
      </c>
      <c r="B74" s="133">
        <v>5117</v>
      </c>
      <c r="C74" s="150" t="s">
        <v>344</v>
      </c>
      <c r="D74" s="137">
        <v>1976</v>
      </c>
      <c r="E74" s="137" t="s">
        <v>68</v>
      </c>
      <c r="F74" s="137" t="s">
        <v>81</v>
      </c>
      <c r="G74" s="25">
        <v>2810.3</v>
      </c>
      <c r="H74" s="15">
        <v>2307.3000000000002</v>
      </c>
      <c r="I74" s="349">
        <v>87</v>
      </c>
      <c r="J74" s="15">
        <f>'Форма 2'!I281</f>
        <v>385319.1</v>
      </c>
      <c r="K74" s="350">
        <v>0</v>
      </c>
      <c r="L74" s="350">
        <v>0</v>
      </c>
      <c r="M74" s="350">
        <v>0</v>
      </c>
      <c r="N74" s="15">
        <f t="shared" si="31"/>
        <v>378256.69</v>
      </c>
      <c r="O74" s="15">
        <v>7062.41</v>
      </c>
      <c r="P74" s="15">
        <f t="shared" si="32"/>
        <v>167</v>
      </c>
      <c r="Q74" s="15">
        <f>'Форма 2'!K281</f>
        <v>167</v>
      </c>
      <c r="R74" s="351" t="s">
        <v>290</v>
      </c>
      <c r="S74" s="10">
        <v>1</v>
      </c>
    </row>
    <row r="75" spans="1:19" s="41" customFormat="1" ht="15.75" customHeight="1" x14ac:dyDescent="0.25">
      <c r="A75" s="20">
        <f t="shared" si="33"/>
        <v>4</v>
      </c>
      <c r="B75" s="139">
        <v>5127</v>
      </c>
      <c r="C75" s="150" t="s">
        <v>237</v>
      </c>
      <c r="D75" s="137">
        <v>1974</v>
      </c>
      <c r="E75" s="137" t="s">
        <v>107</v>
      </c>
      <c r="F75" s="22" t="s">
        <v>82</v>
      </c>
      <c r="G75" s="25">
        <v>3744.4</v>
      </c>
      <c r="H75" s="15">
        <v>3273.7</v>
      </c>
      <c r="I75" s="349">
        <v>187</v>
      </c>
      <c r="J75" s="15">
        <f>'Форма 2'!I283</f>
        <v>9518795.5299999993</v>
      </c>
      <c r="K75" s="350">
        <v>0</v>
      </c>
      <c r="L75" s="350">
        <v>0</v>
      </c>
      <c r="M75" s="350">
        <v>0</v>
      </c>
      <c r="N75" s="15">
        <f t="shared" si="31"/>
        <v>9344328.2200000007</v>
      </c>
      <c r="O75" s="15">
        <v>174467.31</v>
      </c>
      <c r="P75" s="15">
        <f t="shared" si="32"/>
        <v>2907.66</v>
      </c>
      <c r="Q75" s="15">
        <f>'Форма 2'!K283</f>
        <v>4160</v>
      </c>
      <c r="R75" s="351" t="s">
        <v>290</v>
      </c>
      <c r="S75" s="10">
        <v>1</v>
      </c>
    </row>
    <row r="76" spans="1:19" s="41" customFormat="1" ht="15.75" customHeight="1" x14ac:dyDescent="0.25">
      <c r="A76" s="20">
        <f t="shared" si="33"/>
        <v>5</v>
      </c>
      <c r="B76" s="134">
        <v>5128</v>
      </c>
      <c r="C76" s="150" t="s">
        <v>238</v>
      </c>
      <c r="D76" s="137">
        <v>1976</v>
      </c>
      <c r="E76" s="137" t="s">
        <v>107</v>
      </c>
      <c r="F76" s="22" t="s">
        <v>82</v>
      </c>
      <c r="G76" s="25">
        <v>3176.8</v>
      </c>
      <c r="H76" s="15">
        <v>3054.1</v>
      </c>
      <c r="I76" s="349">
        <v>97</v>
      </c>
      <c r="J76" s="15">
        <f>'Форма 2'!I292</f>
        <v>6369052.7699999996</v>
      </c>
      <c r="K76" s="350">
        <v>0</v>
      </c>
      <c r="L76" s="350">
        <v>0</v>
      </c>
      <c r="M76" s="350">
        <v>0</v>
      </c>
      <c r="N76" s="15">
        <f>J76-K76-L76-M76-O76</f>
        <v>6252316.2000000002</v>
      </c>
      <c r="O76" s="15">
        <v>116736.57</v>
      </c>
      <c r="P76" s="15">
        <f t="shared" si="32"/>
        <v>2085.41</v>
      </c>
      <c r="Q76" s="15">
        <f>'Форма 2'!K292</f>
        <v>4160</v>
      </c>
      <c r="R76" s="351" t="s">
        <v>290</v>
      </c>
      <c r="S76" s="10">
        <v>1</v>
      </c>
    </row>
    <row r="77" spans="1:19" s="41" customFormat="1" ht="15.75" customHeight="1" x14ac:dyDescent="0.25">
      <c r="A77" s="20">
        <f t="shared" si="33"/>
        <v>6</v>
      </c>
      <c r="B77" s="131">
        <v>5133</v>
      </c>
      <c r="C77" s="150" t="s">
        <v>485</v>
      </c>
      <c r="D77" s="22">
        <v>1979</v>
      </c>
      <c r="E77" s="137" t="s">
        <v>68</v>
      </c>
      <c r="F77" s="22" t="s">
        <v>114</v>
      </c>
      <c r="G77" s="25">
        <v>10531.4</v>
      </c>
      <c r="H77" s="15">
        <v>8595.5</v>
      </c>
      <c r="I77" s="349">
        <v>406</v>
      </c>
      <c r="J77" s="15">
        <f>'Форма 2'!I301</f>
        <v>10781438.140000001</v>
      </c>
      <c r="K77" s="350">
        <v>0</v>
      </c>
      <c r="L77" s="350">
        <v>0</v>
      </c>
      <c r="M77" s="350">
        <v>0</v>
      </c>
      <c r="N77" s="15">
        <f t="shared" ref="N77" si="34">J77-K77-L77-M77-O77</f>
        <v>10587332.689999999</v>
      </c>
      <c r="O77" s="15">
        <v>194105.45</v>
      </c>
      <c r="P77" s="15">
        <f t="shared" si="32"/>
        <v>1254.31</v>
      </c>
      <c r="Q77" s="15">
        <f>'Форма 2'!K301</f>
        <v>2914</v>
      </c>
      <c r="R77" s="351" t="s">
        <v>290</v>
      </c>
      <c r="S77" s="10">
        <v>1</v>
      </c>
    </row>
    <row r="78" spans="1:19" s="41" customFormat="1" ht="15.75" customHeight="1" x14ac:dyDescent="0.25">
      <c r="A78" s="20">
        <f>A77+1</f>
        <v>7</v>
      </c>
      <c r="B78" s="133">
        <v>5172</v>
      </c>
      <c r="C78" s="150" t="s">
        <v>242</v>
      </c>
      <c r="D78" s="137">
        <v>1981</v>
      </c>
      <c r="E78" s="137" t="s">
        <v>68</v>
      </c>
      <c r="F78" s="22" t="s">
        <v>385</v>
      </c>
      <c r="G78" s="25">
        <v>4631</v>
      </c>
      <c r="H78" s="25">
        <v>3986</v>
      </c>
      <c r="I78" s="33">
        <v>223</v>
      </c>
      <c r="J78" s="15">
        <f>'Форма 2'!I304</f>
        <v>14383315.039999999</v>
      </c>
      <c r="K78" s="15">
        <v>0</v>
      </c>
      <c r="L78" s="350">
        <v>0</v>
      </c>
      <c r="M78" s="350">
        <v>0</v>
      </c>
      <c r="N78" s="15">
        <f>J78-K78-L78-M78-O78</f>
        <v>14118186.59</v>
      </c>
      <c r="O78" s="15">
        <v>265128.45</v>
      </c>
      <c r="P78" s="15">
        <f t="shared" si="32"/>
        <v>3608.46</v>
      </c>
      <c r="Q78" s="15">
        <f>'Форма 2'!K304</f>
        <v>3635</v>
      </c>
      <c r="R78" s="351" t="s">
        <v>290</v>
      </c>
      <c r="S78" s="10">
        <v>1</v>
      </c>
    </row>
    <row r="79" spans="1:19" s="41" customFormat="1" ht="15.75" customHeight="1" x14ac:dyDescent="0.25">
      <c r="A79" s="20">
        <f>A78+1</f>
        <v>8</v>
      </c>
      <c r="B79" s="130">
        <v>5195</v>
      </c>
      <c r="C79" s="150" t="s">
        <v>585</v>
      </c>
      <c r="D79" s="22">
        <v>1990</v>
      </c>
      <c r="E79" s="137" t="s">
        <v>86</v>
      </c>
      <c r="F79" s="22" t="s">
        <v>81</v>
      </c>
      <c r="G79" s="25">
        <v>6814.4</v>
      </c>
      <c r="H79" s="25">
        <v>6541.2</v>
      </c>
      <c r="I79" s="33">
        <v>247</v>
      </c>
      <c r="J79" s="15">
        <f>'Форма 2'!I307</f>
        <v>96843</v>
      </c>
      <c r="K79" s="15">
        <v>0</v>
      </c>
      <c r="L79" s="350">
        <v>0</v>
      </c>
      <c r="M79" s="350">
        <v>0</v>
      </c>
      <c r="N79" s="15">
        <f>J79-K79-L79-M79-O79</f>
        <v>96843</v>
      </c>
      <c r="O79" s="15">
        <v>0</v>
      </c>
      <c r="P79" s="15">
        <f>J79/H79</f>
        <v>14.81</v>
      </c>
      <c r="Q79" s="15">
        <f>'Форма 2'!K307</f>
        <v>14.81</v>
      </c>
      <c r="R79" s="351" t="s">
        <v>290</v>
      </c>
      <c r="S79" s="10">
        <v>1</v>
      </c>
    </row>
    <row r="80" spans="1:19" s="41" customFormat="1" ht="15.75" customHeight="1" x14ac:dyDescent="0.25">
      <c r="A80" s="20">
        <f>A79+1</f>
        <v>9</v>
      </c>
      <c r="B80" s="131">
        <v>5221</v>
      </c>
      <c r="C80" s="150" t="s">
        <v>450</v>
      </c>
      <c r="D80" s="22">
        <v>1993</v>
      </c>
      <c r="E80" s="137" t="s">
        <v>86</v>
      </c>
      <c r="F80" s="134" t="s">
        <v>87</v>
      </c>
      <c r="G80" s="25">
        <v>3619.6</v>
      </c>
      <c r="H80" s="25">
        <v>3149</v>
      </c>
      <c r="I80" s="33">
        <v>119</v>
      </c>
      <c r="J80" s="15">
        <f>'Форма 2'!I311</f>
        <v>1864588.6</v>
      </c>
      <c r="K80" s="15">
        <v>0</v>
      </c>
      <c r="L80" s="350">
        <v>0</v>
      </c>
      <c r="M80" s="350">
        <v>0</v>
      </c>
      <c r="N80" s="15">
        <f>J80-K80-L80-M80-O80</f>
        <v>1822031.17</v>
      </c>
      <c r="O80" s="15">
        <v>42557.43</v>
      </c>
      <c r="P80" s="15">
        <f>J80/H80</f>
        <v>592.12</v>
      </c>
      <c r="Q80" s="15">
        <f>'Форма 2'!K311</f>
        <v>737.34</v>
      </c>
      <c r="R80" s="352" t="s">
        <v>290</v>
      </c>
      <c r="S80" s="10">
        <v>1</v>
      </c>
    </row>
    <row r="81" spans="1:19" s="41" customFormat="1" ht="15.75" customHeight="1" x14ac:dyDescent="0.25">
      <c r="A81" s="20">
        <f>A80+1</f>
        <v>10</v>
      </c>
      <c r="B81" s="134">
        <v>5257</v>
      </c>
      <c r="C81" s="150" t="s">
        <v>253</v>
      </c>
      <c r="D81" s="137">
        <v>1978</v>
      </c>
      <c r="E81" s="137" t="s">
        <v>68</v>
      </c>
      <c r="F81" s="22" t="s">
        <v>82</v>
      </c>
      <c r="G81" s="25">
        <v>713.8</v>
      </c>
      <c r="H81" s="25">
        <v>576.6</v>
      </c>
      <c r="I81" s="33">
        <v>22</v>
      </c>
      <c r="J81" s="15">
        <f>'Форма 2'!I315</f>
        <v>4256793.96</v>
      </c>
      <c r="K81" s="15">
        <v>0</v>
      </c>
      <c r="L81" s="350">
        <v>0</v>
      </c>
      <c r="M81" s="350">
        <v>0</v>
      </c>
      <c r="N81" s="15">
        <f>J81-K81-L81-M81-O81</f>
        <v>4178772.39</v>
      </c>
      <c r="O81" s="15">
        <v>78021.570000000007</v>
      </c>
      <c r="P81" s="15">
        <f t="shared" si="32"/>
        <v>7382.58</v>
      </c>
      <c r="Q81" s="15">
        <f>'Форма 2'!K315</f>
        <v>8203</v>
      </c>
      <c r="R81" s="351" t="s">
        <v>290</v>
      </c>
      <c r="S81" s="10">
        <v>1</v>
      </c>
    </row>
    <row r="82" spans="1:19" s="41" customFormat="1" ht="15.75" customHeight="1" x14ac:dyDescent="0.25">
      <c r="A82" s="20">
        <f t="shared" si="33"/>
        <v>11</v>
      </c>
      <c r="B82" s="134">
        <v>5259</v>
      </c>
      <c r="C82" s="150" t="s">
        <v>254</v>
      </c>
      <c r="D82" s="137">
        <v>1978</v>
      </c>
      <c r="E82" s="137" t="s">
        <v>68</v>
      </c>
      <c r="F82" s="22" t="s">
        <v>82</v>
      </c>
      <c r="G82" s="25">
        <v>696.4</v>
      </c>
      <c r="H82" s="15">
        <v>565.6</v>
      </c>
      <c r="I82" s="349">
        <v>21</v>
      </c>
      <c r="J82" s="15">
        <f>'Форма 2'!I318</f>
        <v>4175585.56</v>
      </c>
      <c r="K82" s="350">
        <v>0</v>
      </c>
      <c r="L82" s="350">
        <v>0</v>
      </c>
      <c r="M82" s="350">
        <v>0</v>
      </c>
      <c r="N82" s="15">
        <f>J82-K82-L82-M82-O82</f>
        <v>4099052.43</v>
      </c>
      <c r="O82" s="15">
        <v>76533.13</v>
      </c>
      <c r="P82" s="15">
        <f t="shared" si="32"/>
        <v>7382.58</v>
      </c>
      <c r="Q82" s="15">
        <f>'Форма 2'!K318</f>
        <v>8203</v>
      </c>
      <c r="R82" s="351" t="s">
        <v>290</v>
      </c>
      <c r="S82" s="10">
        <v>1</v>
      </c>
    </row>
    <row r="83" spans="1:19" s="41" customFormat="1" ht="15.75" customHeight="1" x14ac:dyDescent="0.25">
      <c r="A83" s="20">
        <f t="shared" si="33"/>
        <v>12</v>
      </c>
      <c r="B83" s="133">
        <v>5263</v>
      </c>
      <c r="C83" s="150" t="s">
        <v>255</v>
      </c>
      <c r="D83" s="137">
        <v>1978</v>
      </c>
      <c r="E83" s="137" t="s">
        <v>68</v>
      </c>
      <c r="F83" s="22" t="s">
        <v>82</v>
      </c>
      <c r="G83" s="25">
        <v>697.8</v>
      </c>
      <c r="H83" s="15">
        <v>560.6</v>
      </c>
      <c r="I83" s="349">
        <v>21</v>
      </c>
      <c r="J83" s="15">
        <f>'Форма 2'!I321</f>
        <v>4085600</v>
      </c>
      <c r="K83" s="350">
        <v>0</v>
      </c>
      <c r="L83" s="350">
        <v>0</v>
      </c>
      <c r="M83" s="350">
        <v>0</v>
      </c>
      <c r="N83" s="15">
        <f t="shared" si="31"/>
        <v>4010716.19</v>
      </c>
      <c r="O83" s="15">
        <v>74883.81</v>
      </c>
      <c r="P83" s="15">
        <f t="shared" si="32"/>
        <v>7287.91</v>
      </c>
      <c r="Q83" s="15">
        <f>'Форма 2'!K321</f>
        <v>8203</v>
      </c>
      <c r="R83" s="351" t="s">
        <v>290</v>
      </c>
      <c r="S83" s="10">
        <v>1</v>
      </c>
    </row>
    <row r="84" spans="1:19" s="41" customFormat="1" ht="15.75" customHeight="1" x14ac:dyDescent="0.25">
      <c r="A84" s="20">
        <f>A83+1</f>
        <v>13</v>
      </c>
      <c r="B84" s="130">
        <v>5285</v>
      </c>
      <c r="C84" s="150" t="s">
        <v>451</v>
      </c>
      <c r="D84" s="22">
        <v>1991</v>
      </c>
      <c r="E84" s="137" t="s">
        <v>86</v>
      </c>
      <c r="F84" s="134" t="s">
        <v>87</v>
      </c>
      <c r="G84" s="25">
        <v>22218.400000000001</v>
      </c>
      <c r="H84" s="15">
        <v>16283.9</v>
      </c>
      <c r="I84" s="349">
        <v>690</v>
      </c>
      <c r="J84" s="15">
        <f>'Форма 2'!I324</f>
        <v>7401832.6100000003</v>
      </c>
      <c r="K84" s="350">
        <v>0</v>
      </c>
      <c r="L84" s="350">
        <v>0</v>
      </c>
      <c r="M84" s="350">
        <v>0</v>
      </c>
      <c r="N84" s="15">
        <f>J84-K84-L84-M84-O84</f>
        <v>7231602.8899999997</v>
      </c>
      <c r="O84" s="15">
        <v>170229.72</v>
      </c>
      <c r="P84" s="15">
        <f>J84/H84</f>
        <v>454.55</v>
      </c>
      <c r="Q84" s="15">
        <f>'Форма 2'!K324</f>
        <v>570.35</v>
      </c>
      <c r="R84" s="351" t="s">
        <v>290</v>
      </c>
      <c r="S84" s="10">
        <v>1</v>
      </c>
    </row>
    <row r="85" spans="1:19" s="41" customFormat="1" ht="15.75" customHeight="1" x14ac:dyDescent="0.25">
      <c r="A85" s="20">
        <f>A84+1</f>
        <v>14</v>
      </c>
      <c r="B85" s="130">
        <v>5288</v>
      </c>
      <c r="C85" s="150" t="s">
        <v>452</v>
      </c>
      <c r="D85" s="22">
        <v>1990</v>
      </c>
      <c r="E85" s="137" t="s">
        <v>86</v>
      </c>
      <c r="F85" s="134" t="s">
        <v>87</v>
      </c>
      <c r="G85" s="25">
        <v>18526.099999999999</v>
      </c>
      <c r="H85" s="15">
        <v>14155.3</v>
      </c>
      <c r="I85" s="349">
        <v>535</v>
      </c>
      <c r="J85" s="15">
        <f>'Форма 2'!I337</f>
        <v>12874840.199999999</v>
      </c>
      <c r="K85" s="350">
        <v>0</v>
      </c>
      <c r="L85" s="350">
        <v>0</v>
      </c>
      <c r="M85" s="350">
        <v>0</v>
      </c>
      <c r="N85" s="15">
        <f>J85-K85-L85-M85-O85</f>
        <v>12576938.18</v>
      </c>
      <c r="O85" s="15">
        <v>297902.02</v>
      </c>
      <c r="P85" s="15">
        <f>J85/H85</f>
        <v>909.54</v>
      </c>
      <c r="Q85" s="15">
        <f>'Форма 2'!K337</f>
        <v>1148.17</v>
      </c>
      <c r="R85" s="351" t="s">
        <v>290</v>
      </c>
      <c r="S85" s="10">
        <v>1</v>
      </c>
    </row>
    <row r="86" spans="1:19" s="41" customFormat="1" ht="15.75" customHeight="1" x14ac:dyDescent="0.25">
      <c r="A86" s="184" t="s">
        <v>42</v>
      </c>
      <c r="B86" s="184"/>
      <c r="C86" s="184"/>
      <c r="D86" s="134" t="s">
        <v>13</v>
      </c>
      <c r="E86" s="126" t="s">
        <v>13</v>
      </c>
      <c r="F86" s="126" t="s">
        <v>13</v>
      </c>
      <c r="G86" s="15">
        <f t="shared" ref="G86:O86" si="35">G87+G121+G140+G196</f>
        <v>785141.33</v>
      </c>
      <c r="H86" s="15">
        <f t="shared" si="35"/>
        <v>661637.57999999996</v>
      </c>
      <c r="I86" s="10">
        <f t="shared" si="35"/>
        <v>25488</v>
      </c>
      <c r="J86" s="15">
        <f t="shared" si="35"/>
        <v>590364929.84000003</v>
      </c>
      <c r="K86" s="15">
        <f t="shared" si="35"/>
        <v>0</v>
      </c>
      <c r="L86" s="15">
        <f t="shared" si="35"/>
        <v>0</v>
      </c>
      <c r="M86" s="15">
        <f t="shared" si="35"/>
        <v>0</v>
      </c>
      <c r="N86" s="15">
        <f t="shared" si="35"/>
        <v>573455029.29999995</v>
      </c>
      <c r="O86" s="15">
        <f t="shared" si="35"/>
        <v>16909900.539999999</v>
      </c>
      <c r="P86" s="15" t="s">
        <v>13</v>
      </c>
      <c r="Q86" s="15" t="s">
        <v>13</v>
      </c>
      <c r="R86" s="15" t="s">
        <v>13</v>
      </c>
      <c r="S86" s="15" t="s">
        <v>13</v>
      </c>
    </row>
    <row r="87" spans="1:19" s="41" customFormat="1" ht="15.75" customHeight="1" x14ac:dyDescent="0.25">
      <c r="A87" s="184" t="s">
        <v>91</v>
      </c>
      <c r="B87" s="184"/>
      <c r="C87" s="184"/>
      <c r="D87" s="134" t="s">
        <v>13</v>
      </c>
      <c r="E87" s="126" t="s">
        <v>13</v>
      </c>
      <c r="F87" s="126" t="s">
        <v>13</v>
      </c>
      <c r="G87" s="15">
        <f t="shared" ref="G87:O87" si="36">SUM(G88:G120)</f>
        <v>153462.63</v>
      </c>
      <c r="H87" s="15">
        <f t="shared" si="36"/>
        <v>134393.92000000001</v>
      </c>
      <c r="I87" s="10">
        <f t="shared" si="36"/>
        <v>4868</v>
      </c>
      <c r="J87" s="15">
        <f t="shared" si="36"/>
        <v>162645855.78999999</v>
      </c>
      <c r="K87" s="15">
        <f t="shared" si="36"/>
        <v>0</v>
      </c>
      <c r="L87" s="15">
        <f t="shared" si="36"/>
        <v>0</v>
      </c>
      <c r="M87" s="15">
        <f t="shared" si="36"/>
        <v>0</v>
      </c>
      <c r="N87" s="15">
        <f t="shared" si="36"/>
        <v>157467479.11000001</v>
      </c>
      <c r="O87" s="15">
        <f t="shared" si="36"/>
        <v>5178376.68</v>
      </c>
      <c r="P87" s="126" t="s">
        <v>13</v>
      </c>
      <c r="Q87" s="126" t="s">
        <v>13</v>
      </c>
      <c r="R87" s="126" t="s">
        <v>13</v>
      </c>
      <c r="S87" s="126" t="s">
        <v>13</v>
      </c>
    </row>
    <row r="88" spans="1:19" s="155" customFormat="1" ht="15" customHeight="1" x14ac:dyDescent="0.2">
      <c r="A88" s="126">
        <v>1</v>
      </c>
      <c r="B88" s="126">
        <v>122</v>
      </c>
      <c r="C88" s="124" t="s">
        <v>593</v>
      </c>
      <c r="D88" s="134">
        <v>1946</v>
      </c>
      <c r="E88" s="134" t="s">
        <v>95</v>
      </c>
      <c r="F88" s="134" t="s">
        <v>81</v>
      </c>
      <c r="G88" s="15">
        <v>896.3</v>
      </c>
      <c r="H88" s="15">
        <v>821.3</v>
      </c>
      <c r="I88" s="10">
        <v>31</v>
      </c>
      <c r="J88" s="15">
        <f>'Форма 2'!I360</f>
        <v>59954.9</v>
      </c>
      <c r="K88" s="15">
        <v>0</v>
      </c>
      <c r="L88" s="15">
        <v>0</v>
      </c>
      <c r="M88" s="15">
        <v>0</v>
      </c>
      <c r="N88" s="15">
        <f>J88-K88-L88-M88-O88</f>
        <v>59954.9</v>
      </c>
      <c r="O88" s="15">
        <v>0</v>
      </c>
      <c r="P88" s="15">
        <f>J88/H88</f>
        <v>73</v>
      </c>
      <c r="Q88" s="15">
        <f>'Форма 2'!K360</f>
        <v>73</v>
      </c>
      <c r="R88" s="351" t="s">
        <v>290</v>
      </c>
      <c r="S88" s="345">
        <v>1</v>
      </c>
    </row>
    <row r="89" spans="1:19" s="155" customFormat="1" ht="15" customHeight="1" x14ac:dyDescent="0.2">
      <c r="A89" s="126">
        <f>A88+1</f>
        <v>2</v>
      </c>
      <c r="B89" s="126">
        <v>123</v>
      </c>
      <c r="C89" s="124" t="s">
        <v>594</v>
      </c>
      <c r="D89" s="134">
        <v>1946</v>
      </c>
      <c r="E89" s="134" t="s">
        <v>95</v>
      </c>
      <c r="F89" s="134" t="s">
        <v>81</v>
      </c>
      <c r="G89" s="15">
        <v>893.8</v>
      </c>
      <c r="H89" s="15">
        <v>824.1</v>
      </c>
      <c r="I89" s="10">
        <v>31</v>
      </c>
      <c r="J89" s="15">
        <f>'Форма 2'!I362</f>
        <v>60159.3</v>
      </c>
      <c r="K89" s="15">
        <v>0</v>
      </c>
      <c r="L89" s="15">
        <v>0</v>
      </c>
      <c r="M89" s="15">
        <v>0</v>
      </c>
      <c r="N89" s="15">
        <f>J89-K89-L89-M89-O89</f>
        <v>60159.3</v>
      </c>
      <c r="O89" s="15">
        <v>0</v>
      </c>
      <c r="P89" s="15">
        <f>J89/H89</f>
        <v>73</v>
      </c>
      <c r="Q89" s="15">
        <f>'Форма 2'!K362</f>
        <v>73</v>
      </c>
      <c r="R89" s="351" t="s">
        <v>290</v>
      </c>
      <c r="S89" s="345">
        <v>1</v>
      </c>
    </row>
    <row r="90" spans="1:19" s="155" customFormat="1" ht="15" customHeight="1" x14ac:dyDescent="0.2">
      <c r="A90" s="126">
        <f>A89+1</f>
        <v>3</v>
      </c>
      <c r="B90" s="126">
        <v>131</v>
      </c>
      <c r="C90" s="124" t="s">
        <v>595</v>
      </c>
      <c r="D90" s="134">
        <v>1948</v>
      </c>
      <c r="E90" s="134" t="s">
        <v>95</v>
      </c>
      <c r="F90" s="134" t="s">
        <v>81</v>
      </c>
      <c r="G90" s="15">
        <v>904.3</v>
      </c>
      <c r="H90" s="15">
        <v>829.3</v>
      </c>
      <c r="I90" s="10">
        <v>39</v>
      </c>
      <c r="J90" s="15">
        <f>'Форма 2'!I364</f>
        <v>60538.9</v>
      </c>
      <c r="K90" s="15">
        <v>0</v>
      </c>
      <c r="L90" s="15">
        <v>0</v>
      </c>
      <c r="M90" s="15">
        <v>0</v>
      </c>
      <c r="N90" s="15">
        <f>J90-K90-L90-M90-O90</f>
        <v>60538.9</v>
      </c>
      <c r="O90" s="15">
        <v>0</v>
      </c>
      <c r="P90" s="15">
        <f>J90/H90</f>
        <v>73</v>
      </c>
      <c r="Q90" s="15">
        <f>'Форма 2'!K364</f>
        <v>73</v>
      </c>
      <c r="R90" s="351" t="s">
        <v>290</v>
      </c>
      <c r="S90" s="345">
        <v>1</v>
      </c>
    </row>
    <row r="91" spans="1:19" s="41" customFormat="1" ht="15.75" customHeight="1" x14ac:dyDescent="0.25">
      <c r="A91" s="11">
        <f>A90+1</f>
        <v>4</v>
      </c>
      <c r="B91" s="11">
        <v>481</v>
      </c>
      <c r="C91" s="142" t="s">
        <v>359</v>
      </c>
      <c r="D91" s="134">
        <v>1964</v>
      </c>
      <c r="E91" s="134" t="s">
        <v>95</v>
      </c>
      <c r="F91" s="134" t="s">
        <v>87</v>
      </c>
      <c r="G91" s="15">
        <v>1718.2</v>
      </c>
      <c r="H91" s="15">
        <v>1590.2</v>
      </c>
      <c r="I91" s="10">
        <v>60</v>
      </c>
      <c r="J91" s="15">
        <f>'Форма 2'!I366</f>
        <v>411973.02</v>
      </c>
      <c r="K91" s="15">
        <v>0</v>
      </c>
      <c r="L91" s="15">
        <v>0</v>
      </c>
      <c r="M91" s="15">
        <v>0</v>
      </c>
      <c r="N91" s="15">
        <f t="shared" ref="N91:N119" si="37">J91-K91-L91-M91-O91</f>
        <v>393288.82</v>
      </c>
      <c r="O91" s="15">
        <v>18684.2</v>
      </c>
      <c r="P91" s="15">
        <f t="shared" ref="P91:P119" si="38">J91/H91</f>
        <v>259.07</v>
      </c>
      <c r="Q91" s="15">
        <f>'Форма 2'!K366</f>
        <v>409</v>
      </c>
      <c r="R91" s="351" t="s">
        <v>290</v>
      </c>
      <c r="S91" s="153">
        <v>1</v>
      </c>
    </row>
    <row r="92" spans="1:19" s="41" customFormat="1" ht="15" customHeight="1" x14ac:dyDescent="0.25">
      <c r="A92" s="126">
        <f>A91+1</f>
        <v>5</v>
      </c>
      <c r="B92" s="126">
        <v>368</v>
      </c>
      <c r="C92" s="124" t="s">
        <v>559</v>
      </c>
      <c r="D92" s="134">
        <v>1961</v>
      </c>
      <c r="E92" s="134" t="s">
        <v>95</v>
      </c>
      <c r="F92" s="134" t="s">
        <v>81</v>
      </c>
      <c r="G92" s="15">
        <v>3911.9</v>
      </c>
      <c r="H92" s="15">
        <v>3670.2</v>
      </c>
      <c r="I92" s="10">
        <v>122</v>
      </c>
      <c r="J92" s="15">
        <f>'Форма 2'!I370</f>
        <v>88084.800000000003</v>
      </c>
      <c r="K92" s="15">
        <v>0</v>
      </c>
      <c r="L92" s="15">
        <v>0</v>
      </c>
      <c r="M92" s="15">
        <v>0</v>
      </c>
      <c r="N92" s="15">
        <f>J92-K92-L92-M92-O92</f>
        <v>85554.33</v>
      </c>
      <c r="O92" s="15">
        <v>2530.4699999999998</v>
      </c>
      <c r="P92" s="15">
        <f>J92/H92</f>
        <v>24</v>
      </c>
      <c r="Q92" s="15">
        <f>'Форма 2'!K370</f>
        <v>24</v>
      </c>
      <c r="R92" s="351" t="s">
        <v>290</v>
      </c>
      <c r="S92" s="153">
        <v>1</v>
      </c>
    </row>
    <row r="93" spans="1:19" s="41" customFormat="1" ht="31.5" customHeight="1" x14ac:dyDescent="0.25">
      <c r="A93" s="11">
        <f>A92+1</f>
        <v>6</v>
      </c>
      <c r="B93" s="11">
        <v>842</v>
      </c>
      <c r="C93" s="142" t="s">
        <v>94</v>
      </c>
      <c r="D93" s="134">
        <v>1989</v>
      </c>
      <c r="E93" s="134" t="s">
        <v>68</v>
      </c>
      <c r="F93" s="134" t="s">
        <v>82</v>
      </c>
      <c r="G93" s="15">
        <v>4334.5</v>
      </c>
      <c r="H93" s="15">
        <v>4014.5</v>
      </c>
      <c r="I93" s="10">
        <v>192</v>
      </c>
      <c r="J93" s="15">
        <f>'Форма 2'!I372</f>
        <v>5578377.6500000004</v>
      </c>
      <c r="K93" s="15">
        <v>0</v>
      </c>
      <c r="L93" s="15">
        <v>0</v>
      </c>
      <c r="M93" s="15">
        <v>0</v>
      </c>
      <c r="N93" s="15">
        <f t="shared" si="37"/>
        <v>5418124.1900000004</v>
      </c>
      <c r="O93" s="15">
        <v>160253.46</v>
      </c>
      <c r="P93" s="15">
        <f t="shared" si="38"/>
        <v>1389.56</v>
      </c>
      <c r="Q93" s="15">
        <f>'Форма 2'!K372</f>
        <v>3878</v>
      </c>
      <c r="R93" s="351" t="s">
        <v>290</v>
      </c>
      <c r="S93" s="153">
        <v>1</v>
      </c>
    </row>
    <row r="94" spans="1:19" s="41" customFormat="1" ht="15.75" customHeight="1" x14ac:dyDescent="0.25">
      <c r="A94" s="11">
        <f t="shared" ref="A94:A118" si="39">A93+1</f>
        <v>7</v>
      </c>
      <c r="B94" s="11">
        <v>743</v>
      </c>
      <c r="C94" s="142" t="s">
        <v>360</v>
      </c>
      <c r="D94" s="134">
        <v>1982</v>
      </c>
      <c r="E94" s="134" t="s">
        <v>68</v>
      </c>
      <c r="F94" s="134" t="s">
        <v>82</v>
      </c>
      <c r="G94" s="15">
        <v>4507</v>
      </c>
      <c r="H94" s="15">
        <v>3996.6</v>
      </c>
      <c r="I94" s="10">
        <v>186</v>
      </c>
      <c r="J94" s="15">
        <f>'Форма 2'!I375</f>
        <v>14158021.699999999</v>
      </c>
      <c r="K94" s="15">
        <v>0</v>
      </c>
      <c r="L94" s="15">
        <v>0</v>
      </c>
      <c r="M94" s="15">
        <v>0</v>
      </c>
      <c r="N94" s="15">
        <f t="shared" si="37"/>
        <v>13754150.789999999</v>
      </c>
      <c r="O94" s="15">
        <v>403870.91</v>
      </c>
      <c r="P94" s="15">
        <f t="shared" si="38"/>
        <v>3542.52</v>
      </c>
      <c r="Q94" s="15">
        <f>'Форма 2'!K375</f>
        <v>3878</v>
      </c>
      <c r="R94" s="351" t="s">
        <v>290</v>
      </c>
      <c r="S94" s="153">
        <v>1</v>
      </c>
    </row>
    <row r="95" spans="1:19" s="41" customFormat="1" ht="15.75" customHeight="1" x14ac:dyDescent="0.25">
      <c r="A95" s="126">
        <f t="shared" ref="A95:A101" si="40">A94+1</f>
        <v>8</v>
      </c>
      <c r="B95" s="126">
        <v>8171</v>
      </c>
      <c r="C95" s="142" t="s">
        <v>493</v>
      </c>
      <c r="D95" s="134">
        <v>1994</v>
      </c>
      <c r="E95" s="134" t="s">
        <v>86</v>
      </c>
      <c r="F95" s="134" t="s">
        <v>87</v>
      </c>
      <c r="G95" s="15">
        <v>4951.2</v>
      </c>
      <c r="H95" s="15">
        <v>4315.3999999999996</v>
      </c>
      <c r="I95" s="10">
        <v>163</v>
      </c>
      <c r="J95" s="15">
        <f>'Форма 2'!I378</f>
        <v>4829352.84</v>
      </c>
      <c r="K95" s="15">
        <v>0</v>
      </c>
      <c r="L95" s="15">
        <v>0</v>
      </c>
      <c r="M95" s="15">
        <v>0</v>
      </c>
      <c r="N95" s="15">
        <f>J95-K95-L95-M95-O95</f>
        <v>4683206.6399999997</v>
      </c>
      <c r="O95" s="15">
        <v>146146.20000000001</v>
      </c>
      <c r="P95" s="15">
        <f>J95/H95</f>
        <v>1119.0999999999999</v>
      </c>
      <c r="Q95" s="15">
        <f>'Форма 2'!K378</f>
        <v>1178.8599999999999</v>
      </c>
      <c r="R95" s="351" t="s">
        <v>290</v>
      </c>
      <c r="S95" s="153">
        <v>1</v>
      </c>
    </row>
    <row r="96" spans="1:19" s="41" customFormat="1" ht="15.75" customHeight="1" x14ac:dyDescent="0.25">
      <c r="A96" s="11">
        <f t="shared" si="40"/>
        <v>9</v>
      </c>
      <c r="B96" s="11">
        <v>606</v>
      </c>
      <c r="C96" s="142" t="s">
        <v>121</v>
      </c>
      <c r="D96" s="134">
        <v>1973</v>
      </c>
      <c r="E96" s="134" t="s">
        <v>68</v>
      </c>
      <c r="F96" s="134" t="s">
        <v>82</v>
      </c>
      <c r="G96" s="15">
        <v>6175.82</v>
      </c>
      <c r="H96" s="15">
        <v>5330.83</v>
      </c>
      <c r="I96" s="10">
        <v>127</v>
      </c>
      <c r="J96" s="15">
        <f>'Форма 2'!I385</f>
        <v>14707949.59</v>
      </c>
      <c r="K96" s="15">
        <v>0</v>
      </c>
      <c r="L96" s="15">
        <v>0</v>
      </c>
      <c r="M96" s="15">
        <v>0</v>
      </c>
      <c r="N96" s="15">
        <f t="shared" si="37"/>
        <v>14271384.9</v>
      </c>
      <c r="O96" s="15">
        <v>436564.69</v>
      </c>
      <c r="P96" s="15">
        <f t="shared" si="38"/>
        <v>2759.04</v>
      </c>
      <c r="Q96" s="15">
        <f>'Форма 2'!K385</f>
        <v>3878</v>
      </c>
      <c r="R96" s="351" t="s">
        <v>290</v>
      </c>
      <c r="S96" s="153">
        <v>1</v>
      </c>
    </row>
    <row r="97" spans="1:19" s="41" customFormat="1" ht="15.75" customHeight="1" x14ac:dyDescent="0.25">
      <c r="A97" s="11">
        <f t="shared" si="40"/>
        <v>10</v>
      </c>
      <c r="B97" s="11">
        <v>717</v>
      </c>
      <c r="C97" s="142" t="s">
        <v>122</v>
      </c>
      <c r="D97" s="134">
        <v>1980</v>
      </c>
      <c r="E97" s="134" t="s">
        <v>68</v>
      </c>
      <c r="F97" s="134" t="s">
        <v>82</v>
      </c>
      <c r="G97" s="15">
        <v>3065.92</v>
      </c>
      <c r="H97" s="15">
        <v>2621.92</v>
      </c>
      <c r="I97" s="10">
        <v>99</v>
      </c>
      <c r="J97" s="15">
        <f>'Форма 2'!I388</f>
        <v>7929872.7199999997</v>
      </c>
      <c r="K97" s="15">
        <v>0</v>
      </c>
      <c r="L97" s="15">
        <v>0</v>
      </c>
      <c r="M97" s="15">
        <v>0</v>
      </c>
      <c r="N97" s="15">
        <f t="shared" si="37"/>
        <v>7717888.21</v>
      </c>
      <c r="O97" s="15">
        <v>211984.51</v>
      </c>
      <c r="P97" s="15">
        <f t="shared" si="38"/>
        <v>3024.45</v>
      </c>
      <c r="Q97" s="15">
        <f>'Форма 2'!K388</f>
        <v>3878</v>
      </c>
      <c r="R97" s="351" t="s">
        <v>290</v>
      </c>
      <c r="S97" s="153">
        <v>1</v>
      </c>
    </row>
    <row r="98" spans="1:19" s="41" customFormat="1" ht="15.75" customHeight="1" x14ac:dyDescent="0.25">
      <c r="A98" s="126">
        <f t="shared" si="40"/>
        <v>11</v>
      </c>
      <c r="B98" s="126">
        <v>537</v>
      </c>
      <c r="C98" s="142" t="s">
        <v>553</v>
      </c>
      <c r="D98" s="134">
        <v>1968</v>
      </c>
      <c r="E98" s="134" t="s">
        <v>95</v>
      </c>
      <c r="F98" s="134" t="s">
        <v>87</v>
      </c>
      <c r="G98" s="15">
        <v>4350.3500000000004</v>
      </c>
      <c r="H98" s="15">
        <v>3760.57</v>
      </c>
      <c r="I98" s="10">
        <v>124</v>
      </c>
      <c r="J98" s="15">
        <f>'Форма 2'!I391</f>
        <v>929684.82</v>
      </c>
      <c r="K98" s="15">
        <v>0</v>
      </c>
      <c r="L98" s="15">
        <v>0</v>
      </c>
      <c r="M98" s="15">
        <v>0</v>
      </c>
      <c r="N98" s="15">
        <f t="shared" si="37"/>
        <v>883122.95</v>
      </c>
      <c r="O98" s="15">
        <v>46561.87</v>
      </c>
      <c r="P98" s="15">
        <f t="shared" si="38"/>
        <v>247.22</v>
      </c>
      <c r="Q98" s="15">
        <f>'Форма 2'!K391</f>
        <v>431</v>
      </c>
      <c r="R98" s="351" t="s">
        <v>290</v>
      </c>
      <c r="S98" s="153">
        <v>1</v>
      </c>
    </row>
    <row r="99" spans="1:19" s="41" customFormat="1" ht="15.75" customHeight="1" x14ac:dyDescent="0.25">
      <c r="A99" s="11">
        <f t="shared" si="40"/>
        <v>12</v>
      </c>
      <c r="B99" s="11">
        <v>720</v>
      </c>
      <c r="C99" s="142" t="s">
        <v>123</v>
      </c>
      <c r="D99" s="134">
        <v>1981</v>
      </c>
      <c r="E99" s="134" t="s">
        <v>68</v>
      </c>
      <c r="F99" s="134" t="s">
        <v>82</v>
      </c>
      <c r="G99" s="15">
        <v>5256</v>
      </c>
      <c r="H99" s="15">
        <v>5022</v>
      </c>
      <c r="I99" s="10">
        <v>190</v>
      </c>
      <c r="J99" s="15">
        <f>'Форма 2'!I395</f>
        <v>16211616.560000001</v>
      </c>
      <c r="K99" s="15">
        <v>0</v>
      </c>
      <c r="L99" s="15">
        <v>0</v>
      </c>
      <c r="M99" s="15">
        <v>0</v>
      </c>
      <c r="N99" s="15">
        <f t="shared" si="37"/>
        <v>15794156.810000001</v>
      </c>
      <c r="O99" s="15">
        <v>417459.75</v>
      </c>
      <c r="P99" s="15">
        <f t="shared" si="38"/>
        <v>3228.12</v>
      </c>
      <c r="Q99" s="15">
        <f>'Форма 2'!K395</f>
        <v>3878</v>
      </c>
      <c r="R99" s="351" t="s">
        <v>290</v>
      </c>
      <c r="S99" s="153">
        <v>1</v>
      </c>
    </row>
    <row r="100" spans="1:19" s="41" customFormat="1" ht="15.75" customHeight="1" x14ac:dyDescent="0.25">
      <c r="A100" s="126">
        <f t="shared" si="40"/>
        <v>13</v>
      </c>
      <c r="B100" s="126">
        <v>351</v>
      </c>
      <c r="C100" s="142" t="s">
        <v>554</v>
      </c>
      <c r="D100" s="134">
        <v>1960</v>
      </c>
      <c r="E100" s="134" t="s">
        <v>95</v>
      </c>
      <c r="F100" s="134" t="s">
        <v>81</v>
      </c>
      <c r="G100" s="15">
        <v>2175.4</v>
      </c>
      <c r="H100" s="15">
        <v>1260.4000000000001</v>
      </c>
      <c r="I100" s="10">
        <v>48</v>
      </c>
      <c r="J100" s="15">
        <f>'Форма 2'!I398</f>
        <v>59238.8</v>
      </c>
      <c r="K100" s="15">
        <v>0</v>
      </c>
      <c r="L100" s="15">
        <v>0</v>
      </c>
      <c r="M100" s="15">
        <v>0</v>
      </c>
      <c r="N100" s="15">
        <f t="shared" si="37"/>
        <v>57537.01</v>
      </c>
      <c r="O100" s="15">
        <v>1701.79</v>
      </c>
      <c r="P100" s="15">
        <f t="shared" si="38"/>
        <v>47</v>
      </c>
      <c r="Q100" s="15">
        <f>'Форма 2'!K398</f>
        <v>47</v>
      </c>
      <c r="R100" s="351" t="s">
        <v>290</v>
      </c>
      <c r="S100" s="153">
        <v>1</v>
      </c>
    </row>
    <row r="101" spans="1:19" s="41" customFormat="1" ht="15.75" customHeight="1" x14ac:dyDescent="0.25">
      <c r="A101" s="11">
        <f t="shared" si="40"/>
        <v>14</v>
      </c>
      <c r="B101" s="11">
        <v>575</v>
      </c>
      <c r="C101" s="142" t="s">
        <v>124</v>
      </c>
      <c r="D101" s="134">
        <v>1971</v>
      </c>
      <c r="E101" s="134" t="s">
        <v>95</v>
      </c>
      <c r="F101" s="134" t="s">
        <v>82</v>
      </c>
      <c r="G101" s="15">
        <v>6624.2</v>
      </c>
      <c r="H101" s="15">
        <v>6074.2</v>
      </c>
      <c r="I101" s="10">
        <v>221</v>
      </c>
      <c r="J101" s="15">
        <f>'Форма 2'!I400</f>
        <v>1599653.2</v>
      </c>
      <c r="K101" s="15">
        <v>0</v>
      </c>
      <c r="L101" s="15">
        <v>0</v>
      </c>
      <c r="M101" s="15">
        <v>0</v>
      </c>
      <c r="N101" s="15">
        <f t="shared" si="37"/>
        <v>1550115.29</v>
      </c>
      <c r="O101" s="15">
        <v>49537.91</v>
      </c>
      <c r="P101" s="15">
        <f t="shared" si="38"/>
        <v>263.35000000000002</v>
      </c>
      <c r="Q101" s="15">
        <f>'Форма 2'!K400</f>
        <v>407</v>
      </c>
      <c r="R101" s="351" t="s">
        <v>290</v>
      </c>
      <c r="S101" s="153">
        <v>1</v>
      </c>
    </row>
    <row r="102" spans="1:19" s="41" customFormat="1" ht="15.75" customHeight="1" x14ac:dyDescent="0.25">
      <c r="A102" s="11">
        <f t="shared" si="39"/>
        <v>15</v>
      </c>
      <c r="B102" s="11">
        <v>618</v>
      </c>
      <c r="C102" s="142" t="s">
        <v>125</v>
      </c>
      <c r="D102" s="134">
        <v>1974</v>
      </c>
      <c r="E102" s="134" t="s">
        <v>95</v>
      </c>
      <c r="F102" s="134" t="s">
        <v>82</v>
      </c>
      <c r="G102" s="15">
        <v>6336.5</v>
      </c>
      <c r="H102" s="15">
        <v>4862.5</v>
      </c>
      <c r="I102" s="10">
        <v>172</v>
      </c>
      <c r="J102" s="15">
        <f>'Форма 2'!I403</f>
        <v>1191100.3999999999</v>
      </c>
      <c r="K102" s="15">
        <v>0</v>
      </c>
      <c r="L102" s="15">
        <v>0</v>
      </c>
      <c r="M102" s="15">
        <v>0</v>
      </c>
      <c r="N102" s="15">
        <f t="shared" si="37"/>
        <v>1153033.19</v>
      </c>
      <c r="O102" s="15">
        <v>38067.21</v>
      </c>
      <c r="P102" s="15">
        <f t="shared" si="38"/>
        <v>244.96</v>
      </c>
      <c r="Q102" s="15">
        <f>'Форма 2'!K403</f>
        <v>407</v>
      </c>
      <c r="R102" s="351" t="s">
        <v>290</v>
      </c>
      <c r="S102" s="153">
        <v>1</v>
      </c>
    </row>
    <row r="103" spans="1:19" s="41" customFormat="1" ht="15.75" customHeight="1" x14ac:dyDescent="0.25">
      <c r="A103" s="126">
        <f t="shared" si="39"/>
        <v>16</v>
      </c>
      <c r="B103" s="126">
        <v>436</v>
      </c>
      <c r="C103" s="142" t="s">
        <v>430</v>
      </c>
      <c r="D103" s="126">
        <v>1962</v>
      </c>
      <c r="E103" s="134" t="s">
        <v>95</v>
      </c>
      <c r="F103" s="134" t="s">
        <v>87</v>
      </c>
      <c r="G103" s="15">
        <v>3420.51</v>
      </c>
      <c r="H103" s="15">
        <v>3187.95</v>
      </c>
      <c r="I103" s="10">
        <v>120</v>
      </c>
      <c r="J103" s="15">
        <f>'Форма 2'!I406</f>
        <v>815544.58</v>
      </c>
      <c r="K103" s="15">
        <v>0</v>
      </c>
      <c r="L103" s="15">
        <v>0</v>
      </c>
      <c r="M103" s="15">
        <v>0</v>
      </c>
      <c r="N103" s="15">
        <f t="shared" si="37"/>
        <v>776072.66</v>
      </c>
      <c r="O103" s="15">
        <v>39471.919999999998</v>
      </c>
      <c r="P103" s="15">
        <f t="shared" si="38"/>
        <v>255.82</v>
      </c>
      <c r="Q103" s="15">
        <f>'Форма 2'!K406</f>
        <v>431</v>
      </c>
      <c r="R103" s="351" t="s">
        <v>290</v>
      </c>
      <c r="S103" s="153">
        <v>1</v>
      </c>
    </row>
    <row r="104" spans="1:19" s="41" customFormat="1" ht="15.75" customHeight="1" x14ac:dyDescent="0.25">
      <c r="A104" s="11">
        <f>A103+1</f>
        <v>17</v>
      </c>
      <c r="B104" s="11">
        <v>581</v>
      </c>
      <c r="C104" s="142" t="s">
        <v>126</v>
      </c>
      <c r="D104" s="134">
        <v>1972</v>
      </c>
      <c r="E104" s="134" t="s">
        <v>90</v>
      </c>
      <c r="F104" s="134" t="s">
        <v>82</v>
      </c>
      <c r="G104" s="15">
        <v>5877.2</v>
      </c>
      <c r="H104" s="15">
        <v>5442.2</v>
      </c>
      <c r="I104" s="10">
        <v>144</v>
      </c>
      <c r="J104" s="15">
        <f>'Форма 2'!I410</f>
        <v>2143906.52</v>
      </c>
      <c r="K104" s="15">
        <v>0</v>
      </c>
      <c r="L104" s="15">
        <v>0</v>
      </c>
      <c r="M104" s="15">
        <v>0</v>
      </c>
      <c r="N104" s="15">
        <f t="shared" si="37"/>
        <v>2078239.3</v>
      </c>
      <c r="O104" s="15">
        <v>65667.22</v>
      </c>
      <c r="P104" s="15">
        <f t="shared" si="38"/>
        <v>393.94</v>
      </c>
      <c r="Q104" s="15">
        <f>'Форма 2'!K410</f>
        <v>655</v>
      </c>
      <c r="R104" s="351" t="s">
        <v>290</v>
      </c>
      <c r="S104" s="153">
        <v>1</v>
      </c>
    </row>
    <row r="105" spans="1:19" s="41" customFormat="1" ht="15.75" customHeight="1" x14ac:dyDescent="0.25">
      <c r="A105" s="126">
        <f>A104+1</f>
        <v>18</v>
      </c>
      <c r="B105" s="126">
        <v>464</v>
      </c>
      <c r="C105" s="142" t="s">
        <v>431</v>
      </c>
      <c r="D105" s="126">
        <v>1963</v>
      </c>
      <c r="E105" s="134" t="s">
        <v>95</v>
      </c>
      <c r="F105" s="134" t="s">
        <v>87</v>
      </c>
      <c r="G105" s="15">
        <v>3976.25</v>
      </c>
      <c r="H105" s="15">
        <v>3691.3</v>
      </c>
      <c r="I105" s="10">
        <v>96</v>
      </c>
      <c r="J105" s="15">
        <f>'Форма 2'!I413</f>
        <v>702901.14</v>
      </c>
      <c r="K105" s="15">
        <v>0</v>
      </c>
      <c r="L105" s="15">
        <v>0</v>
      </c>
      <c r="M105" s="15">
        <v>0</v>
      </c>
      <c r="N105" s="15">
        <f t="shared" si="37"/>
        <v>659529.87</v>
      </c>
      <c r="O105" s="15">
        <v>43371.27</v>
      </c>
      <c r="P105" s="15">
        <f t="shared" si="38"/>
        <v>190.42</v>
      </c>
      <c r="Q105" s="15">
        <f>'Форма 2'!K413</f>
        <v>431</v>
      </c>
      <c r="R105" s="351" t="s">
        <v>290</v>
      </c>
      <c r="S105" s="153">
        <v>1</v>
      </c>
    </row>
    <row r="106" spans="1:19" s="41" customFormat="1" ht="15.75" customHeight="1" x14ac:dyDescent="0.25">
      <c r="A106" s="126">
        <f>A105+1</f>
        <v>19</v>
      </c>
      <c r="B106" s="126">
        <v>589</v>
      </c>
      <c r="C106" s="142" t="s">
        <v>432</v>
      </c>
      <c r="D106" s="126">
        <v>1972</v>
      </c>
      <c r="E106" s="134" t="s">
        <v>95</v>
      </c>
      <c r="F106" s="134" t="s">
        <v>87</v>
      </c>
      <c r="G106" s="15">
        <v>3857.4</v>
      </c>
      <c r="H106" s="15">
        <v>3398</v>
      </c>
      <c r="I106" s="10">
        <v>128</v>
      </c>
      <c r="J106" s="15">
        <f>'Форма 2'!I417</f>
        <v>814884.79</v>
      </c>
      <c r="K106" s="15">
        <v>0</v>
      </c>
      <c r="L106" s="15">
        <v>0</v>
      </c>
      <c r="M106" s="15">
        <v>0</v>
      </c>
      <c r="N106" s="15">
        <f>J106-K106-L106-M106-O106</f>
        <v>772812.11</v>
      </c>
      <c r="O106" s="15">
        <v>42072.68</v>
      </c>
      <c r="P106" s="15">
        <f>J106/H106</f>
        <v>239.81</v>
      </c>
      <c r="Q106" s="15">
        <f>'Форма 2'!K417</f>
        <v>431</v>
      </c>
      <c r="R106" s="351" t="s">
        <v>290</v>
      </c>
      <c r="S106" s="153">
        <v>1</v>
      </c>
    </row>
    <row r="107" spans="1:19" s="41" customFormat="1" ht="15.75" customHeight="1" x14ac:dyDescent="0.25">
      <c r="A107" s="126">
        <f t="shared" ref="A107" si="41">A106+1</f>
        <v>20</v>
      </c>
      <c r="B107" s="126">
        <v>510</v>
      </c>
      <c r="C107" s="142" t="s">
        <v>433</v>
      </c>
      <c r="D107" s="126">
        <v>1965</v>
      </c>
      <c r="E107" s="134" t="s">
        <v>95</v>
      </c>
      <c r="F107" s="134" t="s">
        <v>87</v>
      </c>
      <c r="G107" s="15">
        <v>4570.54</v>
      </c>
      <c r="H107" s="15">
        <v>3566.5</v>
      </c>
      <c r="I107" s="10">
        <v>135</v>
      </c>
      <c r="J107" s="15">
        <f>'Форма 2'!I421</f>
        <v>874388.74</v>
      </c>
      <c r="K107" s="15">
        <v>0</v>
      </c>
      <c r="L107" s="15">
        <v>0</v>
      </c>
      <c r="M107" s="15">
        <v>0</v>
      </c>
      <c r="N107" s="15">
        <f>J107-K107-L107-M107-O107</f>
        <v>830229.76</v>
      </c>
      <c r="O107" s="15">
        <v>44158.98</v>
      </c>
      <c r="P107" s="15">
        <f>J107/H107</f>
        <v>245.17</v>
      </c>
      <c r="Q107" s="15">
        <f>'Форма 2'!K421</f>
        <v>431</v>
      </c>
      <c r="R107" s="351" t="s">
        <v>290</v>
      </c>
      <c r="S107" s="153">
        <v>1</v>
      </c>
    </row>
    <row r="108" spans="1:19" s="41" customFormat="1" ht="15.75" customHeight="1" x14ac:dyDescent="0.25">
      <c r="A108" s="11">
        <f>A107+1</f>
        <v>21</v>
      </c>
      <c r="B108" s="11">
        <v>357</v>
      </c>
      <c r="C108" s="142" t="s">
        <v>127</v>
      </c>
      <c r="D108" s="134">
        <v>1960</v>
      </c>
      <c r="E108" s="134" t="s">
        <v>367</v>
      </c>
      <c r="F108" s="134" t="s">
        <v>82</v>
      </c>
      <c r="G108" s="15">
        <v>3250.08</v>
      </c>
      <c r="H108" s="15">
        <v>2588.5700000000002</v>
      </c>
      <c r="I108" s="10">
        <v>82</v>
      </c>
      <c r="J108" s="15">
        <f>'Форма 2'!I425</f>
        <v>13897524.93</v>
      </c>
      <c r="K108" s="15">
        <v>0</v>
      </c>
      <c r="L108" s="15">
        <v>0</v>
      </c>
      <c r="M108" s="15">
        <v>0</v>
      </c>
      <c r="N108" s="15">
        <f t="shared" si="37"/>
        <v>13498282.26</v>
      </c>
      <c r="O108" s="15">
        <v>399242.67</v>
      </c>
      <c r="P108" s="15">
        <f t="shared" si="38"/>
        <v>5368.8</v>
      </c>
      <c r="Q108" s="15">
        <f>'Форма 2'!K425</f>
        <v>11280</v>
      </c>
      <c r="R108" s="351" t="s">
        <v>290</v>
      </c>
      <c r="S108" s="153">
        <v>1</v>
      </c>
    </row>
    <row r="109" spans="1:19" s="41" customFormat="1" ht="15.75" customHeight="1" x14ac:dyDescent="0.25">
      <c r="A109" s="126">
        <f>A108+1</f>
        <v>22</v>
      </c>
      <c r="B109" s="126">
        <v>809</v>
      </c>
      <c r="C109" s="142" t="s">
        <v>460</v>
      </c>
      <c r="D109" s="134">
        <v>1986</v>
      </c>
      <c r="E109" s="134" t="s">
        <v>86</v>
      </c>
      <c r="F109" s="134" t="s">
        <v>87</v>
      </c>
      <c r="G109" s="15">
        <v>21764.1</v>
      </c>
      <c r="H109" s="15">
        <v>17398.099999999999</v>
      </c>
      <c r="I109" s="10">
        <v>581</v>
      </c>
      <c r="J109" s="15">
        <f>'Форма 2'!I430</f>
        <v>4671188.8600000003</v>
      </c>
      <c r="K109" s="15">
        <v>0</v>
      </c>
      <c r="L109" s="15">
        <v>0</v>
      </c>
      <c r="M109" s="15">
        <v>0</v>
      </c>
      <c r="N109" s="15">
        <f>J109-K109-L109-M109-O109</f>
        <v>4525042.66</v>
      </c>
      <c r="O109" s="15">
        <v>146146.20000000001</v>
      </c>
      <c r="P109" s="15">
        <f>J109/H109</f>
        <v>268.49</v>
      </c>
      <c r="Q109" s="15">
        <f>'Форма 2'!K430</f>
        <v>292.41000000000003</v>
      </c>
      <c r="R109" s="351" t="s">
        <v>290</v>
      </c>
      <c r="S109" s="153">
        <v>1</v>
      </c>
    </row>
    <row r="110" spans="1:19" s="41" customFormat="1" ht="15.75" customHeight="1" x14ac:dyDescent="0.25">
      <c r="A110" s="11">
        <f>A109+1</f>
        <v>23</v>
      </c>
      <c r="B110" s="11">
        <v>572</v>
      </c>
      <c r="C110" s="142" t="s">
        <v>128</v>
      </c>
      <c r="D110" s="134">
        <v>1971</v>
      </c>
      <c r="E110" s="134" t="s">
        <v>368</v>
      </c>
      <c r="F110" s="134" t="s">
        <v>82</v>
      </c>
      <c r="G110" s="15">
        <v>5679.3</v>
      </c>
      <c r="H110" s="15">
        <v>5283.3</v>
      </c>
      <c r="I110" s="10">
        <v>169</v>
      </c>
      <c r="J110" s="15">
        <f>'Форма 2'!I437</f>
        <v>11201779.6</v>
      </c>
      <c r="K110" s="15">
        <v>0</v>
      </c>
      <c r="L110" s="15">
        <v>0</v>
      </c>
      <c r="M110" s="15">
        <v>0</v>
      </c>
      <c r="N110" s="15">
        <f t="shared" si="37"/>
        <v>10783378.73</v>
      </c>
      <c r="O110" s="15">
        <v>418400.87</v>
      </c>
      <c r="P110" s="15">
        <f t="shared" si="38"/>
        <v>2120.2199999999998</v>
      </c>
      <c r="Q110" s="15">
        <f>'Форма 2'!K437</f>
        <v>4074</v>
      </c>
      <c r="R110" s="351" t="s">
        <v>290</v>
      </c>
      <c r="S110" s="153">
        <v>1</v>
      </c>
    </row>
    <row r="111" spans="1:19" s="41" customFormat="1" ht="15.75" customHeight="1" x14ac:dyDescent="0.25">
      <c r="A111" s="126">
        <f>A110+1</f>
        <v>24</v>
      </c>
      <c r="B111" s="126">
        <v>853</v>
      </c>
      <c r="C111" s="142" t="s">
        <v>446</v>
      </c>
      <c r="D111" s="134">
        <v>1990</v>
      </c>
      <c r="E111" s="134" t="s">
        <v>86</v>
      </c>
      <c r="F111" s="134" t="s">
        <v>82</v>
      </c>
      <c r="G111" s="15">
        <v>10478.4</v>
      </c>
      <c r="H111" s="15">
        <v>9128.6</v>
      </c>
      <c r="I111" s="10">
        <v>416</v>
      </c>
      <c r="J111" s="15">
        <f>'Форма 2'!I446</f>
        <v>7042411.54</v>
      </c>
      <c r="K111" s="15">
        <v>0</v>
      </c>
      <c r="L111" s="15">
        <v>0</v>
      </c>
      <c r="M111" s="15">
        <v>0</v>
      </c>
      <c r="N111" s="15">
        <f>J111-K111-L111-M111-O111</f>
        <v>6839486.4400000004</v>
      </c>
      <c r="O111" s="15">
        <v>202925.1</v>
      </c>
      <c r="P111" s="15">
        <f>J111/H111</f>
        <v>771.47</v>
      </c>
      <c r="Q111" s="15">
        <f>'Форма 2'!K446</f>
        <v>1003.27</v>
      </c>
      <c r="R111" s="351" t="s">
        <v>290</v>
      </c>
      <c r="S111" s="153">
        <v>1</v>
      </c>
    </row>
    <row r="112" spans="1:19" s="41" customFormat="1" ht="31.5" customHeight="1" x14ac:dyDescent="0.25">
      <c r="A112" s="11">
        <f>A111+1</f>
        <v>25</v>
      </c>
      <c r="B112" s="11">
        <v>774</v>
      </c>
      <c r="C112" s="142" t="s">
        <v>96</v>
      </c>
      <c r="D112" s="134" t="s">
        <v>97</v>
      </c>
      <c r="E112" s="134" t="s">
        <v>358</v>
      </c>
      <c r="F112" s="134" t="s">
        <v>82</v>
      </c>
      <c r="G112" s="15">
        <v>15418.66</v>
      </c>
      <c r="H112" s="15">
        <v>14583.46</v>
      </c>
      <c r="I112" s="10">
        <v>518</v>
      </c>
      <c r="J112" s="15">
        <f>'Форма 2'!I455</f>
        <v>29286013.260000002</v>
      </c>
      <c r="K112" s="15">
        <v>0</v>
      </c>
      <c r="L112" s="15">
        <v>0</v>
      </c>
      <c r="M112" s="15">
        <v>0</v>
      </c>
      <c r="N112" s="15">
        <f t="shared" si="37"/>
        <v>28152340.109999999</v>
      </c>
      <c r="O112" s="15">
        <v>1133673.1499999999</v>
      </c>
      <c r="P112" s="15">
        <f t="shared" si="38"/>
        <v>2008.17</v>
      </c>
      <c r="Q112" s="15">
        <f>'Форма 2'!K455</f>
        <v>2706</v>
      </c>
      <c r="R112" s="351" t="s">
        <v>290</v>
      </c>
      <c r="S112" s="153">
        <v>1</v>
      </c>
    </row>
    <row r="113" spans="1:19" s="41" customFormat="1" ht="15.75" customHeight="1" x14ac:dyDescent="0.25">
      <c r="A113" s="11">
        <f t="shared" si="39"/>
        <v>26</v>
      </c>
      <c r="B113" s="11">
        <v>453</v>
      </c>
      <c r="C113" s="142" t="s">
        <v>98</v>
      </c>
      <c r="D113" s="134">
        <v>1963</v>
      </c>
      <c r="E113" s="134" t="s">
        <v>181</v>
      </c>
      <c r="F113" s="134" t="s">
        <v>82</v>
      </c>
      <c r="G113" s="15">
        <v>2714.9</v>
      </c>
      <c r="H113" s="15">
        <v>2382.92</v>
      </c>
      <c r="I113" s="10">
        <v>90</v>
      </c>
      <c r="J113" s="15">
        <f>'Форма 2'!I462</f>
        <v>4950299.2</v>
      </c>
      <c r="K113" s="15">
        <v>0</v>
      </c>
      <c r="L113" s="15">
        <v>0</v>
      </c>
      <c r="M113" s="15">
        <v>0</v>
      </c>
      <c r="N113" s="15">
        <f t="shared" si="37"/>
        <v>4791328.72</v>
      </c>
      <c r="O113" s="15">
        <v>158970.48000000001</v>
      </c>
      <c r="P113" s="15">
        <f t="shared" si="38"/>
        <v>2077.41</v>
      </c>
      <c r="Q113" s="15">
        <f>'Форма 2'!K462</f>
        <v>3878</v>
      </c>
      <c r="R113" s="351" t="s">
        <v>290</v>
      </c>
      <c r="S113" s="153">
        <v>1</v>
      </c>
    </row>
    <row r="114" spans="1:19" s="41" customFormat="1" ht="15" customHeight="1" x14ac:dyDescent="0.25">
      <c r="A114" s="126">
        <f>A113+1</f>
        <v>27</v>
      </c>
      <c r="B114" s="126">
        <v>157</v>
      </c>
      <c r="C114" s="124" t="s">
        <v>596</v>
      </c>
      <c r="D114" s="134">
        <v>1951</v>
      </c>
      <c r="E114" s="134" t="s">
        <v>95</v>
      </c>
      <c r="F114" s="134" t="s">
        <v>81</v>
      </c>
      <c r="G114" s="15">
        <v>523.4</v>
      </c>
      <c r="H114" s="15">
        <v>482.4</v>
      </c>
      <c r="I114" s="10">
        <v>31</v>
      </c>
      <c r="J114" s="15">
        <f>'Форма 2'!I465</f>
        <v>35215.199999999997</v>
      </c>
      <c r="K114" s="15">
        <v>0</v>
      </c>
      <c r="L114" s="15">
        <v>0</v>
      </c>
      <c r="M114" s="15">
        <v>0</v>
      </c>
      <c r="N114" s="15">
        <f t="shared" si="37"/>
        <v>35215.199999999997</v>
      </c>
      <c r="O114" s="15">
        <v>0</v>
      </c>
      <c r="P114" s="15">
        <f t="shared" si="38"/>
        <v>73</v>
      </c>
      <c r="Q114" s="15">
        <f>'Форма 2'!K465</f>
        <v>73</v>
      </c>
      <c r="R114" s="351" t="s">
        <v>290</v>
      </c>
      <c r="S114" s="153">
        <v>1</v>
      </c>
    </row>
    <row r="115" spans="1:19" s="41" customFormat="1" ht="15.75" customHeight="1" x14ac:dyDescent="0.25">
      <c r="A115" s="11">
        <f>A114+1</f>
        <v>28</v>
      </c>
      <c r="B115" s="11">
        <v>850</v>
      </c>
      <c r="C115" s="142" t="s">
        <v>99</v>
      </c>
      <c r="D115" s="134">
        <v>1989</v>
      </c>
      <c r="E115" s="134" t="s">
        <v>369</v>
      </c>
      <c r="F115" s="134" t="s">
        <v>82</v>
      </c>
      <c r="G115" s="15">
        <v>2018.5</v>
      </c>
      <c r="H115" s="15">
        <v>1771.5</v>
      </c>
      <c r="I115" s="10">
        <v>78</v>
      </c>
      <c r="J115" s="15">
        <f>'Форма 2'!I467</f>
        <v>5954464.9000000004</v>
      </c>
      <c r="K115" s="15">
        <v>0</v>
      </c>
      <c r="L115" s="15">
        <v>0</v>
      </c>
      <c r="M115" s="15">
        <v>0</v>
      </c>
      <c r="N115" s="15">
        <f t="shared" si="37"/>
        <v>5783407.3600000003</v>
      </c>
      <c r="O115" s="15">
        <v>171057.54</v>
      </c>
      <c r="P115" s="15">
        <f t="shared" si="38"/>
        <v>3361.26</v>
      </c>
      <c r="Q115" s="15">
        <f>'Форма 2'!K467</f>
        <v>5349</v>
      </c>
      <c r="R115" s="351" t="s">
        <v>290</v>
      </c>
      <c r="S115" s="153">
        <v>1</v>
      </c>
    </row>
    <row r="116" spans="1:19" s="41" customFormat="1" ht="15.75" customHeight="1" x14ac:dyDescent="0.25">
      <c r="A116" s="11">
        <f t="shared" si="39"/>
        <v>29</v>
      </c>
      <c r="B116" s="11">
        <v>987</v>
      </c>
      <c r="C116" s="142" t="s">
        <v>361</v>
      </c>
      <c r="D116" s="134">
        <v>1991</v>
      </c>
      <c r="E116" s="134" t="s">
        <v>370</v>
      </c>
      <c r="F116" s="134" t="s">
        <v>87</v>
      </c>
      <c r="G116" s="15">
        <v>2842.9</v>
      </c>
      <c r="H116" s="15">
        <v>2713.5</v>
      </c>
      <c r="I116" s="10">
        <v>103</v>
      </c>
      <c r="J116" s="15">
        <f>'Форма 2'!I476</f>
        <v>2221062.4900000002</v>
      </c>
      <c r="K116" s="15">
        <v>0</v>
      </c>
      <c r="L116" s="15">
        <v>0</v>
      </c>
      <c r="M116" s="15">
        <v>0</v>
      </c>
      <c r="N116" s="15">
        <f t="shared" si="37"/>
        <v>2142503.0499999998</v>
      </c>
      <c r="O116" s="15">
        <v>78559.44</v>
      </c>
      <c r="P116" s="15">
        <f t="shared" si="38"/>
        <v>818.52</v>
      </c>
      <c r="Q116" s="15">
        <f>'Форма 2'!K476</f>
        <v>1019.69</v>
      </c>
      <c r="R116" s="351" t="s">
        <v>290</v>
      </c>
      <c r="S116" s="153">
        <v>1</v>
      </c>
    </row>
    <row r="117" spans="1:19" s="41" customFormat="1" ht="15.75" customHeight="1" x14ac:dyDescent="0.25">
      <c r="A117" s="11">
        <f t="shared" si="39"/>
        <v>30</v>
      </c>
      <c r="B117" s="11">
        <v>555</v>
      </c>
      <c r="C117" s="142" t="s">
        <v>100</v>
      </c>
      <c r="D117" s="134">
        <v>1969</v>
      </c>
      <c r="E117" s="134" t="s">
        <v>95</v>
      </c>
      <c r="F117" s="134" t="s">
        <v>82</v>
      </c>
      <c r="G117" s="15">
        <v>2721.2</v>
      </c>
      <c r="H117" s="15">
        <v>2510.5</v>
      </c>
      <c r="I117" s="10">
        <v>95</v>
      </c>
      <c r="J117" s="15">
        <f>'Форма 2'!I481</f>
        <v>723771</v>
      </c>
      <c r="K117" s="15">
        <v>0</v>
      </c>
      <c r="L117" s="15">
        <v>0</v>
      </c>
      <c r="M117" s="15">
        <v>0</v>
      </c>
      <c r="N117" s="15">
        <f t="shared" si="37"/>
        <v>700679.58</v>
      </c>
      <c r="O117" s="15">
        <v>23091.42</v>
      </c>
      <c r="P117" s="15">
        <f t="shared" si="38"/>
        <v>288.3</v>
      </c>
      <c r="Q117" s="15">
        <f>'Форма 2'!K481</f>
        <v>362</v>
      </c>
      <c r="R117" s="351" t="s">
        <v>290</v>
      </c>
      <c r="S117" s="153">
        <v>1</v>
      </c>
    </row>
    <row r="118" spans="1:19" s="41" customFormat="1" ht="15.75" customHeight="1" x14ac:dyDescent="0.25">
      <c r="A118" s="11">
        <f t="shared" si="39"/>
        <v>31</v>
      </c>
      <c r="B118" s="11">
        <v>601</v>
      </c>
      <c r="C118" s="142" t="s">
        <v>129</v>
      </c>
      <c r="D118" s="134">
        <v>1973</v>
      </c>
      <c r="E118" s="134" t="s">
        <v>368</v>
      </c>
      <c r="F118" s="134" t="s">
        <v>82</v>
      </c>
      <c r="G118" s="15">
        <v>3244</v>
      </c>
      <c r="H118" s="15">
        <v>2902</v>
      </c>
      <c r="I118" s="10">
        <v>112</v>
      </c>
      <c r="J118" s="15">
        <f>'Форма 2'!I484</f>
        <v>9311103.7400000002</v>
      </c>
      <c r="K118" s="15">
        <v>0</v>
      </c>
      <c r="L118" s="15">
        <v>0</v>
      </c>
      <c r="M118" s="15">
        <v>0</v>
      </c>
      <c r="N118" s="15">
        <f t="shared" si="37"/>
        <v>9032898.9700000007</v>
      </c>
      <c r="O118" s="15">
        <v>278204.77</v>
      </c>
      <c r="P118" s="15">
        <f t="shared" si="38"/>
        <v>3208.51</v>
      </c>
      <c r="Q118" s="15">
        <f>'Форма 2'!K484</f>
        <v>4706</v>
      </c>
      <c r="R118" s="351" t="s">
        <v>290</v>
      </c>
      <c r="S118" s="153">
        <v>1</v>
      </c>
    </row>
    <row r="119" spans="1:19" s="41" customFormat="1" ht="15" customHeight="1" x14ac:dyDescent="0.25">
      <c r="A119" s="126">
        <f>A118+1</f>
        <v>32</v>
      </c>
      <c r="B119" s="126">
        <v>119</v>
      </c>
      <c r="C119" s="124" t="s">
        <v>597</v>
      </c>
      <c r="D119" s="134">
        <v>1946</v>
      </c>
      <c r="E119" s="134" t="s">
        <v>95</v>
      </c>
      <c r="F119" s="134" t="s">
        <v>81</v>
      </c>
      <c r="G119" s="15">
        <v>833.1</v>
      </c>
      <c r="H119" s="15">
        <v>811.7</v>
      </c>
      <c r="I119" s="10">
        <v>31</v>
      </c>
      <c r="J119" s="15">
        <f>'Форма 2'!I493</f>
        <v>59254.1</v>
      </c>
      <c r="K119" s="15">
        <v>0</v>
      </c>
      <c r="L119" s="15">
        <v>0</v>
      </c>
      <c r="M119" s="15">
        <v>0</v>
      </c>
      <c r="N119" s="15">
        <f t="shared" si="37"/>
        <v>59254.1</v>
      </c>
      <c r="O119" s="15">
        <v>0</v>
      </c>
      <c r="P119" s="15">
        <f t="shared" si="38"/>
        <v>73</v>
      </c>
      <c r="Q119" s="15">
        <f>'Форма 2'!K493</f>
        <v>73</v>
      </c>
      <c r="R119" s="351" t="s">
        <v>290</v>
      </c>
      <c r="S119" s="153">
        <v>1</v>
      </c>
    </row>
    <row r="120" spans="1:19" s="41" customFormat="1" ht="15" customHeight="1" x14ac:dyDescent="0.25">
      <c r="A120" s="126">
        <f>A119+1</f>
        <v>33</v>
      </c>
      <c r="B120" s="126">
        <v>888</v>
      </c>
      <c r="C120" s="124" t="s">
        <v>598</v>
      </c>
      <c r="D120" s="134">
        <v>1992</v>
      </c>
      <c r="E120" s="134" t="s">
        <v>86</v>
      </c>
      <c r="F120" s="134" t="s">
        <v>81</v>
      </c>
      <c r="G120" s="15">
        <v>4170.8</v>
      </c>
      <c r="H120" s="15">
        <v>3557.4</v>
      </c>
      <c r="I120" s="10">
        <v>134</v>
      </c>
      <c r="J120" s="15">
        <f>'Форма 2'!I495</f>
        <v>64562</v>
      </c>
      <c r="K120" s="15">
        <v>0</v>
      </c>
      <c r="L120" s="15">
        <v>0</v>
      </c>
      <c r="M120" s="15">
        <v>0</v>
      </c>
      <c r="N120" s="15">
        <f>J120-K120-L120-M120-O120</f>
        <v>64562</v>
      </c>
      <c r="O120" s="15">
        <v>0</v>
      </c>
      <c r="P120" s="15">
        <f>J120/H120</f>
        <v>18.149999999999999</v>
      </c>
      <c r="Q120" s="15">
        <f>'Форма 2'!K495</f>
        <v>18.149999999999999</v>
      </c>
      <c r="R120" s="351" t="s">
        <v>290</v>
      </c>
      <c r="S120" s="153">
        <v>1</v>
      </c>
    </row>
    <row r="121" spans="1:19" s="41" customFormat="1" ht="15.75" customHeight="1" x14ac:dyDescent="0.25">
      <c r="A121" s="184" t="s">
        <v>101</v>
      </c>
      <c r="B121" s="184"/>
      <c r="C121" s="184"/>
      <c r="D121" s="134" t="s">
        <v>13</v>
      </c>
      <c r="E121" s="126" t="s">
        <v>13</v>
      </c>
      <c r="F121" s="126" t="s">
        <v>13</v>
      </c>
      <c r="G121" s="15">
        <f t="shared" ref="G121:O121" si="42">SUM(G122:G139)</f>
        <v>106704.41</v>
      </c>
      <c r="H121" s="15">
        <f t="shared" si="42"/>
        <v>89024.47</v>
      </c>
      <c r="I121" s="10">
        <f t="shared" si="42"/>
        <v>3902</v>
      </c>
      <c r="J121" s="15">
        <f t="shared" si="42"/>
        <v>96416844.049999997</v>
      </c>
      <c r="K121" s="15">
        <f t="shared" si="42"/>
        <v>0</v>
      </c>
      <c r="L121" s="15">
        <f t="shared" si="42"/>
        <v>0</v>
      </c>
      <c r="M121" s="15">
        <f t="shared" si="42"/>
        <v>0</v>
      </c>
      <c r="N121" s="15">
        <f t="shared" si="42"/>
        <v>93501335.599999994</v>
      </c>
      <c r="O121" s="15">
        <f t="shared" si="42"/>
        <v>2915508.45</v>
      </c>
      <c r="P121" s="126" t="s">
        <v>13</v>
      </c>
      <c r="Q121" s="126" t="s">
        <v>13</v>
      </c>
      <c r="R121" s="126" t="s">
        <v>13</v>
      </c>
      <c r="S121" s="126" t="s">
        <v>13</v>
      </c>
    </row>
    <row r="122" spans="1:19" s="41" customFormat="1" ht="15.75" customHeight="1" x14ac:dyDescent="0.25">
      <c r="A122" s="126">
        <f>A120+1</f>
        <v>34</v>
      </c>
      <c r="B122" s="126">
        <v>1804</v>
      </c>
      <c r="C122" s="142" t="s">
        <v>494</v>
      </c>
      <c r="D122" s="134">
        <v>1993</v>
      </c>
      <c r="E122" s="134" t="s">
        <v>86</v>
      </c>
      <c r="F122" s="134" t="s">
        <v>87</v>
      </c>
      <c r="G122" s="15">
        <v>8111.4</v>
      </c>
      <c r="H122" s="15">
        <v>7304.76</v>
      </c>
      <c r="I122" s="10">
        <v>183</v>
      </c>
      <c r="J122" s="15">
        <f>'Форма 2'!I498</f>
        <v>6936897.2400000002</v>
      </c>
      <c r="K122" s="15">
        <v>0</v>
      </c>
      <c r="L122" s="15">
        <v>0</v>
      </c>
      <c r="M122" s="15">
        <v>0</v>
      </c>
      <c r="N122" s="15">
        <f>J122-K122-L122-M122-O122</f>
        <v>6717677.9400000004</v>
      </c>
      <c r="O122" s="15">
        <v>219219.3</v>
      </c>
      <c r="P122" s="15">
        <f>J122/H122</f>
        <v>949.64</v>
      </c>
      <c r="Q122" s="15">
        <f>'Форма 2'!K498</f>
        <v>1044.6600000000001</v>
      </c>
      <c r="R122" s="351" t="s">
        <v>290</v>
      </c>
      <c r="S122" s="153">
        <v>1</v>
      </c>
    </row>
    <row r="123" spans="1:19" s="41" customFormat="1" ht="15.75" customHeight="1" x14ac:dyDescent="0.25">
      <c r="A123" s="126">
        <f>A122+1</f>
        <v>35</v>
      </c>
      <c r="B123" s="126">
        <v>1687</v>
      </c>
      <c r="C123" s="142" t="s">
        <v>448</v>
      </c>
      <c r="D123" s="134">
        <v>1993</v>
      </c>
      <c r="E123" s="134" t="s">
        <v>86</v>
      </c>
      <c r="F123" s="134" t="s">
        <v>82</v>
      </c>
      <c r="G123" s="15">
        <v>11194.48</v>
      </c>
      <c r="H123" s="15">
        <v>9731</v>
      </c>
      <c r="I123" s="10">
        <v>401</v>
      </c>
      <c r="J123" s="15">
        <f>'Форма 2'!I508</f>
        <v>8380545.1900000004</v>
      </c>
      <c r="K123" s="15">
        <v>0</v>
      </c>
      <c r="L123" s="15">
        <v>0</v>
      </c>
      <c r="M123" s="15">
        <v>0</v>
      </c>
      <c r="N123" s="15">
        <f>J123-K123-L123-M123-O123</f>
        <v>8137167.3300000001</v>
      </c>
      <c r="O123" s="15">
        <v>243377.86</v>
      </c>
      <c r="P123" s="15">
        <f>J123/H123</f>
        <v>861.22</v>
      </c>
      <c r="Q123" s="15">
        <f>'Форма 2'!K508</f>
        <v>941.16</v>
      </c>
      <c r="R123" s="351" t="s">
        <v>290</v>
      </c>
      <c r="S123" s="153">
        <v>1</v>
      </c>
    </row>
    <row r="124" spans="1:19" s="41" customFormat="1" ht="15.75" customHeight="1" x14ac:dyDescent="0.25">
      <c r="A124" s="11">
        <f t="shared" ref="A124:A125" si="43">A123+1</f>
        <v>36</v>
      </c>
      <c r="B124" s="11">
        <v>1408</v>
      </c>
      <c r="C124" s="142" t="s">
        <v>130</v>
      </c>
      <c r="D124" s="134">
        <v>1974</v>
      </c>
      <c r="E124" s="134" t="s">
        <v>68</v>
      </c>
      <c r="F124" s="134" t="s">
        <v>82</v>
      </c>
      <c r="G124" s="15">
        <v>3637.29</v>
      </c>
      <c r="H124" s="15">
        <v>3363.29</v>
      </c>
      <c r="I124" s="10">
        <v>159</v>
      </c>
      <c r="J124" s="15">
        <f>'Форма 2'!I517</f>
        <v>5195930.8499999996</v>
      </c>
      <c r="K124" s="15">
        <v>0</v>
      </c>
      <c r="L124" s="15">
        <v>0</v>
      </c>
      <c r="M124" s="15">
        <v>0</v>
      </c>
      <c r="N124" s="15">
        <f t="shared" ref="N124:N139" si="44">J124-K124-L124-M124-O124</f>
        <v>5028007.71</v>
      </c>
      <c r="O124" s="15">
        <v>167923.14</v>
      </c>
      <c r="P124" s="15">
        <f t="shared" ref="P124:P139" si="45">J124/H124</f>
        <v>1544.9</v>
      </c>
      <c r="Q124" s="15">
        <f>'Форма 2'!K517</f>
        <v>3878</v>
      </c>
      <c r="R124" s="351" t="s">
        <v>290</v>
      </c>
      <c r="S124" s="153">
        <v>1</v>
      </c>
    </row>
    <row r="125" spans="1:19" s="41" customFormat="1" ht="15.75" customHeight="1" x14ac:dyDescent="0.25">
      <c r="A125" s="11">
        <f t="shared" si="43"/>
        <v>37</v>
      </c>
      <c r="B125" s="11">
        <v>1410</v>
      </c>
      <c r="C125" s="142" t="s">
        <v>131</v>
      </c>
      <c r="D125" s="134">
        <v>1975</v>
      </c>
      <c r="E125" s="134" t="s">
        <v>367</v>
      </c>
      <c r="F125" s="134" t="s">
        <v>82</v>
      </c>
      <c r="G125" s="15">
        <v>2221.5</v>
      </c>
      <c r="H125" s="15">
        <v>1477.5</v>
      </c>
      <c r="I125" s="10">
        <v>108</v>
      </c>
      <c r="J125" s="15">
        <f>'Форма 2'!I520</f>
        <v>13870834.109999999</v>
      </c>
      <c r="K125" s="15">
        <v>0</v>
      </c>
      <c r="L125" s="15">
        <v>0</v>
      </c>
      <c r="M125" s="15">
        <v>0</v>
      </c>
      <c r="N125" s="15">
        <f t="shared" si="44"/>
        <v>13472358.199999999</v>
      </c>
      <c r="O125" s="15">
        <v>398475.91</v>
      </c>
      <c r="P125" s="15">
        <f t="shared" si="45"/>
        <v>9388.0400000000009</v>
      </c>
      <c r="Q125" s="15">
        <f>'Форма 2'!K520</f>
        <v>12079</v>
      </c>
      <c r="R125" s="351" t="s">
        <v>290</v>
      </c>
      <c r="S125" s="153">
        <v>1</v>
      </c>
    </row>
    <row r="126" spans="1:19" s="41" customFormat="1" x14ac:dyDescent="0.25">
      <c r="A126" s="126">
        <f>A125+1</f>
        <v>38</v>
      </c>
      <c r="B126" s="126">
        <v>1938</v>
      </c>
      <c r="C126" s="124" t="s">
        <v>599</v>
      </c>
      <c r="D126" s="134">
        <v>1961</v>
      </c>
      <c r="E126" s="134" t="s">
        <v>107</v>
      </c>
      <c r="F126" s="134" t="s">
        <v>81</v>
      </c>
      <c r="G126" s="15">
        <v>1721.16</v>
      </c>
      <c r="H126" s="15">
        <v>1618</v>
      </c>
      <c r="I126" s="10">
        <v>50</v>
      </c>
      <c r="J126" s="15">
        <f>'Форма 2'!I527</f>
        <v>360814</v>
      </c>
      <c r="K126" s="15">
        <v>0</v>
      </c>
      <c r="L126" s="15">
        <v>0</v>
      </c>
      <c r="M126" s="15">
        <v>0</v>
      </c>
      <c r="N126" s="15">
        <f t="shared" si="44"/>
        <v>360814</v>
      </c>
      <c r="O126" s="15">
        <v>0</v>
      </c>
      <c r="P126" s="15">
        <f t="shared" si="45"/>
        <v>223</v>
      </c>
      <c r="Q126" s="15">
        <f>'Форма 2'!K527</f>
        <v>223</v>
      </c>
      <c r="R126" s="351" t="s">
        <v>290</v>
      </c>
      <c r="S126" s="153">
        <v>1</v>
      </c>
    </row>
    <row r="127" spans="1:19" s="41" customFormat="1" ht="15" customHeight="1" x14ac:dyDescent="0.25">
      <c r="A127" s="126">
        <f>A126+1</f>
        <v>39</v>
      </c>
      <c r="B127" s="126">
        <v>1021</v>
      </c>
      <c r="C127" s="124" t="s">
        <v>600</v>
      </c>
      <c r="D127" s="134">
        <v>1993</v>
      </c>
      <c r="E127" s="134" t="s">
        <v>86</v>
      </c>
      <c r="F127" s="134" t="s">
        <v>81</v>
      </c>
      <c r="G127" s="15">
        <v>8742.6</v>
      </c>
      <c r="H127" s="15">
        <v>8061.42</v>
      </c>
      <c r="I127" s="10">
        <v>254</v>
      </c>
      <c r="J127" s="15">
        <f>'Форма 2'!I532</f>
        <v>129124</v>
      </c>
      <c r="K127" s="15">
        <v>0</v>
      </c>
      <c r="L127" s="15">
        <v>0</v>
      </c>
      <c r="M127" s="15">
        <v>0</v>
      </c>
      <c r="N127" s="15">
        <f t="shared" si="44"/>
        <v>129124</v>
      </c>
      <c r="O127" s="15">
        <v>0</v>
      </c>
      <c r="P127" s="15">
        <f t="shared" si="45"/>
        <v>16.02</v>
      </c>
      <c r="Q127" s="15">
        <f>'Форма 2'!K532</f>
        <v>16.02</v>
      </c>
      <c r="R127" s="351" t="s">
        <v>290</v>
      </c>
      <c r="S127" s="153">
        <v>1</v>
      </c>
    </row>
    <row r="128" spans="1:19" s="41" customFormat="1" ht="15" customHeight="1" x14ac:dyDescent="0.25">
      <c r="A128" s="126">
        <f t="shared" ref="A128:A129" si="46">A127+1</f>
        <v>40</v>
      </c>
      <c r="B128" s="126">
        <v>1284</v>
      </c>
      <c r="C128" s="124" t="s">
        <v>601</v>
      </c>
      <c r="D128" s="134">
        <v>1995</v>
      </c>
      <c r="E128" s="134" t="s">
        <v>86</v>
      </c>
      <c r="F128" s="134" t="s">
        <v>81</v>
      </c>
      <c r="G128" s="15">
        <v>4536.2</v>
      </c>
      <c r="H128" s="15">
        <v>3691.9</v>
      </c>
      <c r="I128" s="10">
        <v>165</v>
      </c>
      <c r="J128" s="15">
        <f>'Форма 2'!I537</f>
        <v>64562</v>
      </c>
      <c r="K128" s="15">
        <v>0</v>
      </c>
      <c r="L128" s="15">
        <v>0</v>
      </c>
      <c r="M128" s="15">
        <v>0</v>
      </c>
      <c r="N128" s="15">
        <f t="shared" si="44"/>
        <v>64562</v>
      </c>
      <c r="O128" s="15">
        <v>0</v>
      </c>
      <c r="P128" s="15">
        <f t="shared" si="45"/>
        <v>17.489999999999998</v>
      </c>
      <c r="Q128" s="15">
        <f>'Форма 2'!K537</f>
        <v>17.489999999999998</v>
      </c>
      <c r="R128" s="351" t="s">
        <v>290</v>
      </c>
      <c r="S128" s="153">
        <v>1</v>
      </c>
    </row>
    <row r="129" spans="1:19" s="41" customFormat="1" ht="15" customHeight="1" x14ac:dyDescent="0.25">
      <c r="A129" s="126">
        <f t="shared" si="46"/>
        <v>41</v>
      </c>
      <c r="B129" s="126">
        <v>1292</v>
      </c>
      <c r="C129" s="124" t="s">
        <v>602</v>
      </c>
      <c r="D129" s="134" t="s">
        <v>659</v>
      </c>
      <c r="E129" s="134" t="s">
        <v>86</v>
      </c>
      <c r="F129" s="134" t="s">
        <v>81</v>
      </c>
      <c r="G129" s="15">
        <v>11836</v>
      </c>
      <c r="H129" s="15">
        <v>9049.9</v>
      </c>
      <c r="I129" s="10">
        <v>358</v>
      </c>
      <c r="J129" s="15">
        <f>'Форма 2'!I540</f>
        <v>32281</v>
      </c>
      <c r="K129" s="15">
        <v>0</v>
      </c>
      <c r="L129" s="15">
        <v>0</v>
      </c>
      <c r="M129" s="15">
        <v>0</v>
      </c>
      <c r="N129" s="15">
        <f t="shared" si="44"/>
        <v>32281</v>
      </c>
      <c r="O129" s="15">
        <v>0</v>
      </c>
      <c r="P129" s="15">
        <f t="shared" si="45"/>
        <v>3.57</v>
      </c>
      <c r="Q129" s="15">
        <f>'Форма 2'!K540</f>
        <v>3.57</v>
      </c>
      <c r="R129" s="351" t="s">
        <v>290</v>
      </c>
      <c r="S129" s="153">
        <v>1</v>
      </c>
    </row>
    <row r="130" spans="1:19" s="41" customFormat="1" ht="31.5" customHeight="1" x14ac:dyDescent="0.25">
      <c r="A130" s="126">
        <f>A129+1</f>
        <v>42</v>
      </c>
      <c r="B130" s="126">
        <v>1057</v>
      </c>
      <c r="C130" s="142" t="s">
        <v>555</v>
      </c>
      <c r="D130" s="134" t="s">
        <v>568</v>
      </c>
      <c r="E130" s="134" t="s">
        <v>86</v>
      </c>
      <c r="F130" s="134" t="s">
        <v>87</v>
      </c>
      <c r="G130" s="15">
        <v>20649.8</v>
      </c>
      <c r="H130" s="15">
        <v>15850.4</v>
      </c>
      <c r="I130" s="10">
        <v>599</v>
      </c>
      <c r="J130" s="15">
        <f>'Форма 2'!I542</f>
        <v>5170957.3899999997</v>
      </c>
      <c r="K130" s="15">
        <v>0</v>
      </c>
      <c r="L130" s="15">
        <v>0</v>
      </c>
      <c r="M130" s="15">
        <v>0</v>
      </c>
      <c r="N130" s="15">
        <f>J130-K130-L130-M130-O130</f>
        <v>4970849.57</v>
      </c>
      <c r="O130" s="15">
        <v>200107.82</v>
      </c>
      <c r="P130" s="15">
        <f>J130/H130</f>
        <v>326.24</v>
      </c>
      <c r="Q130" s="15">
        <f>'Форма 2'!K542</f>
        <v>439.47</v>
      </c>
      <c r="R130" s="351" t="s">
        <v>290</v>
      </c>
      <c r="S130" s="153">
        <v>1</v>
      </c>
    </row>
    <row r="131" spans="1:19" s="41" customFormat="1" ht="15.75" customHeight="1" x14ac:dyDescent="0.25">
      <c r="A131" s="126">
        <f>A130+1</f>
        <v>43</v>
      </c>
      <c r="B131" s="126">
        <v>1605</v>
      </c>
      <c r="C131" s="142" t="s">
        <v>447</v>
      </c>
      <c r="D131" s="134">
        <v>1991</v>
      </c>
      <c r="E131" s="134" t="s">
        <v>86</v>
      </c>
      <c r="F131" s="134" t="s">
        <v>82</v>
      </c>
      <c r="G131" s="15">
        <v>5583</v>
      </c>
      <c r="H131" s="15">
        <v>4850.8999999999996</v>
      </c>
      <c r="I131" s="10">
        <v>183</v>
      </c>
      <c r="J131" s="15">
        <f>'Форма 2'!I552</f>
        <v>4189663.37</v>
      </c>
      <c r="K131" s="15">
        <v>0</v>
      </c>
      <c r="L131" s="15">
        <v>0</v>
      </c>
      <c r="M131" s="15">
        <v>0</v>
      </c>
      <c r="N131" s="15">
        <f>J131-K131-L131-M131-O131</f>
        <v>4068006.55</v>
      </c>
      <c r="O131" s="15">
        <v>121656.82</v>
      </c>
      <c r="P131" s="15">
        <f>J131/H131</f>
        <v>863.69</v>
      </c>
      <c r="Q131" s="15">
        <f>'Форма 2'!K552</f>
        <v>944</v>
      </c>
      <c r="R131" s="351" t="s">
        <v>290</v>
      </c>
      <c r="S131" s="153">
        <v>1</v>
      </c>
    </row>
    <row r="132" spans="1:19" s="41" customFormat="1" ht="15.75" customHeight="1" x14ac:dyDescent="0.25">
      <c r="A132" s="126">
        <f>A131+1</f>
        <v>44</v>
      </c>
      <c r="B132" s="126">
        <v>1445</v>
      </c>
      <c r="C132" s="142" t="s">
        <v>495</v>
      </c>
      <c r="D132" s="134">
        <v>1991</v>
      </c>
      <c r="E132" s="134" t="s">
        <v>68</v>
      </c>
      <c r="F132" s="134" t="s">
        <v>114</v>
      </c>
      <c r="G132" s="15">
        <v>1572.4</v>
      </c>
      <c r="H132" s="15">
        <v>1372.4</v>
      </c>
      <c r="I132" s="10">
        <v>52</v>
      </c>
      <c r="J132" s="15">
        <f>'Форма 2'!I557</f>
        <v>2010413.63</v>
      </c>
      <c r="K132" s="15">
        <v>0</v>
      </c>
      <c r="L132" s="15">
        <v>0</v>
      </c>
      <c r="M132" s="15">
        <v>0</v>
      </c>
      <c r="N132" s="15">
        <f t="shared" si="44"/>
        <v>1952659.25</v>
      </c>
      <c r="O132" s="15">
        <v>57754.38</v>
      </c>
      <c r="P132" s="15">
        <f t="shared" si="45"/>
        <v>1464.89</v>
      </c>
      <c r="Q132" s="15">
        <f>'Форма 2'!K557</f>
        <v>3878</v>
      </c>
      <c r="R132" s="351" t="s">
        <v>290</v>
      </c>
      <c r="S132" s="153">
        <v>1</v>
      </c>
    </row>
    <row r="133" spans="1:19" s="41" customFormat="1" ht="15.75" customHeight="1" x14ac:dyDescent="0.25">
      <c r="A133" s="11">
        <f>A132+1</f>
        <v>45</v>
      </c>
      <c r="B133" s="11">
        <v>1789</v>
      </c>
      <c r="C133" s="142" t="s">
        <v>132</v>
      </c>
      <c r="D133" s="134">
        <v>1973</v>
      </c>
      <c r="E133" s="134" t="s">
        <v>68</v>
      </c>
      <c r="F133" s="134" t="s">
        <v>82</v>
      </c>
      <c r="G133" s="15">
        <v>3610.9</v>
      </c>
      <c r="H133" s="15">
        <v>2815.6</v>
      </c>
      <c r="I133" s="10">
        <v>263</v>
      </c>
      <c r="J133" s="15">
        <f>'Форма 2'!I560</f>
        <v>7926224.3499999996</v>
      </c>
      <c r="K133" s="15">
        <v>0</v>
      </c>
      <c r="L133" s="15">
        <v>0</v>
      </c>
      <c r="M133" s="15">
        <v>0</v>
      </c>
      <c r="N133" s="15">
        <f t="shared" si="44"/>
        <v>7698522.8700000001</v>
      </c>
      <c r="O133" s="15">
        <v>227701.48</v>
      </c>
      <c r="P133" s="15">
        <f t="shared" si="45"/>
        <v>2815.11</v>
      </c>
      <c r="Q133" s="15">
        <f>'Форма 2'!K560</f>
        <v>3878</v>
      </c>
      <c r="R133" s="351" t="s">
        <v>290</v>
      </c>
      <c r="S133" s="153">
        <v>1</v>
      </c>
    </row>
    <row r="134" spans="1:19" s="41" customFormat="1" ht="15.75" customHeight="1" x14ac:dyDescent="0.25">
      <c r="A134" s="11">
        <f t="shared" ref="A134:A139" si="47">A133+1</f>
        <v>46</v>
      </c>
      <c r="B134" s="11">
        <v>1042</v>
      </c>
      <c r="C134" s="142" t="s">
        <v>133</v>
      </c>
      <c r="D134" s="134">
        <v>1976</v>
      </c>
      <c r="E134" s="134" t="s">
        <v>68</v>
      </c>
      <c r="F134" s="134" t="s">
        <v>82</v>
      </c>
      <c r="G134" s="15">
        <v>5331.1</v>
      </c>
      <c r="H134" s="15">
        <v>3945.3</v>
      </c>
      <c r="I134" s="10">
        <v>183</v>
      </c>
      <c r="J134" s="15">
        <f>'Форма 2'!I563</f>
        <v>5819937.8700000001</v>
      </c>
      <c r="K134" s="15">
        <v>0</v>
      </c>
      <c r="L134" s="15">
        <v>0</v>
      </c>
      <c r="M134" s="15">
        <v>0</v>
      </c>
      <c r="N134" s="15">
        <f t="shared" si="44"/>
        <v>5652744.2199999997</v>
      </c>
      <c r="O134" s="15">
        <v>167193.65</v>
      </c>
      <c r="P134" s="15">
        <f t="shared" si="45"/>
        <v>1475.16</v>
      </c>
      <c r="Q134" s="15">
        <f>'Форма 2'!K563</f>
        <v>3878</v>
      </c>
      <c r="R134" s="351" t="s">
        <v>290</v>
      </c>
      <c r="S134" s="153">
        <v>1</v>
      </c>
    </row>
    <row r="135" spans="1:19" s="41" customFormat="1" x14ac:dyDescent="0.25">
      <c r="A135" s="126">
        <f>A134+1</f>
        <v>47</v>
      </c>
      <c r="B135" s="126">
        <v>1818</v>
      </c>
      <c r="C135" s="124" t="s">
        <v>603</v>
      </c>
      <c r="D135" s="134">
        <v>1961</v>
      </c>
      <c r="E135" s="134" t="s">
        <v>107</v>
      </c>
      <c r="F135" s="134" t="s">
        <v>81</v>
      </c>
      <c r="G135" s="15">
        <v>1384.48</v>
      </c>
      <c r="H135" s="15">
        <v>1284.2</v>
      </c>
      <c r="I135" s="10">
        <v>73</v>
      </c>
      <c r="J135" s="15">
        <f>'Форма 2'!I566</f>
        <v>286376.59999999998</v>
      </c>
      <c r="K135" s="15">
        <v>0</v>
      </c>
      <c r="L135" s="15">
        <v>0</v>
      </c>
      <c r="M135" s="15">
        <v>0</v>
      </c>
      <c r="N135" s="15">
        <f>J135-K135-L135-M135-O135</f>
        <v>286376.59999999998</v>
      </c>
      <c r="O135" s="15">
        <v>0</v>
      </c>
      <c r="P135" s="15">
        <f>J135/H135</f>
        <v>223</v>
      </c>
      <c r="Q135" s="15">
        <f>'Форма 2'!K566</f>
        <v>223</v>
      </c>
      <c r="R135" s="351" t="s">
        <v>290</v>
      </c>
      <c r="S135" s="153">
        <v>1</v>
      </c>
    </row>
    <row r="136" spans="1:19" s="41" customFormat="1" ht="15.75" customHeight="1" x14ac:dyDescent="0.25">
      <c r="A136" s="11">
        <f>A135+1</f>
        <v>48</v>
      </c>
      <c r="B136" s="11">
        <v>1271</v>
      </c>
      <c r="C136" s="142" t="s">
        <v>103</v>
      </c>
      <c r="D136" s="134">
        <v>1977</v>
      </c>
      <c r="E136" s="134" t="s">
        <v>68</v>
      </c>
      <c r="F136" s="134" t="s">
        <v>82</v>
      </c>
      <c r="G136" s="15">
        <v>5773.6</v>
      </c>
      <c r="H136" s="15">
        <v>5305.3</v>
      </c>
      <c r="I136" s="10">
        <v>200</v>
      </c>
      <c r="J136" s="15">
        <f>'Форма 2'!I571</f>
        <v>12980844.720000001</v>
      </c>
      <c r="K136" s="15">
        <v>0</v>
      </c>
      <c r="L136" s="15">
        <v>0</v>
      </c>
      <c r="M136" s="15">
        <v>0</v>
      </c>
      <c r="N136" s="15">
        <f t="shared" si="44"/>
        <v>12549934.119999999</v>
      </c>
      <c r="O136" s="15">
        <v>430910.6</v>
      </c>
      <c r="P136" s="15">
        <f t="shared" si="45"/>
        <v>2446.77</v>
      </c>
      <c r="Q136" s="15">
        <f>'Форма 2'!K571</f>
        <v>3878</v>
      </c>
      <c r="R136" s="351" t="s">
        <v>290</v>
      </c>
      <c r="S136" s="153">
        <v>1</v>
      </c>
    </row>
    <row r="137" spans="1:19" s="41" customFormat="1" ht="15.75" customHeight="1" x14ac:dyDescent="0.25">
      <c r="A137" s="11">
        <f t="shared" si="47"/>
        <v>49</v>
      </c>
      <c r="B137" s="11">
        <v>1322</v>
      </c>
      <c r="C137" s="142" t="s">
        <v>135</v>
      </c>
      <c r="D137" s="134">
        <v>1975</v>
      </c>
      <c r="E137" s="134" t="s">
        <v>68</v>
      </c>
      <c r="F137" s="134" t="s">
        <v>82</v>
      </c>
      <c r="G137" s="15">
        <v>2939.8</v>
      </c>
      <c r="H137" s="15">
        <v>2419.6999999999998</v>
      </c>
      <c r="I137" s="10">
        <v>230</v>
      </c>
      <c r="J137" s="15">
        <f>'Форма 2'!I574</f>
        <v>6964368.9199999999</v>
      </c>
      <c r="K137" s="15">
        <v>0</v>
      </c>
      <c r="L137" s="15">
        <v>0</v>
      </c>
      <c r="M137" s="15">
        <v>0</v>
      </c>
      <c r="N137" s="15">
        <f t="shared" si="44"/>
        <v>6751162.25</v>
      </c>
      <c r="O137" s="15">
        <v>213206.67</v>
      </c>
      <c r="P137" s="15">
        <f t="shared" si="45"/>
        <v>2878.2</v>
      </c>
      <c r="Q137" s="15">
        <f>'Форма 2'!K574</f>
        <v>3878</v>
      </c>
      <c r="R137" s="351" t="s">
        <v>290</v>
      </c>
      <c r="S137" s="153">
        <v>1</v>
      </c>
    </row>
    <row r="138" spans="1:19" s="41" customFormat="1" ht="15.75" customHeight="1" x14ac:dyDescent="0.25">
      <c r="A138" s="11">
        <f t="shared" si="47"/>
        <v>50</v>
      </c>
      <c r="B138" s="11">
        <v>1323</v>
      </c>
      <c r="C138" s="142" t="s">
        <v>136</v>
      </c>
      <c r="D138" s="134">
        <v>1975</v>
      </c>
      <c r="E138" s="134" t="s">
        <v>68</v>
      </c>
      <c r="F138" s="134" t="s">
        <v>82</v>
      </c>
      <c r="G138" s="15">
        <v>3038.2</v>
      </c>
      <c r="H138" s="15">
        <v>2542.4</v>
      </c>
      <c r="I138" s="10">
        <v>206</v>
      </c>
      <c r="J138" s="15">
        <f>'Форма 2'!I577</f>
        <v>7557784.9699999997</v>
      </c>
      <c r="K138" s="15">
        <v>0</v>
      </c>
      <c r="L138" s="15">
        <v>0</v>
      </c>
      <c r="M138" s="15">
        <v>0</v>
      </c>
      <c r="N138" s="15">
        <f t="shared" si="44"/>
        <v>7335117.3600000003</v>
      </c>
      <c r="O138" s="15">
        <v>222667.61</v>
      </c>
      <c r="P138" s="15">
        <f t="shared" si="45"/>
        <v>2972.7</v>
      </c>
      <c r="Q138" s="15">
        <f>'Форма 2'!K577</f>
        <v>3878</v>
      </c>
      <c r="R138" s="351" t="s">
        <v>290</v>
      </c>
      <c r="S138" s="153">
        <v>1</v>
      </c>
    </row>
    <row r="139" spans="1:19" s="41" customFormat="1" ht="15.75" customHeight="1" x14ac:dyDescent="0.25">
      <c r="A139" s="11">
        <f t="shared" si="47"/>
        <v>51</v>
      </c>
      <c r="B139" s="11">
        <v>1484</v>
      </c>
      <c r="C139" s="142" t="s">
        <v>362</v>
      </c>
      <c r="D139" s="134">
        <v>1975</v>
      </c>
      <c r="E139" s="134" t="s">
        <v>68</v>
      </c>
      <c r="F139" s="134" t="s">
        <v>82</v>
      </c>
      <c r="G139" s="15">
        <v>4820.5</v>
      </c>
      <c r="H139" s="15">
        <v>4340.5</v>
      </c>
      <c r="I139" s="10">
        <v>235</v>
      </c>
      <c r="J139" s="15">
        <f>'Форма 2'!I580</f>
        <v>8539283.8399999999</v>
      </c>
      <c r="K139" s="15">
        <v>0</v>
      </c>
      <c r="L139" s="15">
        <v>0</v>
      </c>
      <c r="M139" s="15">
        <v>0</v>
      </c>
      <c r="N139" s="15">
        <f t="shared" si="44"/>
        <v>8293970.6299999999</v>
      </c>
      <c r="O139" s="15">
        <v>245313.21</v>
      </c>
      <c r="P139" s="15">
        <f t="shared" si="45"/>
        <v>1967.35</v>
      </c>
      <c r="Q139" s="15">
        <f>'Форма 2'!K580</f>
        <v>3878</v>
      </c>
      <c r="R139" s="351" t="s">
        <v>290</v>
      </c>
      <c r="S139" s="153">
        <v>1</v>
      </c>
    </row>
    <row r="140" spans="1:19" s="41" customFormat="1" ht="15.75" customHeight="1" x14ac:dyDescent="0.25">
      <c r="A140" s="184" t="s">
        <v>105</v>
      </c>
      <c r="B140" s="184"/>
      <c r="C140" s="184"/>
      <c r="D140" s="134" t="s">
        <v>13</v>
      </c>
      <c r="E140" s="126" t="s">
        <v>13</v>
      </c>
      <c r="F140" s="126" t="s">
        <v>13</v>
      </c>
      <c r="G140" s="15">
        <f>SUM(G141:G195)</f>
        <v>319779.83</v>
      </c>
      <c r="H140" s="15">
        <f t="shared" ref="H140:O140" si="48">SUM(H141:H195)</f>
        <v>275257.44</v>
      </c>
      <c r="I140" s="10">
        <f t="shared" si="48"/>
        <v>10026</v>
      </c>
      <c r="J140" s="15">
        <f t="shared" si="48"/>
        <v>275526334.24000001</v>
      </c>
      <c r="K140" s="15">
        <f t="shared" si="48"/>
        <v>0</v>
      </c>
      <c r="L140" s="15">
        <f t="shared" si="48"/>
        <v>0</v>
      </c>
      <c r="M140" s="15">
        <f t="shared" si="48"/>
        <v>0</v>
      </c>
      <c r="N140" s="15">
        <f t="shared" si="48"/>
        <v>267971316.62</v>
      </c>
      <c r="O140" s="15">
        <f t="shared" si="48"/>
        <v>7555017.6200000001</v>
      </c>
      <c r="P140" s="126" t="s">
        <v>13</v>
      </c>
      <c r="Q140" s="126" t="s">
        <v>13</v>
      </c>
      <c r="R140" s="126" t="s">
        <v>13</v>
      </c>
      <c r="S140" s="126" t="s">
        <v>13</v>
      </c>
    </row>
    <row r="141" spans="1:19" s="41" customFormat="1" ht="15" customHeight="1" x14ac:dyDescent="0.25">
      <c r="A141" s="126">
        <f>A139+1</f>
        <v>52</v>
      </c>
      <c r="B141" s="126">
        <v>3345</v>
      </c>
      <c r="C141" s="124" t="s">
        <v>604</v>
      </c>
      <c r="D141" s="134">
        <v>1993</v>
      </c>
      <c r="E141" s="134" t="s">
        <v>86</v>
      </c>
      <c r="F141" s="134" t="s">
        <v>81</v>
      </c>
      <c r="G141" s="15">
        <v>5751.94</v>
      </c>
      <c r="H141" s="15">
        <v>4732.1899999999996</v>
      </c>
      <c r="I141" s="10">
        <v>179</v>
      </c>
      <c r="J141" s="15">
        <f>'Форма 2'!I583</f>
        <v>32281</v>
      </c>
      <c r="K141" s="15">
        <v>0</v>
      </c>
      <c r="L141" s="15">
        <v>0</v>
      </c>
      <c r="M141" s="15">
        <v>0</v>
      </c>
      <c r="N141" s="15">
        <f>J141-K141-L141-M141-O141</f>
        <v>32281</v>
      </c>
      <c r="O141" s="15">
        <v>0</v>
      </c>
      <c r="P141" s="15">
        <f>J141/H141</f>
        <v>6.82</v>
      </c>
      <c r="Q141" s="15">
        <f>'Форма 2'!K583</f>
        <v>6.82</v>
      </c>
      <c r="R141" s="351" t="s">
        <v>290</v>
      </c>
      <c r="S141" s="153">
        <v>1</v>
      </c>
    </row>
    <row r="142" spans="1:19" s="41" customFormat="1" ht="15.75" customHeight="1" x14ac:dyDescent="0.25">
      <c r="A142" s="11">
        <f>A141+1</f>
        <v>53</v>
      </c>
      <c r="B142" s="11">
        <v>4242</v>
      </c>
      <c r="C142" s="142" t="s">
        <v>203</v>
      </c>
      <c r="D142" s="134">
        <v>1991</v>
      </c>
      <c r="E142" s="134" t="s">
        <v>86</v>
      </c>
      <c r="F142" s="134" t="s">
        <v>82</v>
      </c>
      <c r="G142" s="15">
        <v>10373.61</v>
      </c>
      <c r="H142" s="15">
        <v>8994.61</v>
      </c>
      <c r="I142" s="10">
        <v>340</v>
      </c>
      <c r="J142" s="15">
        <f>'Форма 2'!I585</f>
        <v>4195085.97</v>
      </c>
      <c r="K142" s="15">
        <v>0</v>
      </c>
      <c r="L142" s="15">
        <v>0</v>
      </c>
      <c r="M142" s="15">
        <v>0</v>
      </c>
      <c r="N142" s="15">
        <f t="shared" ref="N142:N193" si="49">J142-K142-L142-M142-O142</f>
        <v>4074571.18</v>
      </c>
      <c r="O142" s="15">
        <v>120514.79</v>
      </c>
      <c r="P142" s="15">
        <f t="shared" ref="P142:P193" si="50">J142/H142</f>
        <v>466.4</v>
      </c>
      <c r="Q142" s="15">
        <f>'Форма 2'!K585</f>
        <v>509.1</v>
      </c>
      <c r="R142" s="351" t="s">
        <v>290</v>
      </c>
      <c r="S142" s="153">
        <v>1</v>
      </c>
    </row>
    <row r="143" spans="1:19" s="41" customFormat="1" ht="15.75" customHeight="1" x14ac:dyDescent="0.25">
      <c r="A143" s="11">
        <f>A142+1</f>
        <v>54</v>
      </c>
      <c r="B143" s="11">
        <v>3198</v>
      </c>
      <c r="C143" s="142" t="s">
        <v>138</v>
      </c>
      <c r="D143" s="134">
        <v>1976</v>
      </c>
      <c r="E143" s="134" t="s">
        <v>68</v>
      </c>
      <c r="F143" s="134" t="s">
        <v>82</v>
      </c>
      <c r="G143" s="15">
        <v>2977.1</v>
      </c>
      <c r="H143" s="15">
        <v>2619.1</v>
      </c>
      <c r="I143" s="10">
        <v>99</v>
      </c>
      <c r="J143" s="15">
        <f>'Форма 2'!I590</f>
        <v>7373396.2999999998</v>
      </c>
      <c r="K143" s="15">
        <v>0</v>
      </c>
      <c r="L143" s="15">
        <v>0</v>
      </c>
      <c r="M143" s="15">
        <v>0</v>
      </c>
      <c r="N143" s="15">
        <f t="shared" si="49"/>
        <v>7155001.6299999999</v>
      </c>
      <c r="O143" s="15">
        <v>218394.67</v>
      </c>
      <c r="P143" s="15">
        <f t="shared" si="50"/>
        <v>2815.24</v>
      </c>
      <c r="Q143" s="15">
        <f>'Форма 2'!K590</f>
        <v>3878</v>
      </c>
      <c r="R143" s="351" t="s">
        <v>290</v>
      </c>
      <c r="S143" s="153">
        <v>1</v>
      </c>
    </row>
    <row r="144" spans="1:19" s="41" customFormat="1" ht="15.75" customHeight="1" x14ac:dyDescent="0.25">
      <c r="A144" s="11">
        <f t="shared" ref="A144:A193" si="51">A143+1</f>
        <v>55</v>
      </c>
      <c r="B144" s="11">
        <v>3204</v>
      </c>
      <c r="C144" s="142" t="s">
        <v>363</v>
      </c>
      <c r="D144" s="134">
        <v>1976</v>
      </c>
      <c r="E144" s="134" t="s">
        <v>68</v>
      </c>
      <c r="F144" s="134" t="s">
        <v>82</v>
      </c>
      <c r="G144" s="15">
        <v>2920.3</v>
      </c>
      <c r="H144" s="15">
        <v>2626.3</v>
      </c>
      <c r="I144" s="10">
        <v>99</v>
      </c>
      <c r="J144" s="15">
        <f>'Форма 2'!I593</f>
        <v>6844077</v>
      </c>
      <c r="K144" s="15">
        <v>0</v>
      </c>
      <c r="L144" s="15">
        <v>0</v>
      </c>
      <c r="M144" s="15">
        <v>0</v>
      </c>
      <c r="N144" s="15">
        <f t="shared" si="49"/>
        <v>6625634.6699999999</v>
      </c>
      <c r="O144" s="15">
        <v>218442.33</v>
      </c>
      <c r="P144" s="15">
        <f t="shared" si="50"/>
        <v>2605.98</v>
      </c>
      <c r="Q144" s="15">
        <f>'Форма 2'!K593</f>
        <v>3878</v>
      </c>
      <c r="R144" s="351" t="s">
        <v>290</v>
      </c>
      <c r="S144" s="153">
        <v>1</v>
      </c>
    </row>
    <row r="145" spans="1:75" s="41" customFormat="1" ht="15.75" customHeight="1" x14ac:dyDescent="0.25">
      <c r="A145" s="11">
        <f t="shared" si="51"/>
        <v>56</v>
      </c>
      <c r="B145" s="11">
        <v>4069</v>
      </c>
      <c r="C145" s="142" t="s">
        <v>278</v>
      </c>
      <c r="D145" s="134">
        <v>1988</v>
      </c>
      <c r="E145" s="134" t="s">
        <v>68</v>
      </c>
      <c r="F145" s="134" t="s">
        <v>82</v>
      </c>
      <c r="G145" s="15">
        <v>11286.2</v>
      </c>
      <c r="H145" s="15">
        <v>10295.969999999999</v>
      </c>
      <c r="I145" s="10">
        <v>430</v>
      </c>
      <c r="J145" s="15">
        <f>'Форма 2'!I596</f>
        <v>14705145.220000001</v>
      </c>
      <c r="K145" s="15">
        <v>0</v>
      </c>
      <c r="L145" s="15">
        <v>0</v>
      </c>
      <c r="M145" s="15">
        <v>0</v>
      </c>
      <c r="N145" s="15">
        <f t="shared" si="49"/>
        <v>14282701.550000001</v>
      </c>
      <c r="O145" s="15">
        <v>422443.67</v>
      </c>
      <c r="P145" s="15">
        <f t="shared" si="50"/>
        <v>1428.24</v>
      </c>
      <c r="Q145" s="15">
        <f>'Форма 2'!K596</f>
        <v>2492</v>
      </c>
      <c r="R145" s="351" t="s">
        <v>290</v>
      </c>
      <c r="S145" s="153">
        <v>1</v>
      </c>
    </row>
    <row r="146" spans="1:75" s="41" customFormat="1" ht="15.75" customHeight="1" x14ac:dyDescent="0.25">
      <c r="A146" s="11">
        <f t="shared" si="51"/>
        <v>57</v>
      </c>
      <c r="B146" s="11">
        <v>3120</v>
      </c>
      <c r="C146" s="142" t="s">
        <v>247</v>
      </c>
      <c r="D146" s="134">
        <v>1973</v>
      </c>
      <c r="E146" s="134" t="s">
        <v>68</v>
      </c>
      <c r="F146" s="134" t="s">
        <v>82</v>
      </c>
      <c r="G146" s="15">
        <v>2601</v>
      </c>
      <c r="H146" s="15">
        <v>2323</v>
      </c>
      <c r="I146" s="10">
        <v>88</v>
      </c>
      <c r="J146" s="15">
        <f>'Форма 2'!I599</f>
        <v>6216049.4000000004</v>
      </c>
      <c r="K146" s="15">
        <v>0</v>
      </c>
      <c r="L146" s="15">
        <v>0</v>
      </c>
      <c r="M146" s="15">
        <v>0</v>
      </c>
      <c r="N146" s="15">
        <f t="shared" si="49"/>
        <v>6029263.3499999996</v>
      </c>
      <c r="O146" s="15">
        <v>186786.05</v>
      </c>
      <c r="P146" s="15">
        <f t="shared" si="50"/>
        <v>2675.87</v>
      </c>
      <c r="Q146" s="15">
        <f>'Форма 2'!K599</f>
        <v>3878</v>
      </c>
      <c r="R146" s="351" t="s">
        <v>290</v>
      </c>
      <c r="S146" s="153">
        <v>1</v>
      </c>
    </row>
    <row r="147" spans="1:75" s="41" customFormat="1" ht="15.75" customHeight="1" x14ac:dyDescent="0.25">
      <c r="A147" s="11">
        <f t="shared" si="51"/>
        <v>58</v>
      </c>
      <c r="B147" s="11">
        <v>3445</v>
      </c>
      <c r="C147" s="142" t="s">
        <v>248</v>
      </c>
      <c r="D147" s="134">
        <v>1974</v>
      </c>
      <c r="E147" s="134" t="s">
        <v>68</v>
      </c>
      <c r="F147" s="134" t="s">
        <v>82</v>
      </c>
      <c r="G147" s="15">
        <v>6406.9</v>
      </c>
      <c r="H147" s="15">
        <v>5942.4</v>
      </c>
      <c r="I147" s="10">
        <v>224</v>
      </c>
      <c r="J147" s="15">
        <f>'Форма 2'!I602</f>
        <v>17811511.719999999</v>
      </c>
      <c r="K147" s="15">
        <v>0</v>
      </c>
      <c r="L147" s="15">
        <v>0</v>
      </c>
      <c r="M147" s="15">
        <v>0</v>
      </c>
      <c r="N147" s="15">
        <f t="shared" si="49"/>
        <v>17299829.550000001</v>
      </c>
      <c r="O147" s="15">
        <v>511682.17</v>
      </c>
      <c r="P147" s="15">
        <f t="shared" si="50"/>
        <v>2997.36</v>
      </c>
      <c r="Q147" s="15">
        <f>'Форма 2'!K602</f>
        <v>3878</v>
      </c>
      <c r="R147" s="351" t="s">
        <v>290</v>
      </c>
      <c r="S147" s="153">
        <v>1</v>
      </c>
    </row>
    <row r="148" spans="1:75" s="41" customFormat="1" x14ac:dyDescent="0.25">
      <c r="A148" s="126">
        <f t="shared" si="51"/>
        <v>59</v>
      </c>
      <c r="B148" s="126">
        <v>3304</v>
      </c>
      <c r="C148" s="124" t="s">
        <v>249</v>
      </c>
      <c r="D148" s="134">
        <v>1993</v>
      </c>
      <c r="E148" s="134" t="s">
        <v>86</v>
      </c>
      <c r="F148" s="134" t="s">
        <v>81</v>
      </c>
      <c r="G148" s="15">
        <v>5107.1000000000004</v>
      </c>
      <c r="H148" s="15">
        <v>4426.3999999999996</v>
      </c>
      <c r="I148" s="10">
        <v>167</v>
      </c>
      <c r="J148" s="15">
        <f>'Форма 2'!I605</f>
        <v>64562</v>
      </c>
      <c r="K148" s="15">
        <v>0</v>
      </c>
      <c r="L148" s="15">
        <v>0</v>
      </c>
      <c r="M148" s="15">
        <v>0</v>
      </c>
      <c r="N148" s="15">
        <f>J148-K148-L148-M148-O148</f>
        <v>64562</v>
      </c>
      <c r="O148" s="15">
        <v>0</v>
      </c>
      <c r="P148" s="15">
        <f>J148/H148</f>
        <v>14.59</v>
      </c>
      <c r="Q148" s="15">
        <f>'Форма 2'!K605</f>
        <v>14.59</v>
      </c>
      <c r="R148" s="351" t="s">
        <v>290</v>
      </c>
      <c r="S148" s="153">
        <v>1</v>
      </c>
    </row>
    <row r="149" spans="1:75" s="41" customFormat="1" ht="15.75" customHeight="1" x14ac:dyDescent="0.25">
      <c r="A149" s="11">
        <f>A148+1</f>
        <v>60</v>
      </c>
      <c r="B149" s="11">
        <v>4054</v>
      </c>
      <c r="C149" s="142" t="s">
        <v>250</v>
      </c>
      <c r="D149" s="134">
        <v>1972</v>
      </c>
      <c r="E149" s="134" t="s">
        <v>68</v>
      </c>
      <c r="F149" s="134" t="s">
        <v>82</v>
      </c>
      <c r="G149" s="15">
        <v>3751.5</v>
      </c>
      <c r="H149" s="15">
        <v>2911</v>
      </c>
      <c r="I149" s="10">
        <v>100</v>
      </c>
      <c r="J149" s="15">
        <f>'Форма 2'!I608</f>
        <v>7885398.7400000002</v>
      </c>
      <c r="K149" s="15">
        <v>0</v>
      </c>
      <c r="L149" s="15">
        <v>0</v>
      </c>
      <c r="M149" s="15">
        <v>0</v>
      </c>
      <c r="N149" s="15">
        <f t="shared" si="49"/>
        <v>7657074.6900000004</v>
      </c>
      <c r="O149" s="15">
        <v>228324.05</v>
      </c>
      <c r="P149" s="15">
        <f t="shared" si="50"/>
        <v>2708.83</v>
      </c>
      <c r="Q149" s="15">
        <f>'Форма 2'!K608</f>
        <v>3878</v>
      </c>
      <c r="R149" s="351" t="s">
        <v>290</v>
      </c>
      <c r="S149" s="153">
        <v>1</v>
      </c>
    </row>
    <row r="150" spans="1:75" s="41" customFormat="1" ht="30" customHeight="1" x14ac:dyDescent="0.25">
      <c r="A150" s="126">
        <f t="shared" ref="A150" si="52">A149+1</f>
        <v>61</v>
      </c>
      <c r="B150" s="126">
        <v>3877</v>
      </c>
      <c r="C150" s="124" t="s">
        <v>605</v>
      </c>
      <c r="D150" s="134" t="s">
        <v>660</v>
      </c>
      <c r="E150" s="134" t="s">
        <v>86</v>
      </c>
      <c r="F150" s="134" t="s">
        <v>81</v>
      </c>
      <c r="G150" s="15">
        <v>15313.39</v>
      </c>
      <c r="H150" s="15">
        <v>14684.6</v>
      </c>
      <c r="I150" s="10">
        <v>425</v>
      </c>
      <c r="J150" s="15">
        <f>'Форма 2'!I611</f>
        <v>64562</v>
      </c>
      <c r="K150" s="15">
        <v>0</v>
      </c>
      <c r="L150" s="15">
        <v>0</v>
      </c>
      <c r="M150" s="15">
        <v>0</v>
      </c>
      <c r="N150" s="15">
        <f t="shared" si="49"/>
        <v>64562</v>
      </c>
      <c r="O150" s="15">
        <v>0</v>
      </c>
      <c r="P150" s="15">
        <f t="shared" si="50"/>
        <v>4.4000000000000004</v>
      </c>
      <c r="Q150" s="15">
        <f>'Форма 2'!K611</f>
        <v>4.4000000000000004</v>
      </c>
      <c r="R150" s="351" t="s">
        <v>290</v>
      </c>
      <c r="S150" s="153">
        <v>1</v>
      </c>
    </row>
    <row r="151" spans="1:75" s="41" customFormat="1" ht="15.75" customHeight="1" x14ac:dyDescent="0.25">
      <c r="A151" s="11">
        <f>A150+1</f>
        <v>62</v>
      </c>
      <c r="B151" s="11">
        <v>3082</v>
      </c>
      <c r="C151" s="142" t="s">
        <v>364</v>
      </c>
      <c r="D151" s="134">
        <v>1994</v>
      </c>
      <c r="E151" s="134" t="s">
        <v>371</v>
      </c>
      <c r="F151" s="134" t="s">
        <v>87</v>
      </c>
      <c r="G151" s="15">
        <v>9404.7999999999993</v>
      </c>
      <c r="H151" s="15">
        <v>8596.6</v>
      </c>
      <c r="I151" s="10">
        <v>325</v>
      </c>
      <c r="J151" s="15">
        <f>'Форма 2'!I614</f>
        <v>11102394.470000001</v>
      </c>
      <c r="K151" s="15">
        <v>0</v>
      </c>
      <c r="L151" s="15">
        <v>0</v>
      </c>
      <c r="M151" s="15">
        <v>0</v>
      </c>
      <c r="N151" s="15">
        <f t="shared" si="49"/>
        <v>10780351.859999999</v>
      </c>
      <c r="O151" s="15">
        <v>322042.61</v>
      </c>
      <c r="P151" s="15">
        <f t="shared" si="50"/>
        <v>1291.49</v>
      </c>
      <c r="Q151" s="15">
        <f>'Форма 2'!K614</f>
        <v>1350.48</v>
      </c>
      <c r="R151" s="351" t="s">
        <v>290</v>
      </c>
      <c r="S151" s="153">
        <v>1</v>
      </c>
    </row>
    <row r="152" spans="1:75" s="41" customFormat="1" ht="15.75" customHeight="1" x14ac:dyDescent="0.25">
      <c r="A152" s="11">
        <f t="shared" si="51"/>
        <v>63</v>
      </c>
      <c r="B152" s="11">
        <v>3359</v>
      </c>
      <c r="C152" s="142" t="s">
        <v>139</v>
      </c>
      <c r="D152" s="134">
        <v>1969</v>
      </c>
      <c r="E152" s="134" t="s">
        <v>68</v>
      </c>
      <c r="F152" s="134" t="s">
        <v>82</v>
      </c>
      <c r="G152" s="15">
        <v>3795.2</v>
      </c>
      <c r="H152" s="15">
        <v>3598</v>
      </c>
      <c r="I152" s="10">
        <v>136</v>
      </c>
      <c r="J152" s="15">
        <f>'Форма 2'!I630</f>
        <v>5690870.1100000003</v>
      </c>
      <c r="K152" s="15">
        <v>0</v>
      </c>
      <c r="L152" s="15">
        <v>0</v>
      </c>
      <c r="M152" s="15">
        <v>0</v>
      </c>
      <c r="N152" s="15">
        <f t="shared" si="49"/>
        <v>5521810.1200000001</v>
      </c>
      <c r="O152" s="15">
        <v>169059.99</v>
      </c>
      <c r="P152" s="15">
        <f t="shared" si="50"/>
        <v>1581.68</v>
      </c>
      <c r="Q152" s="15">
        <f>'Форма 2'!K630</f>
        <v>3878</v>
      </c>
      <c r="R152" s="351" t="s">
        <v>290</v>
      </c>
      <c r="S152" s="153">
        <v>1</v>
      </c>
    </row>
    <row r="153" spans="1:75" s="41" customFormat="1" ht="15.75" customHeight="1" x14ac:dyDescent="0.25">
      <c r="A153" s="11">
        <f t="shared" si="51"/>
        <v>64</v>
      </c>
      <c r="B153" s="11">
        <v>3278</v>
      </c>
      <c r="C153" s="142" t="s">
        <v>106</v>
      </c>
      <c r="D153" s="134">
        <v>1978</v>
      </c>
      <c r="E153" s="134" t="s">
        <v>68</v>
      </c>
      <c r="F153" s="134" t="s">
        <v>82</v>
      </c>
      <c r="G153" s="15">
        <v>4824.5</v>
      </c>
      <c r="H153" s="15">
        <v>4404.5</v>
      </c>
      <c r="I153" s="10">
        <v>224</v>
      </c>
      <c r="J153" s="15">
        <f>'Форма 2'!I633</f>
        <v>12833637.279999999</v>
      </c>
      <c r="K153" s="15">
        <v>0</v>
      </c>
      <c r="L153" s="15">
        <v>0</v>
      </c>
      <c r="M153" s="15">
        <v>0</v>
      </c>
      <c r="N153" s="15">
        <f t="shared" si="49"/>
        <v>12464957.560000001</v>
      </c>
      <c r="O153" s="15">
        <v>368679.72</v>
      </c>
      <c r="P153" s="15">
        <f t="shared" si="50"/>
        <v>2913.76</v>
      </c>
      <c r="Q153" s="15">
        <f>'Форма 2'!K633</f>
        <v>3878</v>
      </c>
      <c r="R153" s="351" t="s">
        <v>290</v>
      </c>
      <c r="S153" s="153">
        <v>1</v>
      </c>
    </row>
    <row r="154" spans="1:75" s="41" customFormat="1" ht="15.75" customHeight="1" x14ac:dyDescent="0.25">
      <c r="A154" s="11">
        <f t="shared" si="51"/>
        <v>65</v>
      </c>
      <c r="B154" s="11">
        <v>3280</v>
      </c>
      <c r="C154" s="142" t="s">
        <v>108</v>
      </c>
      <c r="D154" s="134">
        <v>1978</v>
      </c>
      <c r="E154" s="134" t="s">
        <v>68</v>
      </c>
      <c r="F154" s="134" t="s">
        <v>82</v>
      </c>
      <c r="G154" s="15">
        <v>4732.6000000000004</v>
      </c>
      <c r="H154" s="15">
        <v>4328.8</v>
      </c>
      <c r="I154" s="10">
        <v>224</v>
      </c>
      <c r="J154" s="15">
        <f>'Форма 2'!I636</f>
        <v>12117854.289999999</v>
      </c>
      <c r="K154" s="15">
        <v>0</v>
      </c>
      <c r="L154" s="15">
        <v>0</v>
      </c>
      <c r="M154" s="15">
        <v>0</v>
      </c>
      <c r="N154" s="15">
        <f t="shared" si="49"/>
        <v>11755285.279999999</v>
      </c>
      <c r="O154" s="15">
        <v>362569.01</v>
      </c>
      <c r="P154" s="15">
        <f t="shared" si="50"/>
        <v>2799.36</v>
      </c>
      <c r="Q154" s="15">
        <f>'Форма 2'!K636</f>
        <v>3878</v>
      </c>
      <c r="R154" s="351" t="s">
        <v>290</v>
      </c>
      <c r="S154" s="153">
        <v>1</v>
      </c>
    </row>
    <row r="155" spans="1:75" s="41" customFormat="1" ht="15.75" customHeight="1" x14ac:dyDescent="0.25">
      <c r="A155" s="11">
        <f t="shared" si="51"/>
        <v>66</v>
      </c>
      <c r="B155" s="11">
        <v>3284</v>
      </c>
      <c r="C155" s="142" t="s">
        <v>140</v>
      </c>
      <c r="D155" s="134">
        <v>1972</v>
      </c>
      <c r="E155" s="134" t="s">
        <v>68</v>
      </c>
      <c r="F155" s="134" t="s">
        <v>82</v>
      </c>
      <c r="G155" s="15">
        <v>4029.4</v>
      </c>
      <c r="H155" s="15">
        <v>3631.8</v>
      </c>
      <c r="I155" s="10">
        <v>137</v>
      </c>
      <c r="J155" s="15">
        <f>'Форма 2'!I639</f>
        <v>9534896.9600000009</v>
      </c>
      <c r="K155" s="15">
        <v>0</v>
      </c>
      <c r="L155" s="15">
        <v>0</v>
      </c>
      <c r="M155" s="15">
        <v>0</v>
      </c>
      <c r="N155" s="15">
        <f t="shared" si="49"/>
        <v>9214989.7899999991</v>
      </c>
      <c r="O155" s="15">
        <v>319907.17</v>
      </c>
      <c r="P155" s="15">
        <f t="shared" si="50"/>
        <v>2625.39</v>
      </c>
      <c r="Q155" s="15">
        <f>'Форма 2'!K639</f>
        <v>3878</v>
      </c>
      <c r="R155" s="351" t="s">
        <v>290</v>
      </c>
      <c r="S155" s="153">
        <v>1</v>
      </c>
    </row>
    <row r="156" spans="1:75" s="41" customFormat="1" ht="15.75" customHeight="1" x14ac:dyDescent="0.25">
      <c r="A156" s="126">
        <f t="shared" si="51"/>
        <v>67</v>
      </c>
      <c r="B156" s="126">
        <v>4052</v>
      </c>
      <c r="C156" s="142" t="s">
        <v>545</v>
      </c>
      <c r="D156" s="134">
        <v>1972</v>
      </c>
      <c r="E156" s="134" t="s">
        <v>68</v>
      </c>
      <c r="F156" s="134" t="s">
        <v>114</v>
      </c>
      <c r="G156" s="15">
        <v>4460.8</v>
      </c>
      <c r="H156" s="15">
        <v>3622.5</v>
      </c>
      <c r="I156" s="10">
        <v>126</v>
      </c>
      <c r="J156" s="15">
        <f>'Форма 2'!I642</f>
        <v>6291826.5499999998</v>
      </c>
      <c r="K156" s="15">
        <v>0</v>
      </c>
      <c r="L156" s="15">
        <v>0</v>
      </c>
      <c r="M156" s="15">
        <v>0</v>
      </c>
      <c r="N156" s="15">
        <f>J156-K156-L156-M156-O156</f>
        <v>6090190.0700000003</v>
      </c>
      <c r="O156" s="15">
        <v>201636.48000000001</v>
      </c>
      <c r="P156" s="15">
        <f>J156/H156</f>
        <v>1736.87</v>
      </c>
      <c r="Q156" s="15">
        <f>'Форма 2'!K642</f>
        <v>3878</v>
      </c>
      <c r="R156" s="351" t="s">
        <v>290</v>
      </c>
      <c r="S156" s="153">
        <v>1</v>
      </c>
    </row>
    <row r="157" spans="1:75" s="41" customFormat="1" ht="15.75" customHeight="1" x14ac:dyDescent="0.25">
      <c r="A157" s="11">
        <f t="shared" ref="A157:A163" si="53">A156+1</f>
        <v>68</v>
      </c>
      <c r="B157" s="11">
        <v>3286</v>
      </c>
      <c r="C157" s="142" t="s">
        <v>141</v>
      </c>
      <c r="D157" s="134">
        <v>1972</v>
      </c>
      <c r="E157" s="134" t="s">
        <v>68</v>
      </c>
      <c r="F157" s="134" t="s">
        <v>82</v>
      </c>
      <c r="G157" s="15">
        <v>3853.6</v>
      </c>
      <c r="H157" s="15">
        <v>3572.1</v>
      </c>
      <c r="I157" s="10">
        <v>135</v>
      </c>
      <c r="J157" s="15">
        <f>'Форма 2'!I645</f>
        <v>8985458.7400000002</v>
      </c>
      <c r="K157" s="15">
        <v>0</v>
      </c>
      <c r="L157" s="15">
        <v>0</v>
      </c>
      <c r="M157" s="15">
        <v>0</v>
      </c>
      <c r="N157" s="15">
        <f t="shared" si="49"/>
        <v>8710945.5399999991</v>
      </c>
      <c r="O157" s="15">
        <v>274513.2</v>
      </c>
      <c r="P157" s="15">
        <f t="shared" si="50"/>
        <v>2515.46</v>
      </c>
      <c r="Q157" s="15">
        <f>'Форма 2'!K645</f>
        <v>3878</v>
      </c>
      <c r="R157" s="351" t="s">
        <v>290</v>
      </c>
      <c r="S157" s="153">
        <v>1</v>
      </c>
    </row>
    <row r="158" spans="1:75" s="41" customFormat="1" x14ac:dyDescent="0.25">
      <c r="A158" s="126">
        <f>A157+1</f>
        <v>69</v>
      </c>
      <c r="B158" s="126">
        <v>4060</v>
      </c>
      <c r="C158" s="124" t="s">
        <v>606</v>
      </c>
      <c r="D158" s="134">
        <v>1993</v>
      </c>
      <c r="E158" s="134" t="s">
        <v>86</v>
      </c>
      <c r="F158" s="134" t="s">
        <v>87</v>
      </c>
      <c r="G158" s="15">
        <v>13074.4</v>
      </c>
      <c r="H158" s="15">
        <v>11300</v>
      </c>
      <c r="I158" s="10">
        <v>380</v>
      </c>
      <c r="J158" s="15">
        <f>'Форма 2'!I648</f>
        <v>6896885.8499999996</v>
      </c>
      <c r="K158" s="15">
        <v>0</v>
      </c>
      <c r="L158" s="15">
        <v>0</v>
      </c>
      <c r="M158" s="15">
        <v>0</v>
      </c>
      <c r="N158" s="15">
        <f t="shared" ref="N158:N164" si="54">J158-K158-L158-M158-O158</f>
        <v>6896885.8499999996</v>
      </c>
      <c r="O158" s="15">
        <v>0</v>
      </c>
      <c r="P158" s="15">
        <f t="shared" ref="P158:P164" si="55">J158/H158</f>
        <v>610.34</v>
      </c>
      <c r="Q158" s="15">
        <f>'Форма 2'!K648</f>
        <v>616.47</v>
      </c>
      <c r="R158" s="351" t="s">
        <v>290</v>
      </c>
      <c r="S158" s="153">
        <v>1</v>
      </c>
    </row>
    <row r="159" spans="1:75" s="41" customFormat="1" x14ac:dyDescent="0.25">
      <c r="A159" s="126">
        <f>A158+1</f>
        <v>70</v>
      </c>
      <c r="B159" s="126">
        <v>4061</v>
      </c>
      <c r="C159" s="124" t="s">
        <v>607</v>
      </c>
      <c r="D159" s="134">
        <v>1994</v>
      </c>
      <c r="E159" s="134" t="s">
        <v>86</v>
      </c>
      <c r="F159" s="134" t="s">
        <v>81</v>
      </c>
      <c r="G159" s="15">
        <v>8770</v>
      </c>
      <c r="H159" s="15">
        <v>7554</v>
      </c>
      <c r="I159" s="10">
        <v>316</v>
      </c>
      <c r="J159" s="15">
        <f>'Форма 2'!I658</f>
        <v>129124</v>
      </c>
      <c r="K159" s="15">
        <v>0</v>
      </c>
      <c r="L159" s="15">
        <v>0</v>
      </c>
      <c r="M159" s="15">
        <v>0</v>
      </c>
      <c r="N159" s="15">
        <f t="shared" si="54"/>
        <v>129124</v>
      </c>
      <c r="O159" s="15">
        <v>0</v>
      </c>
      <c r="P159" s="15">
        <f t="shared" si="55"/>
        <v>17.09</v>
      </c>
      <c r="Q159" s="15">
        <f>'Форма 2'!K658</f>
        <v>17.09</v>
      </c>
      <c r="R159" s="351" t="s">
        <v>290</v>
      </c>
      <c r="S159" s="153">
        <v>1</v>
      </c>
    </row>
    <row r="160" spans="1:75" x14ac:dyDescent="0.25">
      <c r="A160" s="126">
        <f>A159+1</f>
        <v>71</v>
      </c>
      <c r="B160" s="126">
        <v>8191</v>
      </c>
      <c r="C160" s="142" t="s">
        <v>459</v>
      </c>
      <c r="D160" s="134">
        <v>1992</v>
      </c>
      <c r="E160" s="134" t="s">
        <v>86</v>
      </c>
      <c r="F160" s="134" t="s">
        <v>82</v>
      </c>
      <c r="G160" s="15">
        <v>8376.51</v>
      </c>
      <c r="H160" s="15">
        <v>7694.91</v>
      </c>
      <c r="I160" s="10">
        <v>291</v>
      </c>
      <c r="J160" s="15">
        <f>'Форма 2'!I663</f>
        <v>7185883.9299999997</v>
      </c>
      <c r="K160" s="15">
        <v>0</v>
      </c>
      <c r="L160" s="15">
        <v>0</v>
      </c>
      <c r="M160" s="15">
        <v>0</v>
      </c>
      <c r="N160" s="15">
        <f t="shared" si="54"/>
        <v>6978749.0099999998</v>
      </c>
      <c r="O160" s="15">
        <v>207134.92</v>
      </c>
      <c r="P160" s="15">
        <f t="shared" si="55"/>
        <v>933.85</v>
      </c>
      <c r="Q160" s="15">
        <f>'Форма 2'!K663</f>
        <v>1190.2</v>
      </c>
      <c r="R160" s="351" t="s">
        <v>290</v>
      </c>
      <c r="S160" s="153">
        <v>1</v>
      </c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</row>
    <row r="161" spans="1:75" x14ac:dyDescent="0.25">
      <c r="A161" s="126">
        <f t="shared" si="53"/>
        <v>72</v>
      </c>
      <c r="B161" s="126">
        <v>4240</v>
      </c>
      <c r="C161" s="142" t="s">
        <v>205</v>
      </c>
      <c r="D161" s="134" t="s">
        <v>163</v>
      </c>
      <c r="E161" s="134" t="s">
        <v>86</v>
      </c>
      <c r="F161" s="134" t="s">
        <v>87</v>
      </c>
      <c r="G161" s="15">
        <v>18666.39</v>
      </c>
      <c r="H161" s="15">
        <v>16244.29</v>
      </c>
      <c r="I161" s="10">
        <v>614</v>
      </c>
      <c r="J161" s="15">
        <f>'Форма 2'!I672</f>
        <v>4345528.7699999996</v>
      </c>
      <c r="K161" s="15">
        <v>0</v>
      </c>
      <c r="L161" s="15">
        <v>0</v>
      </c>
      <c r="M161" s="15">
        <v>0</v>
      </c>
      <c r="N161" s="15">
        <f t="shared" si="54"/>
        <v>4224614.63</v>
      </c>
      <c r="O161" s="15">
        <v>120914.14</v>
      </c>
      <c r="P161" s="15">
        <f t="shared" si="55"/>
        <v>267.51</v>
      </c>
      <c r="Q161" s="15">
        <f>'Форма 2'!K672</f>
        <v>291.85000000000002</v>
      </c>
      <c r="R161" s="351" t="s">
        <v>290</v>
      </c>
      <c r="S161" s="153">
        <v>1</v>
      </c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</row>
    <row r="162" spans="1:75" s="41" customFormat="1" ht="15.75" customHeight="1" x14ac:dyDescent="0.25">
      <c r="A162" s="126">
        <f t="shared" si="53"/>
        <v>73</v>
      </c>
      <c r="B162" s="126">
        <v>4358</v>
      </c>
      <c r="C162" s="142" t="s">
        <v>546</v>
      </c>
      <c r="D162" s="134">
        <v>1991</v>
      </c>
      <c r="E162" s="134" t="s">
        <v>86</v>
      </c>
      <c r="F162" s="134" t="s">
        <v>87</v>
      </c>
      <c r="G162" s="15">
        <v>7037.5</v>
      </c>
      <c r="H162" s="15">
        <v>5129.5</v>
      </c>
      <c r="I162" s="10">
        <v>194</v>
      </c>
      <c r="J162" s="15">
        <f>'Форма 2'!I682</f>
        <v>1945960.05</v>
      </c>
      <c r="K162" s="15">
        <v>0</v>
      </c>
      <c r="L162" s="15">
        <v>0</v>
      </c>
      <c r="M162" s="15">
        <v>0</v>
      </c>
      <c r="N162" s="15">
        <f t="shared" si="54"/>
        <v>1879257.44</v>
      </c>
      <c r="O162" s="15">
        <v>66702.61</v>
      </c>
      <c r="P162" s="15">
        <f t="shared" si="55"/>
        <v>379.37</v>
      </c>
      <c r="Q162" s="15">
        <f>'Форма 2'!K682</f>
        <v>452.66</v>
      </c>
      <c r="R162" s="351" t="s">
        <v>290</v>
      </c>
      <c r="S162" s="153">
        <v>1</v>
      </c>
    </row>
    <row r="163" spans="1:75" s="41" customFormat="1" ht="15.75" customHeight="1" x14ac:dyDescent="0.25">
      <c r="A163" s="126">
        <f t="shared" si="53"/>
        <v>74</v>
      </c>
      <c r="B163" s="126">
        <v>4093</v>
      </c>
      <c r="C163" s="142" t="s">
        <v>496</v>
      </c>
      <c r="D163" s="134" t="s">
        <v>502</v>
      </c>
      <c r="E163" s="134" t="s">
        <v>86</v>
      </c>
      <c r="F163" s="134" t="s">
        <v>87</v>
      </c>
      <c r="G163" s="15">
        <v>23779.8</v>
      </c>
      <c r="H163" s="15">
        <v>18536.900000000001</v>
      </c>
      <c r="I163" s="10">
        <v>519</v>
      </c>
      <c r="J163" s="15">
        <f>'Форма 2'!I686</f>
        <v>6285996.71</v>
      </c>
      <c r="K163" s="15">
        <v>0</v>
      </c>
      <c r="L163" s="15">
        <v>0</v>
      </c>
      <c r="M163" s="15">
        <v>0</v>
      </c>
      <c r="N163" s="15">
        <f t="shared" si="54"/>
        <v>6103768.5199999996</v>
      </c>
      <c r="O163" s="15">
        <v>182228.19</v>
      </c>
      <c r="P163" s="15">
        <f t="shared" si="55"/>
        <v>339.11</v>
      </c>
      <c r="Q163" s="15">
        <f>'Форма 2'!K686</f>
        <v>374.03</v>
      </c>
      <c r="R163" s="351" t="s">
        <v>290</v>
      </c>
      <c r="S163" s="153">
        <v>1</v>
      </c>
    </row>
    <row r="164" spans="1:75" s="41" customFormat="1" x14ac:dyDescent="0.25">
      <c r="A164" s="126">
        <f>A163+1</f>
        <v>75</v>
      </c>
      <c r="B164" s="126">
        <v>3116</v>
      </c>
      <c r="C164" s="124" t="s">
        <v>207</v>
      </c>
      <c r="D164" s="134">
        <v>1983</v>
      </c>
      <c r="E164" s="134" t="s">
        <v>68</v>
      </c>
      <c r="F164" s="134" t="s">
        <v>82</v>
      </c>
      <c r="G164" s="15">
        <v>3560</v>
      </c>
      <c r="H164" s="15">
        <v>2647.9</v>
      </c>
      <c r="I164" s="10">
        <v>88</v>
      </c>
      <c r="J164" s="15">
        <f>'Форма 2'!I695</f>
        <v>6086165.6500000004</v>
      </c>
      <c r="K164" s="15">
        <v>0</v>
      </c>
      <c r="L164" s="15">
        <v>0</v>
      </c>
      <c r="M164" s="15">
        <v>0</v>
      </c>
      <c r="N164" s="15">
        <f t="shared" si="54"/>
        <v>6086165.6500000004</v>
      </c>
      <c r="O164" s="15">
        <v>0</v>
      </c>
      <c r="P164" s="15">
        <f t="shared" si="55"/>
        <v>2298.4899999999998</v>
      </c>
      <c r="Q164" s="15">
        <f>'Форма 2'!K695</f>
        <v>3878</v>
      </c>
      <c r="R164" s="351" t="s">
        <v>290</v>
      </c>
      <c r="S164" s="153">
        <v>1</v>
      </c>
    </row>
    <row r="165" spans="1:75" s="41" customFormat="1" ht="15.75" customHeight="1" x14ac:dyDescent="0.25">
      <c r="A165" s="11">
        <f>A164+1</f>
        <v>76</v>
      </c>
      <c r="B165" s="11">
        <v>3291</v>
      </c>
      <c r="C165" s="142" t="s">
        <v>142</v>
      </c>
      <c r="D165" s="134">
        <v>1973</v>
      </c>
      <c r="E165" s="134" t="s">
        <v>68</v>
      </c>
      <c r="F165" s="134" t="s">
        <v>82</v>
      </c>
      <c r="G165" s="15">
        <v>3087</v>
      </c>
      <c r="H165" s="15">
        <v>2878.8</v>
      </c>
      <c r="I165" s="10">
        <v>109</v>
      </c>
      <c r="J165" s="15">
        <f>'Форма 2'!I698</f>
        <v>7431616.5199999996</v>
      </c>
      <c r="K165" s="15">
        <v>0</v>
      </c>
      <c r="L165" s="15">
        <v>0</v>
      </c>
      <c r="M165" s="15">
        <v>0</v>
      </c>
      <c r="N165" s="15">
        <f t="shared" si="49"/>
        <v>7190428.96</v>
      </c>
      <c r="O165" s="15">
        <v>241187.56</v>
      </c>
      <c r="P165" s="15">
        <f t="shared" si="50"/>
        <v>2581.5</v>
      </c>
      <c r="Q165" s="15">
        <f>'Форма 2'!K698</f>
        <v>3878</v>
      </c>
      <c r="R165" s="351" t="s">
        <v>290</v>
      </c>
      <c r="S165" s="153">
        <v>1</v>
      </c>
    </row>
    <row r="166" spans="1:75" s="41" customFormat="1" ht="15.75" customHeight="1" x14ac:dyDescent="0.25">
      <c r="A166" s="11">
        <f t="shared" si="51"/>
        <v>77</v>
      </c>
      <c r="B166" s="11">
        <v>3295</v>
      </c>
      <c r="C166" s="142" t="s">
        <v>143</v>
      </c>
      <c r="D166" s="134">
        <v>1972</v>
      </c>
      <c r="E166" s="134" t="s">
        <v>68</v>
      </c>
      <c r="F166" s="134" t="s">
        <v>82</v>
      </c>
      <c r="G166" s="15">
        <v>3837.1</v>
      </c>
      <c r="H166" s="15">
        <v>3558.7</v>
      </c>
      <c r="I166" s="10">
        <v>134</v>
      </c>
      <c r="J166" s="15">
        <f>'Форма 2'!I701</f>
        <v>9750668.7699999996</v>
      </c>
      <c r="K166" s="15">
        <v>0</v>
      </c>
      <c r="L166" s="15">
        <v>0</v>
      </c>
      <c r="M166" s="15">
        <v>0</v>
      </c>
      <c r="N166" s="15">
        <f t="shared" si="49"/>
        <v>9461223.8900000006</v>
      </c>
      <c r="O166" s="15">
        <v>289444.88</v>
      </c>
      <c r="P166" s="15">
        <f t="shared" si="50"/>
        <v>2739.95</v>
      </c>
      <c r="Q166" s="15">
        <f>'Форма 2'!K701</f>
        <v>3878</v>
      </c>
      <c r="R166" s="351" t="s">
        <v>290</v>
      </c>
      <c r="S166" s="153">
        <v>1</v>
      </c>
    </row>
    <row r="167" spans="1:75" s="41" customFormat="1" ht="15.75" customHeight="1" x14ac:dyDescent="0.25">
      <c r="A167" s="11">
        <f t="shared" si="51"/>
        <v>78</v>
      </c>
      <c r="B167" s="11">
        <v>3298</v>
      </c>
      <c r="C167" s="142" t="s">
        <v>144</v>
      </c>
      <c r="D167" s="134">
        <v>1973</v>
      </c>
      <c r="E167" s="134" t="s">
        <v>68</v>
      </c>
      <c r="F167" s="134" t="s">
        <v>82</v>
      </c>
      <c r="G167" s="15">
        <v>2995.8</v>
      </c>
      <c r="H167" s="15">
        <v>2717.8</v>
      </c>
      <c r="I167" s="10">
        <v>103</v>
      </c>
      <c r="J167" s="15">
        <f>'Форма 2'!I704</f>
        <v>7342228.8600000003</v>
      </c>
      <c r="K167" s="15">
        <v>0</v>
      </c>
      <c r="L167" s="15">
        <v>0</v>
      </c>
      <c r="M167" s="15">
        <v>0</v>
      </c>
      <c r="N167" s="15">
        <f t="shared" si="49"/>
        <v>7111224.5999999996</v>
      </c>
      <c r="O167" s="15">
        <v>231004.26</v>
      </c>
      <c r="P167" s="15">
        <f t="shared" si="50"/>
        <v>2701.53</v>
      </c>
      <c r="Q167" s="15">
        <f>'Форма 2'!K704</f>
        <v>3878</v>
      </c>
      <c r="R167" s="351" t="s">
        <v>290</v>
      </c>
      <c r="S167" s="153">
        <v>1</v>
      </c>
    </row>
    <row r="168" spans="1:75" s="41" customFormat="1" ht="15.75" customHeight="1" x14ac:dyDescent="0.25">
      <c r="A168" s="126">
        <f t="shared" si="51"/>
        <v>79</v>
      </c>
      <c r="B168" s="126">
        <v>3171</v>
      </c>
      <c r="C168" s="142" t="s">
        <v>457</v>
      </c>
      <c r="D168" s="134" t="s">
        <v>458</v>
      </c>
      <c r="E168" s="134" t="s">
        <v>86</v>
      </c>
      <c r="F168" s="134" t="s">
        <v>82</v>
      </c>
      <c r="G168" s="15">
        <v>9302.2999999999993</v>
      </c>
      <c r="H168" s="15">
        <v>8269.5</v>
      </c>
      <c r="I168" s="10">
        <v>312</v>
      </c>
      <c r="J168" s="15">
        <f>'Форма 2'!I707</f>
        <v>3822512.28</v>
      </c>
      <c r="K168" s="15">
        <v>0</v>
      </c>
      <c r="L168" s="15">
        <v>0</v>
      </c>
      <c r="M168" s="15">
        <v>0</v>
      </c>
      <c r="N168" s="15">
        <f t="shared" si="49"/>
        <v>3699952.72</v>
      </c>
      <c r="O168" s="15">
        <v>122559.56</v>
      </c>
      <c r="P168" s="15">
        <f t="shared" si="50"/>
        <v>462.24</v>
      </c>
      <c r="Q168" s="15">
        <f>'Форма 2'!K707</f>
        <v>553.75</v>
      </c>
      <c r="R168" s="351" t="s">
        <v>290</v>
      </c>
      <c r="S168" s="153">
        <v>1</v>
      </c>
    </row>
    <row r="169" spans="1:75" s="41" customFormat="1" x14ac:dyDescent="0.25">
      <c r="A169" s="126">
        <f>A168+1</f>
        <v>80</v>
      </c>
      <c r="B169" s="126">
        <v>4261</v>
      </c>
      <c r="C169" s="124" t="s">
        <v>608</v>
      </c>
      <c r="D169" s="134">
        <v>1995</v>
      </c>
      <c r="E169" s="134" t="s">
        <v>86</v>
      </c>
      <c r="F169" s="134" t="s">
        <v>81</v>
      </c>
      <c r="G169" s="15">
        <v>3560.1</v>
      </c>
      <c r="H169" s="15">
        <v>3106.9</v>
      </c>
      <c r="I169" s="10">
        <v>117</v>
      </c>
      <c r="J169" s="15">
        <f>'Форма 2'!I712</f>
        <v>32281</v>
      </c>
      <c r="K169" s="15">
        <v>0</v>
      </c>
      <c r="L169" s="15">
        <v>0</v>
      </c>
      <c r="M169" s="15">
        <v>0</v>
      </c>
      <c r="N169" s="15">
        <f>J169-K169-L169-M169-O169</f>
        <v>32281</v>
      </c>
      <c r="O169" s="15">
        <v>0</v>
      </c>
      <c r="P169" s="15">
        <f>J169/H169</f>
        <v>10.39</v>
      </c>
      <c r="Q169" s="15">
        <f>'Форма 2'!K712</f>
        <v>10.39</v>
      </c>
      <c r="R169" s="351" t="s">
        <v>290</v>
      </c>
      <c r="S169" s="153">
        <v>1</v>
      </c>
    </row>
    <row r="170" spans="1:75" s="41" customFormat="1" x14ac:dyDescent="0.25">
      <c r="A170" s="126">
        <f>A169+1</f>
        <v>81</v>
      </c>
      <c r="B170" s="126">
        <v>4378</v>
      </c>
      <c r="C170" s="124" t="s">
        <v>609</v>
      </c>
      <c r="D170" s="134">
        <v>1994</v>
      </c>
      <c r="E170" s="134" t="s">
        <v>86</v>
      </c>
      <c r="F170" s="134" t="s">
        <v>81</v>
      </c>
      <c r="G170" s="15">
        <v>4584</v>
      </c>
      <c r="H170" s="15">
        <v>3900.4</v>
      </c>
      <c r="I170" s="10">
        <v>147</v>
      </c>
      <c r="J170" s="15">
        <f>'Форма 2'!I714</f>
        <v>32281</v>
      </c>
      <c r="K170" s="15">
        <v>0</v>
      </c>
      <c r="L170" s="15">
        <v>0</v>
      </c>
      <c r="M170" s="15">
        <v>0</v>
      </c>
      <c r="N170" s="15">
        <f>J170-K170-L170-M170-O170</f>
        <v>32281</v>
      </c>
      <c r="O170" s="15">
        <v>0</v>
      </c>
      <c r="P170" s="15">
        <f>J170/H170</f>
        <v>8.2799999999999994</v>
      </c>
      <c r="Q170" s="15">
        <f>'Форма 2'!K714</f>
        <v>8.2799999999999994</v>
      </c>
      <c r="R170" s="351" t="s">
        <v>290</v>
      </c>
      <c r="S170" s="153">
        <v>1</v>
      </c>
    </row>
    <row r="171" spans="1:75" s="41" customFormat="1" x14ac:dyDescent="0.25">
      <c r="A171" s="126">
        <f>A170+1</f>
        <v>82</v>
      </c>
      <c r="B171" s="126">
        <v>4243</v>
      </c>
      <c r="C171" s="124" t="s">
        <v>610</v>
      </c>
      <c r="D171" s="134">
        <v>1994</v>
      </c>
      <c r="E171" s="134" t="s">
        <v>86</v>
      </c>
      <c r="F171" s="134" t="s">
        <v>81</v>
      </c>
      <c r="G171" s="15">
        <v>4356.18</v>
      </c>
      <c r="H171" s="15">
        <v>3950.38</v>
      </c>
      <c r="I171" s="10">
        <v>151</v>
      </c>
      <c r="J171" s="15">
        <f>'Форма 2'!I716</f>
        <v>64562</v>
      </c>
      <c r="K171" s="15">
        <v>0</v>
      </c>
      <c r="L171" s="15">
        <v>0</v>
      </c>
      <c r="M171" s="15">
        <v>0</v>
      </c>
      <c r="N171" s="15">
        <f>J171-K171-L171-M171-O171</f>
        <v>64562</v>
      </c>
      <c r="O171" s="15">
        <v>0</v>
      </c>
      <c r="P171" s="15">
        <f>J171/H171</f>
        <v>16.34</v>
      </c>
      <c r="Q171" s="15">
        <f>'Форма 2'!K716</f>
        <v>16.34</v>
      </c>
      <c r="R171" s="351" t="s">
        <v>290</v>
      </c>
      <c r="S171" s="153">
        <v>1</v>
      </c>
    </row>
    <row r="172" spans="1:75" s="41" customFormat="1" x14ac:dyDescent="0.25">
      <c r="A172" s="126">
        <f>A171+1</f>
        <v>83</v>
      </c>
      <c r="B172" s="126">
        <v>4379</v>
      </c>
      <c r="C172" s="124" t="s">
        <v>611</v>
      </c>
      <c r="D172" s="134">
        <v>1994</v>
      </c>
      <c r="E172" s="134" t="s">
        <v>86</v>
      </c>
      <c r="F172" s="134" t="s">
        <v>81</v>
      </c>
      <c r="G172" s="15">
        <v>4563.1000000000004</v>
      </c>
      <c r="H172" s="15">
        <v>3914.2</v>
      </c>
      <c r="I172" s="10">
        <v>148</v>
      </c>
      <c r="J172" s="15">
        <f>'Форма 2'!I719</f>
        <v>32281</v>
      </c>
      <c r="K172" s="15">
        <v>0</v>
      </c>
      <c r="L172" s="15">
        <v>0</v>
      </c>
      <c r="M172" s="15">
        <v>0</v>
      </c>
      <c r="N172" s="15">
        <f>J172-K172-L172-M172-O172</f>
        <v>32281</v>
      </c>
      <c r="O172" s="15">
        <v>0</v>
      </c>
      <c r="P172" s="15">
        <f>J172/H172</f>
        <v>8.25</v>
      </c>
      <c r="Q172" s="15">
        <f>'Форма 2'!K719</f>
        <v>8.25</v>
      </c>
      <c r="R172" s="351" t="s">
        <v>290</v>
      </c>
      <c r="S172" s="153">
        <v>1</v>
      </c>
    </row>
    <row r="173" spans="1:75" s="41" customFormat="1" ht="15.75" customHeight="1" x14ac:dyDescent="0.25">
      <c r="A173" s="11">
        <f>A172+1</f>
        <v>84</v>
      </c>
      <c r="B173" s="11">
        <v>3313</v>
      </c>
      <c r="C173" s="142" t="s">
        <v>145</v>
      </c>
      <c r="D173" s="134">
        <v>1973</v>
      </c>
      <c r="E173" s="134" t="s">
        <v>68</v>
      </c>
      <c r="F173" s="134" t="s">
        <v>82</v>
      </c>
      <c r="G173" s="15">
        <v>3909.4</v>
      </c>
      <c r="H173" s="15">
        <v>3573</v>
      </c>
      <c r="I173" s="10">
        <v>135</v>
      </c>
      <c r="J173" s="15">
        <f>'Форма 2'!I721</f>
        <v>9374140.5199999996</v>
      </c>
      <c r="K173" s="15">
        <v>0</v>
      </c>
      <c r="L173" s="15">
        <v>0</v>
      </c>
      <c r="M173" s="15">
        <v>0</v>
      </c>
      <c r="N173" s="15">
        <f t="shared" si="49"/>
        <v>9085271.3100000005</v>
      </c>
      <c r="O173" s="15">
        <v>288869.21000000002</v>
      </c>
      <c r="P173" s="15">
        <f t="shared" si="50"/>
        <v>2623.6</v>
      </c>
      <c r="Q173" s="15">
        <f>'Форма 2'!K721</f>
        <v>3878</v>
      </c>
      <c r="R173" s="351" t="s">
        <v>290</v>
      </c>
      <c r="S173" s="153">
        <v>1</v>
      </c>
    </row>
    <row r="174" spans="1:75" s="41" customFormat="1" ht="15.75" customHeight="1" x14ac:dyDescent="0.25">
      <c r="A174" s="11">
        <f t="shared" si="51"/>
        <v>85</v>
      </c>
      <c r="B174" s="11">
        <v>4342</v>
      </c>
      <c r="C174" s="142" t="s">
        <v>146</v>
      </c>
      <c r="D174" s="134">
        <v>1974</v>
      </c>
      <c r="E174" s="134" t="s">
        <v>68</v>
      </c>
      <c r="F174" s="134" t="s">
        <v>82</v>
      </c>
      <c r="G174" s="15">
        <v>5793.55</v>
      </c>
      <c r="H174" s="15">
        <v>4412.1499999999996</v>
      </c>
      <c r="I174" s="10">
        <v>167</v>
      </c>
      <c r="J174" s="15">
        <f>'Форма 2'!I724</f>
        <v>12547247.029999999</v>
      </c>
      <c r="K174" s="15">
        <v>0</v>
      </c>
      <c r="L174" s="15">
        <v>0</v>
      </c>
      <c r="M174" s="15">
        <v>0</v>
      </c>
      <c r="N174" s="15">
        <f t="shared" si="49"/>
        <v>12186794.609999999</v>
      </c>
      <c r="O174" s="15">
        <v>360452.42</v>
      </c>
      <c r="P174" s="15">
        <f t="shared" si="50"/>
        <v>2843.79</v>
      </c>
      <c r="Q174" s="15">
        <f>'Форма 2'!K724</f>
        <v>3878</v>
      </c>
      <c r="R174" s="351" t="s">
        <v>290</v>
      </c>
      <c r="S174" s="153">
        <v>1</v>
      </c>
    </row>
    <row r="175" spans="1:75" s="41" customFormat="1" ht="15.75" customHeight="1" x14ac:dyDescent="0.25">
      <c r="A175" s="11">
        <f t="shared" si="51"/>
        <v>86</v>
      </c>
      <c r="B175" s="11">
        <v>4344</v>
      </c>
      <c r="C175" s="142" t="s">
        <v>147</v>
      </c>
      <c r="D175" s="134">
        <v>1974</v>
      </c>
      <c r="E175" s="134" t="s">
        <v>68</v>
      </c>
      <c r="F175" s="134" t="s">
        <v>82</v>
      </c>
      <c r="G175" s="15">
        <v>4367.7</v>
      </c>
      <c r="H175" s="15">
        <v>3205.5</v>
      </c>
      <c r="I175" s="10">
        <v>121</v>
      </c>
      <c r="J175" s="15">
        <f>'Форма 2'!I727</f>
        <v>6209810.6500000004</v>
      </c>
      <c r="K175" s="15">
        <v>0</v>
      </c>
      <c r="L175" s="15">
        <v>0</v>
      </c>
      <c r="M175" s="15">
        <v>0</v>
      </c>
      <c r="N175" s="15">
        <f t="shared" si="49"/>
        <v>6021942.2999999998</v>
      </c>
      <c r="O175" s="15">
        <v>187868.35</v>
      </c>
      <c r="P175" s="15">
        <f t="shared" si="50"/>
        <v>1937.24</v>
      </c>
      <c r="Q175" s="15">
        <f>'Форма 2'!K727</f>
        <v>3878</v>
      </c>
      <c r="R175" s="351" t="s">
        <v>290</v>
      </c>
      <c r="S175" s="153">
        <v>1</v>
      </c>
    </row>
    <row r="176" spans="1:75" s="41" customFormat="1" ht="15.75" customHeight="1" x14ac:dyDescent="0.25">
      <c r="A176" s="11">
        <f t="shared" si="51"/>
        <v>87</v>
      </c>
      <c r="B176" s="11">
        <v>3320</v>
      </c>
      <c r="C176" s="142" t="s">
        <v>148</v>
      </c>
      <c r="D176" s="134">
        <v>1976</v>
      </c>
      <c r="E176" s="134" t="s">
        <v>68</v>
      </c>
      <c r="F176" s="134" t="s">
        <v>82</v>
      </c>
      <c r="G176" s="15">
        <v>3018</v>
      </c>
      <c r="H176" s="15">
        <v>2666</v>
      </c>
      <c r="I176" s="10">
        <v>101</v>
      </c>
      <c r="J176" s="15">
        <f>'Форма 2'!I730</f>
        <v>7221900.8600000003</v>
      </c>
      <c r="K176" s="15">
        <v>0</v>
      </c>
      <c r="L176" s="15">
        <v>0</v>
      </c>
      <c r="M176" s="15">
        <v>0</v>
      </c>
      <c r="N176" s="15">
        <f t="shared" si="49"/>
        <v>7004000.0999999996</v>
      </c>
      <c r="O176" s="15">
        <v>217900.76</v>
      </c>
      <c r="P176" s="15">
        <f t="shared" si="50"/>
        <v>2708.89</v>
      </c>
      <c r="Q176" s="15">
        <f>'Форма 2'!K730</f>
        <v>3878</v>
      </c>
      <c r="R176" s="351" t="s">
        <v>290</v>
      </c>
      <c r="S176" s="153">
        <v>1</v>
      </c>
    </row>
    <row r="177" spans="1:19" s="41" customFormat="1" ht="15.75" customHeight="1" x14ac:dyDescent="0.25">
      <c r="A177" s="126">
        <f t="shared" si="51"/>
        <v>88</v>
      </c>
      <c r="B177" s="126">
        <v>4244</v>
      </c>
      <c r="C177" s="142" t="s">
        <v>449</v>
      </c>
      <c r="D177" s="134">
        <v>1992</v>
      </c>
      <c r="E177" s="134" t="s">
        <v>86</v>
      </c>
      <c r="F177" s="134" t="s">
        <v>82</v>
      </c>
      <c r="G177" s="15">
        <v>10030.629999999999</v>
      </c>
      <c r="H177" s="15">
        <v>9070.6299999999992</v>
      </c>
      <c r="I177" s="10">
        <v>343</v>
      </c>
      <c r="J177" s="15">
        <f>'Форма 2'!I733</f>
        <v>8370242.7699999996</v>
      </c>
      <c r="K177" s="15">
        <v>0</v>
      </c>
      <c r="L177" s="15">
        <v>0</v>
      </c>
      <c r="M177" s="15">
        <v>0</v>
      </c>
      <c r="N177" s="15">
        <f t="shared" si="49"/>
        <v>8128412.2400000002</v>
      </c>
      <c r="O177" s="15">
        <v>241830.53</v>
      </c>
      <c r="P177" s="15">
        <f t="shared" si="50"/>
        <v>922.79</v>
      </c>
      <c r="Q177" s="15">
        <f>'Форма 2'!K733</f>
        <v>1009.68</v>
      </c>
      <c r="R177" s="351" t="s">
        <v>290</v>
      </c>
      <c r="S177" s="153">
        <v>1</v>
      </c>
    </row>
    <row r="178" spans="1:19" s="41" customFormat="1" x14ac:dyDescent="0.25">
      <c r="A178" s="126">
        <f>A177+1</f>
        <v>89</v>
      </c>
      <c r="B178" s="126">
        <v>3172</v>
      </c>
      <c r="C178" s="124" t="s">
        <v>612</v>
      </c>
      <c r="D178" s="134">
        <v>1994</v>
      </c>
      <c r="E178" s="134" t="s">
        <v>86</v>
      </c>
      <c r="F178" s="134" t="s">
        <v>81</v>
      </c>
      <c r="G178" s="15">
        <v>11811.72</v>
      </c>
      <c r="H178" s="15">
        <v>9843.1</v>
      </c>
      <c r="I178" s="10">
        <v>347</v>
      </c>
      <c r="J178" s="15">
        <f>'Форма 2'!I742</f>
        <v>64562</v>
      </c>
      <c r="K178" s="15">
        <v>0</v>
      </c>
      <c r="L178" s="15">
        <v>0</v>
      </c>
      <c r="M178" s="15">
        <v>0</v>
      </c>
      <c r="N178" s="15">
        <f>J178-K178-L178-M178-O178</f>
        <v>64562</v>
      </c>
      <c r="O178" s="15">
        <v>0</v>
      </c>
      <c r="P178" s="15">
        <f>J178/H178</f>
        <v>6.56</v>
      </c>
      <c r="Q178" s="15">
        <f>'Форма 2'!K742</f>
        <v>6.56</v>
      </c>
      <c r="R178" s="351" t="s">
        <v>290</v>
      </c>
      <c r="S178" s="153">
        <v>1</v>
      </c>
    </row>
    <row r="179" spans="1:19" s="41" customFormat="1" ht="15.75" customHeight="1" x14ac:dyDescent="0.25">
      <c r="A179" s="11">
        <f>A178+1</f>
        <v>90</v>
      </c>
      <c r="B179" s="11">
        <v>3433</v>
      </c>
      <c r="C179" s="142" t="s">
        <v>365</v>
      </c>
      <c r="D179" s="134">
        <v>1992</v>
      </c>
      <c r="E179" s="134" t="s">
        <v>372</v>
      </c>
      <c r="F179" s="134" t="s">
        <v>81</v>
      </c>
      <c r="G179" s="15">
        <v>4578.6000000000004</v>
      </c>
      <c r="H179" s="15">
        <v>3939</v>
      </c>
      <c r="I179" s="10">
        <v>149</v>
      </c>
      <c r="J179" s="15">
        <f>'Форма 2'!I745</f>
        <v>513445.23</v>
      </c>
      <c r="K179" s="15">
        <v>0</v>
      </c>
      <c r="L179" s="15">
        <v>0</v>
      </c>
      <c r="M179" s="15">
        <v>0</v>
      </c>
      <c r="N179" s="15">
        <f t="shared" si="49"/>
        <v>497014.78</v>
      </c>
      <c r="O179" s="15">
        <v>16430.45</v>
      </c>
      <c r="P179" s="15">
        <f t="shared" si="50"/>
        <v>130.35</v>
      </c>
      <c r="Q179" s="15">
        <f>'Форма 2'!K745</f>
        <v>188</v>
      </c>
      <c r="R179" s="351" t="s">
        <v>290</v>
      </c>
      <c r="S179" s="153">
        <v>1</v>
      </c>
    </row>
    <row r="180" spans="1:19" s="41" customFormat="1" ht="15.75" customHeight="1" x14ac:dyDescent="0.25">
      <c r="A180" s="11">
        <f t="shared" si="51"/>
        <v>91</v>
      </c>
      <c r="B180" s="11">
        <v>3173</v>
      </c>
      <c r="C180" s="142" t="s">
        <v>149</v>
      </c>
      <c r="D180" s="134">
        <v>1976</v>
      </c>
      <c r="E180" s="134" t="s">
        <v>68</v>
      </c>
      <c r="F180" s="134" t="s">
        <v>82</v>
      </c>
      <c r="G180" s="15">
        <v>2921</v>
      </c>
      <c r="H180" s="15">
        <v>2633.8</v>
      </c>
      <c r="I180" s="10">
        <v>99</v>
      </c>
      <c r="J180" s="15">
        <f>'Форма 2'!I750</f>
        <v>6454686.9900000002</v>
      </c>
      <c r="K180" s="15">
        <v>0</v>
      </c>
      <c r="L180" s="15">
        <v>0</v>
      </c>
      <c r="M180" s="15">
        <v>0</v>
      </c>
      <c r="N180" s="15">
        <f t="shared" si="49"/>
        <v>6261355.46</v>
      </c>
      <c r="O180" s="15">
        <v>193331.53</v>
      </c>
      <c r="P180" s="15">
        <f t="shared" si="50"/>
        <v>2450.71</v>
      </c>
      <c r="Q180" s="15">
        <f>'Форма 2'!K750</f>
        <v>3878</v>
      </c>
      <c r="R180" s="351" t="s">
        <v>290</v>
      </c>
      <c r="S180" s="153">
        <v>1</v>
      </c>
    </row>
    <row r="181" spans="1:19" s="41" customFormat="1" ht="15.75" customHeight="1" x14ac:dyDescent="0.25">
      <c r="A181" s="126">
        <f>A180+1</f>
        <v>92</v>
      </c>
      <c r="B181" s="126">
        <v>4250</v>
      </c>
      <c r="C181" s="142" t="s">
        <v>556</v>
      </c>
      <c r="D181" s="134">
        <v>1969</v>
      </c>
      <c r="E181" s="134" t="s">
        <v>95</v>
      </c>
      <c r="F181" s="134" t="s">
        <v>81</v>
      </c>
      <c r="G181" s="15">
        <v>6170</v>
      </c>
      <c r="H181" s="15">
        <v>5742.5</v>
      </c>
      <c r="I181" s="10">
        <v>217</v>
      </c>
      <c r="J181" s="15">
        <f>'Форма 2'!I753</f>
        <v>137820</v>
      </c>
      <c r="K181" s="15">
        <v>0</v>
      </c>
      <c r="L181" s="15">
        <v>0</v>
      </c>
      <c r="M181" s="15">
        <v>0</v>
      </c>
      <c r="N181" s="15">
        <f t="shared" si="49"/>
        <v>133860.76</v>
      </c>
      <c r="O181" s="15">
        <v>3959.24</v>
      </c>
      <c r="P181" s="15">
        <f t="shared" si="50"/>
        <v>24</v>
      </c>
      <c r="Q181" s="15">
        <f>'Форма 2'!K753</f>
        <v>24</v>
      </c>
      <c r="R181" s="351" t="s">
        <v>290</v>
      </c>
      <c r="S181" s="153">
        <v>1</v>
      </c>
    </row>
    <row r="182" spans="1:19" s="41" customFormat="1" ht="15" customHeight="1" x14ac:dyDescent="0.25">
      <c r="A182" s="126">
        <f>A181+1</f>
        <v>93</v>
      </c>
      <c r="B182" s="126">
        <v>3141</v>
      </c>
      <c r="C182" s="124" t="s">
        <v>212</v>
      </c>
      <c r="D182" s="134" t="s">
        <v>382</v>
      </c>
      <c r="E182" s="134" t="s">
        <v>86</v>
      </c>
      <c r="F182" s="134" t="s">
        <v>81</v>
      </c>
      <c r="G182" s="15">
        <v>11490.4</v>
      </c>
      <c r="H182" s="15">
        <v>8978.6</v>
      </c>
      <c r="I182" s="10">
        <v>142</v>
      </c>
      <c r="J182" s="15">
        <f>'Форма 2'!I755</f>
        <v>64562</v>
      </c>
      <c r="K182" s="15">
        <v>0</v>
      </c>
      <c r="L182" s="15">
        <v>0</v>
      </c>
      <c r="M182" s="15">
        <v>0</v>
      </c>
      <c r="N182" s="15">
        <f>J182-K182-L182-M182-O182</f>
        <v>64562</v>
      </c>
      <c r="O182" s="15">
        <v>0</v>
      </c>
      <c r="P182" s="15">
        <f>J182/H182</f>
        <v>7.19</v>
      </c>
      <c r="Q182" s="15">
        <f>'Форма 2'!K755</f>
        <v>7.19</v>
      </c>
      <c r="R182" s="351" t="s">
        <v>290</v>
      </c>
      <c r="S182" s="153">
        <v>1</v>
      </c>
    </row>
    <row r="183" spans="1:19" s="41" customFormat="1" ht="15" customHeight="1" x14ac:dyDescent="0.25">
      <c r="A183" s="126">
        <f>A182+1</f>
        <v>94</v>
      </c>
      <c r="B183" s="126">
        <v>4122</v>
      </c>
      <c r="C183" s="124" t="s">
        <v>613</v>
      </c>
      <c r="D183" s="134">
        <v>1994</v>
      </c>
      <c r="E183" s="134" t="s">
        <v>86</v>
      </c>
      <c r="F183" s="134" t="s">
        <v>81</v>
      </c>
      <c r="G183" s="15">
        <v>3846</v>
      </c>
      <c r="H183" s="15">
        <v>3489.9</v>
      </c>
      <c r="I183" s="10">
        <v>143</v>
      </c>
      <c r="J183" s="15">
        <f>'Форма 2'!I758</f>
        <v>64562</v>
      </c>
      <c r="K183" s="15">
        <v>0</v>
      </c>
      <c r="L183" s="15">
        <v>0</v>
      </c>
      <c r="M183" s="15">
        <v>0</v>
      </c>
      <c r="N183" s="15">
        <f>J183-K183-L183-M183-O183</f>
        <v>64562</v>
      </c>
      <c r="O183" s="15">
        <v>0</v>
      </c>
      <c r="P183" s="15">
        <f>J183/H183</f>
        <v>18.5</v>
      </c>
      <c r="Q183" s="15">
        <f>'Форма 2'!K758</f>
        <v>18.5</v>
      </c>
      <c r="R183" s="351" t="s">
        <v>290</v>
      </c>
      <c r="S183" s="153">
        <v>1</v>
      </c>
    </row>
    <row r="184" spans="1:19" s="41" customFormat="1" ht="15.75" customHeight="1" x14ac:dyDescent="0.25">
      <c r="A184" s="11">
        <f>A183+1</f>
        <v>95</v>
      </c>
      <c r="B184" s="11">
        <v>3378</v>
      </c>
      <c r="C184" s="142" t="s">
        <v>150</v>
      </c>
      <c r="D184" s="134">
        <v>1973</v>
      </c>
      <c r="E184" s="134" t="s">
        <v>68</v>
      </c>
      <c r="F184" s="134" t="s">
        <v>82</v>
      </c>
      <c r="G184" s="15">
        <v>4538.3999999999996</v>
      </c>
      <c r="H184" s="15">
        <v>3969.6</v>
      </c>
      <c r="I184" s="10">
        <v>150</v>
      </c>
      <c r="J184" s="15">
        <f>'Форма 2'!I761</f>
        <v>6240218.6799999997</v>
      </c>
      <c r="K184" s="15">
        <v>0</v>
      </c>
      <c r="L184" s="15">
        <v>0</v>
      </c>
      <c r="M184" s="15">
        <v>0</v>
      </c>
      <c r="N184" s="15">
        <f t="shared" si="49"/>
        <v>6056080.7800000003</v>
      </c>
      <c r="O184" s="15">
        <v>184137.9</v>
      </c>
      <c r="P184" s="15">
        <f t="shared" si="50"/>
        <v>1572</v>
      </c>
      <c r="Q184" s="15">
        <f>'Форма 2'!K761</f>
        <v>3878</v>
      </c>
      <c r="R184" s="351" t="s">
        <v>290</v>
      </c>
      <c r="S184" s="153">
        <v>1</v>
      </c>
    </row>
    <row r="185" spans="1:19" s="41" customFormat="1" ht="15.75" customHeight="1" x14ac:dyDescent="0.25">
      <c r="A185" s="11">
        <f t="shared" si="51"/>
        <v>96</v>
      </c>
      <c r="B185" s="11">
        <v>3381</v>
      </c>
      <c r="C185" s="142" t="s">
        <v>151</v>
      </c>
      <c r="D185" s="134">
        <v>1979</v>
      </c>
      <c r="E185" s="134" t="s">
        <v>68</v>
      </c>
      <c r="F185" s="134" t="s">
        <v>82</v>
      </c>
      <c r="G185" s="15">
        <v>1603.3</v>
      </c>
      <c r="H185" s="15">
        <v>1492.8</v>
      </c>
      <c r="I185" s="10">
        <v>56</v>
      </c>
      <c r="J185" s="15">
        <f>'Форма 2'!I764</f>
        <v>4572495.8499999996</v>
      </c>
      <c r="K185" s="15">
        <v>0</v>
      </c>
      <c r="L185" s="15">
        <v>0</v>
      </c>
      <c r="M185" s="15">
        <v>0</v>
      </c>
      <c r="N185" s="15">
        <f t="shared" si="49"/>
        <v>4450283.55</v>
      </c>
      <c r="O185" s="15">
        <v>122212.3</v>
      </c>
      <c r="P185" s="15">
        <f t="shared" si="50"/>
        <v>3063.03</v>
      </c>
      <c r="Q185" s="15">
        <f>'Форма 2'!K764</f>
        <v>3878</v>
      </c>
      <c r="R185" s="351" t="s">
        <v>290</v>
      </c>
      <c r="S185" s="153">
        <v>1</v>
      </c>
    </row>
    <row r="186" spans="1:19" s="41" customFormat="1" ht="15" customHeight="1" x14ac:dyDescent="0.25">
      <c r="A186" s="126">
        <f t="shared" ref="A186:A192" si="56">A185+1</f>
        <v>97</v>
      </c>
      <c r="B186" s="126">
        <v>3398</v>
      </c>
      <c r="C186" s="124" t="s">
        <v>152</v>
      </c>
      <c r="D186" s="134">
        <v>1977</v>
      </c>
      <c r="E186" s="134" t="s">
        <v>68</v>
      </c>
      <c r="F186" s="134" t="s">
        <v>82</v>
      </c>
      <c r="G186" s="15">
        <v>4923.7</v>
      </c>
      <c r="H186" s="15">
        <v>2693</v>
      </c>
      <c r="I186" s="10">
        <v>102</v>
      </c>
      <c r="J186" s="15">
        <f>'Форма 2'!I767</f>
        <v>8989079.2100000009</v>
      </c>
      <c r="K186" s="15">
        <v>0</v>
      </c>
      <c r="L186" s="15">
        <v>0</v>
      </c>
      <c r="M186" s="15">
        <v>0</v>
      </c>
      <c r="N186" s="15">
        <f>J186-K186-L186-M186-O186</f>
        <v>8989079.2100000009</v>
      </c>
      <c r="O186" s="15">
        <v>0</v>
      </c>
      <c r="P186" s="15">
        <f>J186/H186</f>
        <v>3337.94</v>
      </c>
      <c r="Q186" s="15">
        <f>'Форма 2'!K767</f>
        <v>4448</v>
      </c>
      <c r="R186" s="351" t="s">
        <v>290</v>
      </c>
      <c r="S186" s="153">
        <v>1</v>
      </c>
    </row>
    <row r="187" spans="1:19" s="41" customFormat="1" ht="15" customHeight="1" x14ac:dyDescent="0.25">
      <c r="A187" s="126">
        <f t="shared" si="56"/>
        <v>98</v>
      </c>
      <c r="B187" s="126">
        <v>3403</v>
      </c>
      <c r="C187" s="124" t="s">
        <v>614</v>
      </c>
      <c r="D187" s="134">
        <v>1940</v>
      </c>
      <c r="E187" s="134" t="s">
        <v>95</v>
      </c>
      <c r="F187" s="134" t="s">
        <v>81</v>
      </c>
      <c r="G187" s="15">
        <v>902.03</v>
      </c>
      <c r="H187" s="15">
        <v>812.03</v>
      </c>
      <c r="I187" s="10">
        <v>31</v>
      </c>
      <c r="J187" s="15">
        <f>'Форма 2'!I770</f>
        <v>59278.19</v>
      </c>
      <c r="K187" s="15">
        <v>0</v>
      </c>
      <c r="L187" s="15">
        <v>0</v>
      </c>
      <c r="M187" s="15">
        <v>0</v>
      </c>
      <c r="N187" s="15">
        <f>J187-K187-L187-M187-O187</f>
        <v>59278.19</v>
      </c>
      <c r="O187" s="15">
        <v>0</v>
      </c>
      <c r="P187" s="15">
        <f>J187/H187</f>
        <v>73</v>
      </c>
      <c r="Q187" s="15">
        <f>'Форма 2'!K770</f>
        <v>73</v>
      </c>
      <c r="R187" s="351" t="s">
        <v>290</v>
      </c>
      <c r="S187" s="153">
        <v>1</v>
      </c>
    </row>
    <row r="188" spans="1:19" s="41" customFormat="1" ht="15" customHeight="1" x14ac:dyDescent="0.25">
      <c r="A188" s="126">
        <f t="shared" si="56"/>
        <v>99</v>
      </c>
      <c r="B188" s="126">
        <v>3404</v>
      </c>
      <c r="C188" s="124" t="s">
        <v>615</v>
      </c>
      <c r="D188" s="134">
        <v>1951</v>
      </c>
      <c r="E188" s="134" t="s">
        <v>95</v>
      </c>
      <c r="F188" s="134" t="s">
        <v>81</v>
      </c>
      <c r="G188" s="15">
        <v>1279.28</v>
      </c>
      <c r="H188" s="15">
        <v>1165.78</v>
      </c>
      <c r="I188" s="10">
        <v>52</v>
      </c>
      <c r="J188" s="15">
        <f>'Форма 2'!I772</f>
        <v>54791.66</v>
      </c>
      <c r="K188" s="15">
        <v>0</v>
      </c>
      <c r="L188" s="15">
        <v>0</v>
      </c>
      <c r="M188" s="15">
        <v>0</v>
      </c>
      <c r="N188" s="15">
        <f>J188-K188-L188-M188-O188</f>
        <v>54791.66</v>
      </c>
      <c r="O188" s="15">
        <v>0</v>
      </c>
      <c r="P188" s="15">
        <f>J188/H188</f>
        <v>47</v>
      </c>
      <c r="Q188" s="15">
        <f>'Форма 2'!K772</f>
        <v>47</v>
      </c>
      <c r="R188" s="351" t="s">
        <v>290</v>
      </c>
      <c r="S188" s="153">
        <v>1</v>
      </c>
    </row>
    <row r="189" spans="1:19" s="41" customFormat="1" ht="15.75" customHeight="1" x14ac:dyDescent="0.25">
      <c r="A189" s="126">
        <f t="shared" si="56"/>
        <v>100</v>
      </c>
      <c r="B189" s="126">
        <v>3406</v>
      </c>
      <c r="C189" s="142" t="s">
        <v>547</v>
      </c>
      <c r="D189" s="134">
        <v>1956</v>
      </c>
      <c r="E189" s="134" t="s">
        <v>548</v>
      </c>
      <c r="F189" s="134" t="s">
        <v>114</v>
      </c>
      <c r="G189" s="15">
        <v>1344.96</v>
      </c>
      <c r="H189" s="15">
        <v>1229.96</v>
      </c>
      <c r="I189" s="10">
        <v>46</v>
      </c>
      <c r="J189" s="15">
        <f>'Форма 2'!I774</f>
        <v>7706906.7999999998</v>
      </c>
      <c r="K189" s="15">
        <v>0</v>
      </c>
      <c r="L189" s="15">
        <v>0</v>
      </c>
      <c r="M189" s="15">
        <v>0</v>
      </c>
      <c r="N189" s="15">
        <f t="shared" si="49"/>
        <v>7414956.7199999997</v>
      </c>
      <c r="O189" s="15">
        <v>291950.08000000002</v>
      </c>
      <c r="P189" s="15">
        <f t="shared" si="50"/>
        <v>6265.98</v>
      </c>
      <c r="Q189" s="15">
        <f>'Форма 2'!K774</f>
        <v>17763</v>
      </c>
      <c r="R189" s="351" t="s">
        <v>290</v>
      </c>
      <c r="S189" s="153">
        <v>1</v>
      </c>
    </row>
    <row r="190" spans="1:19" s="41" customFormat="1" ht="15" customHeight="1" x14ac:dyDescent="0.25">
      <c r="A190" s="126">
        <f t="shared" si="56"/>
        <v>101</v>
      </c>
      <c r="B190" s="126">
        <v>3409</v>
      </c>
      <c r="C190" s="124" t="s">
        <v>616</v>
      </c>
      <c r="D190" s="134">
        <v>1939</v>
      </c>
      <c r="E190" s="134" t="s">
        <v>95</v>
      </c>
      <c r="F190" s="134" t="s">
        <v>81</v>
      </c>
      <c r="G190" s="15">
        <v>1900.24</v>
      </c>
      <c r="H190" s="15">
        <v>1702.64</v>
      </c>
      <c r="I190" s="10">
        <v>64</v>
      </c>
      <c r="J190" s="15">
        <f>'Форма 2'!I783</f>
        <v>80024.08</v>
      </c>
      <c r="K190" s="15">
        <v>0</v>
      </c>
      <c r="L190" s="15">
        <v>0</v>
      </c>
      <c r="M190" s="15">
        <v>0</v>
      </c>
      <c r="N190" s="15">
        <f>J190-K190-L190-M190-O190</f>
        <v>80024.08</v>
      </c>
      <c r="O190" s="15">
        <v>0</v>
      </c>
      <c r="P190" s="15">
        <f>J190/H190</f>
        <v>47</v>
      </c>
      <c r="Q190" s="15">
        <f>'Форма 2'!K783</f>
        <v>47</v>
      </c>
      <c r="R190" s="351" t="s">
        <v>290</v>
      </c>
      <c r="S190" s="153">
        <v>1</v>
      </c>
    </row>
    <row r="191" spans="1:19" s="41" customFormat="1" ht="15" customHeight="1" x14ac:dyDescent="0.25">
      <c r="A191" s="126">
        <f t="shared" si="56"/>
        <v>102</v>
      </c>
      <c r="B191" s="126">
        <v>3411</v>
      </c>
      <c r="C191" s="124" t="s">
        <v>617</v>
      </c>
      <c r="D191" s="134">
        <v>1939</v>
      </c>
      <c r="E191" s="134" t="s">
        <v>95</v>
      </c>
      <c r="F191" s="134" t="s">
        <v>81</v>
      </c>
      <c r="G191" s="15">
        <v>1840.09</v>
      </c>
      <c r="H191" s="15">
        <v>1642.49</v>
      </c>
      <c r="I191" s="10">
        <v>62</v>
      </c>
      <c r="J191" s="15">
        <f>'Форма 2'!I785</f>
        <v>77197.03</v>
      </c>
      <c r="K191" s="15">
        <v>0</v>
      </c>
      <c r="L191" s="15">
        <v>0</v>
      </c>
      <c r="M191" s="15">
        <v>0</v>
      </c>
      <c r="N191" s="15">
        <f>J191-K191-L191-M191-O191</f>
        <v>77197.03</v>
      </c>
      <c r="O191" s="15">
        <v>0</v>
      </c>
      <c r="P191" s="15">
        <f>J191/H191</f>
        <v>47</v>
      </c>
      <c r="Q191" s="15">
        <f>'Форма 2'!K785</f>
        <v>47</v>
      </c>
      <c r="R191" s="351" t="s">
        <v>290</v>
      </c>
      <c r="S191" s="153">
        <v>1</v>
      </c>
    </row>
    <row r="192" spans="1:19" s="41" customFormat="1" ht="15.75" customHeight="1" x14ac:dyDescent="0.25">
      <c r="A192" s="126">
        <f t="shared" si="56"/>
        <v>103</v>
      </c>
      <c r="B192" s="126">
        <v>3416</v>
      </c>
      <c r="C192" s="142" t="s">
        <v>497</v>
      </c>
      <c r="D192" s="134">
        <v>1917</v>
      </c>
      <c r="E192" s="134" t="s">
        <v>112</v>
      </c>
      <c r="F192" s="134" t="s">
        <v>82</v>
      </c>
      <c r="G192" s="15">
        <v>941</v>
      </c>
      <c r="H192" s="15">
        <v>887</v>
      </c>
      <c r="I192" s="10">
        <v>34</v>
      </c>
      <c r="J192" s="15">
        <f>'Форма 2'!I787</f>
        <v>1812799.7</v>
      </c>
      <c r="K192" s="15">
        <v>0</v>
      </c>
      <c r="L192" s="15">
        <v>0</v>
      </c>
      <c r="M192" s="15">
        <v>0</v>
      </c>
      <c r="N192" s="15">
        <f t="shared" si="49"/>
        <v>1783419.66</v>
      </c>
      <c r="O192" s="15">
        <v>29380.04</v>
      </c>
      <c r="P192" s="15">
        <f t="shared" si="50"/>
        <v>2043.74</v>
      </c>
      <c r="Q192" s="15">
        <f>'Форма 2'!K787</f>
        <v>2283</v>
      </c>
      <c r="R192" s="351" t="s">
        <v>290</v>
      </c>
      <c r="S192" s="153">
        <v>1</v>
      </c>
    </row>
    <row r="193" spans="1:19" s="41" customFormat="1" ht="15.75" customHeight="1" x14ac:dyDescent="0.25">
      <c r="A193" s="126">
        <f t="shared" si="51"/>
        <v>104</v>
      </c>
      <c r="B193" s="126">
        <v>3417</v>
      </c>
      <c r="C193" s="142" t="s">
        <v>498</v>
      </c>
      <c r="D193" s="134">
        <v>1917</v>
      </c>
      <c r="E193" s="134" t="s">
        <v>112</v>
      </c>
      <c r="F193" s="134" t="s">
        <v>82</v>
      </c>
      <c r="G193" s="15">
        <v>975.5</v>
      </c>
      <c r="H193" s="15">
        <v>921.5</v>
      </c>
      <c r="I193" s="10">
        <v>35</v>
      </c>
      <c r="J193" s="15">
        <f>'Форма 2'!I790</f>
        <v>1713016.85</v>
      </c>
      <c r="K193" s="15">
        <v>0</v>
      </c>
      <c r="L193" s="15">
        <v>0</v>
      </c>
      <c r="M193" s="15">
        <v>0</v>
      </c>
      <c r="N193" s="15">
        <f t="shared" si="49"/>
        <v>1682494.07</v>
      </c>
      <c r="O193" s="15">
        <v>30522.78</v>
      </c>
      <c r="P193" s="15">
        <f t="shared" si="50"/>
        <v>1858.94</v>
      </c>
      <c r="Q193" s="15">
        <f>'Форма 2'!K790</f>
        <v>2283</v>
      </c>
      <c r="R193" s="351" t="s">
        <v>290</v>
      </c>
      <c r="S193" s="153">
        <v>1</v>
      </c>
    </row>
    <row r="194" spans="1:19" s="41" customFormat="1" ht="15" customHeight="1" x14ac:dyDescent="0.25">
      <c r="A194" s="126">
        <f>A193+1</f>
        <v>105</v>
      </c>
      <c r="B194" s="126">
        <v>4314</v>
      </c>
      <c r="C194" s="124" t="s">
        <v>618</v>
      </c>
      <c r="D194" s="134">
        <v>1995</v>
      </c>
      <c r="E194" s="134" t="s">
        <v>86</v>
      </c>
      <c r="F194" s="134" t="s">
        <v>81</v>
      </c>
      <c r="G194" s="15">
        <v>5431.51</v>
      </c>
      <c r="H194" s="15">
        <v>4047.51</v>
      </c>
      <c r="I194" s="10">
        <v>182</v>
      </c>
      <c r="J194" s="15">
        <f>'Форма 2'!I793</f>
        <v>32281</v>
      </c>
      <c r="K194" s="15">
        <v>0</v>
      </c>
      <c r="L194" s="15">
        <v>0</v>
      </c>
      <c r="M194" s="15">
        <v>0</v>
      </c>
      <c r="N194" s="15">
        <f>J194-K194-L194-M194-O194</f>
        <v>32281</v>
      </c>
      <c r="O194" s="15">
        <v>0</v>
      </c>
      <c r="P194" s="15">
        <f>J194/H194</f>
        <v>7.98</v>
      </c>
      <c r="Q194" s="15">
        <f>'Форма 2'!K793</f>
        <v>7.98</v>
      </c>
      <c r="R194" s="351" t="s">
        <v>290</v>
      </c>
      <c r="S194" s="153">
        <v>1</v>
      </c>
    </row>
    <row r="195" spans="1:19" s="41" customFormat="1" ht="15" customHeight="1" x14ac:dyDescent="0.25">
      <c r="A195" s="126">
        <f>A194+1</f>
        <v>106</v>
      </c>
      <c r="B195" s="126">
        <v>4105</v>
      </c>
      <c r="C195" s="124" t="s">
        <v>619</v>
      </c>
      <c r="D195" s="134">
        <v>1994</v>
      </c>
      <c r="E195" s="134" t="s">
        <v>86</v>
      </c>
      <c r="F195" s="134" t="s">
        <v>81</v>
      </c>
      <c r="G195" s="15">
        <v>5022.7</v>
      </c>
      <c r="H195" s="15">
        <v>4424.8999999999996</v>
      </c>
      <c r="I195" s="10">
        <v>167</v>
      </c>
      <c r="J195" s="15">
        <f>'Форма 2'!I795</f>
        <v>32281</v>
      </c>
      <c r="K195" s="15">
        <v>0</v>
      </c>
      <c r="L195" s="15">
        <v>0</v>
      </c>
      <c r="M195" s="15">
        <v>0</v>
      </c>
      <c r="N195" s="15">
        <f>J195-K195-L195-M195-O195</f>
        <v>32281</v>
      </c>
      <c r="O195" s="15">
        <v>0</v>
      </c>
      <c r="P195" s="15">
        <f>J195/H195</f>
        <v>7.3</v>
      </c>
      <c r="Q195" s="15">
        <f>'Форма 2'!K795</f>
        <v>7.3</v>
      </c>
      <c r="R195" s="351" t="s">
        <v>290</v>
      </c>
      <c r="S195" s="153">
        <v>1</v>
      </c>
    </row>
    <row r="196" spans="1:19" s="41" customFormat="1" ht="15.75" customHeight="1" x14ac:dyDescent="0.25">
      <c r="A196" s="184" t="s">
        <v>111</v>
      </c>
      <c r="B196" s="184"/>
      <c r="C196" s="184"/>
      <c r="D196" s="134" t="s">
        <v>13</v>
      </c>
      <c r="E196" s="126" t="s">
        <v>13</v>
      </c>
      <c r="F196" s="126" t="s">
        <v>13</v>
      </c>
      <c r="G196" s="15">
        <f t="shared" ref="G196:O196" si="57">SUM(G197:G225)</f>
        <v>205194.46</v>
      </c>
      <c r="H196" s="15">
        <f t="shared" si="57"/>
        <v>162961.75</v>
      </c>
      <c r="I196" s="10">
        <f t="shared" si="57"/>
        <v>6692</v>
      </c>
      <c r="J196" s="15">
        <f t="shared" si="57"/>
        <v>55775895.759999998</v>
      </c>
      <c r="K196" s="15">
        <f t="shared" si="57"/>
        <v>0</v>
      </c>
      <c r="L196" s="15">
        <f t="shared" si="57"/>
        <v>0</v>
      </c>
      <c r="M196" s="15">
        <f t="shared" si="57"/>
        <v>0</v>
      </c>
      <c r="N196" s="15">
        <f t="shared" si="57"/>
        <v>54514897.969999999</v>
      </c>
      <c r="O196" s="15">
        <f t="shared" si="57"/>
        <v>1260997.79</v>
      </c>
      <c r="P196" s="126" t="s">
        <v>13</v>
      </c>
      <c r="Q196" s="126" t="s">
        <v>13</v>
      </c>
      <c r="R196" s="126" t="s">
        <v>13</v>
      </c>
      <c r="S196" s="126" t="s">
        <v>13</v>
      </c>
    </row>
    <row r="197" spans="1:19" s="41" customFormat="1" ht="15.75" customHeight="1" x14ac:dyDescent="0.25">
      <c r="A197" s="126">
        <f>A195+1</f>
        <v>107</v>
      </c>
      <c r="B197" s="126">
        <v>2466</v>
      </c>
      <c r="C197" s="142" t="s">
        <v>557</v>
      </c>
      <c r="D197" s="134">
        <v>1966</v>
      </c>
      <c r="E197" s="134" t="s">
        <v>95</v>
      </c>
      <c r="F197" s="134" t="s">
        <v>81</v>
      </c>
      <c r="G197" s="15">
        <v>3317.9</v>
      </c>
      <c r="H197" s="15">
        <v>2570.9</v>
      </c>
      <c r="I197" s="10">
        <v>94</v>
      </c>
      <c r="J197" s="15">
        <f>'Форма 2'!I797</f>
        <v>120832.3</v>
      </c>
      <c r="K197" s="15">
        <v>0</v>
      </c>
      <c r="L197" s="15">
        <v>0</v>
      </c>
      <c r="M197" s="15">
        <v>0</v>
      </c>
      <c r="N197" s="15">
        <f>J197-K197-L197-M197-O197</f>
        <v>117361.08</v>
      </c>
      <c r="O197" s="15">
        <v>3471.22</v>
      </c>
      <c r="P197" s="15">
        <f>J197/H197</f>
        <v>47</v>
      </c>
      <c r="Q197" s="15">
        <f>'Форма 2'!K797</f>
        <v>47</v>
      </c>
      <c r="R197" s="351" t="s">
        <v>290</v>
      </c>
      <c r="S197" s="153">
        <v>1</v>
      </c>
    </row>
    <row r="198" spans="1:19" s="41" customFormat="1" ht="15.75" customHeight="1" x14ac:dyDescent="0.25">
      <c r="A198" s="126">
        <f>A197+1</f>
        <v>108</v>
      </c>
      <c r="B198" s="126">
        <v>3011</v>
      </c>
      <c r="C198" s="142" t="s">
        <v>456</v>
      </c>
      <c r="D198" s="134">
        <v>1993</v>
      </c>
      <c r="E198" s="134" t="s">
        <v>86</v>
      </c>
      <c r="F198" s="134" t="s">
        <v>87</v>
      </c>
      <c r="G198" s="15">
        <v>17282.2</v>
      </c>
      <c r="H198" s="15">
        <v>13855.7</v>
      </c>
      <c r="I198" s="10">
        <v>523</v>
      </c>
      <c r="J198" s="15">
        <f>'Форма 2'!I799</f>
        <v>13797884.07</v>
      </c>
      <c r="K198" s="15">
        <v>0</v>
      </c>
      <c r="L198" s="15">
        <v>0</v>
      </c>
      <c r="M198" s="15">
        <v>0</v>
      </c>
      <c r="N198" s="15">
        <f t="shared" ref="N198" si="58">J198-K198-L198-M198-O198</f>
        <v>13397668.42</v>
      </c>
      <c r="O198" s="15">
        <v>400215.65</v>
      </c>
      <c r="P198" s="15">
        <f t="shared" ref="P198" si="59">J198/H198</f>
        <v>995.83</v>
      </c>
      <c r="Q198" s="15">
        <f>'Форма 2'!K799</f>
        <v>1005.46</v>
      </c>
      <c r="R198" s="351" t="s">
        <v>290</v>
      </c>
      <c r="S198" s="153">
        <v>1</v>
      </c>
    </row>
    <row r="199" spans="1:19" s="41" customFormat="1" ht="15" customHeight="1" x14ac:dyDescent="0.25">
      <c r="A199" s="126">
        <f t="shared" ref="A199:A225" si="60">A198+1</f>
        <v>109</v>
      </c>
      <c r="B199" s="126">
        <v>2255</v>
      </c>
      <c r="C199" s="124" t="s">
        <v>620</v>
      </c>
      <c r="D199" s="134">
        <v>1994</v>
      </c>
      <c r="E199" s="134" t="s">
        <v>86</v>
      </c>
      <c r="F199" s="134" t="s">
        <v>81</v>
      </c>
      <c r="G199" s="15">
        <v>5784</v>
      </c>
      <c r="H199" s="15">
        <v>4870</v>
      </c>
      <c r="I199" s="10">
        <v>184</v>
      </c>
      <c r="J199" s="15">
        <f>'Форма 2'!I818</f>
        <v>64562</v>
      </c>
      <c r="K199" s="15">
        <v>0</v>
      </c>
      <c r="L199" s="15">
        <v>0</v>
      </c>
      <c r="M199" s="15">
        <v>0</v>
      </c>
      <c r="N199" s="15">
        <f>J199-K199-L199-M199-O199</f>
        <v>64562</v>
      </c>
      <c r="O199" s="15">
        <v>0</v>
      </c>
      <c r="P199" s="15">
        <f>J199/H199</f>
        <v>13.26</v>
      </c>
      <c r="Q199" s="15">
        <f>'Форма 2'!K818</f>
        <v>13.26</v>
      </c>
      <c r="R199" s="351" t="s">
        <v>290</v>
      </c>
      <c r="S199" s="153">
        <v>1</v>
      </c>
    </row>
    <row r="200" spans="1:19" s="41" customFormat="1" ht="15.75" customHeight="1" x14ac:dyDescent="0.25">
      <c r="A200" s="126">
        <f t="shared" si="60"/>
        <v>110</v>
      </c>
      <c r="B200" s="126">
        <v>2257</v>
      </c>
      <c r="C200" s="142" t="s">
        <v>558</v>
      </c>
      <c r="D200" s="134">
        <v>1971</v>
      </c>
      <c r="E200" s="134" t="s">
        <v>95</v>
      </c>
      <c r="F200" s="134" t="s">
        <v>87</v>
      </c>
      <c r="G200" s="15">
        <v>4962.2</v>
      </c>
      <c r="H200" s="15">
        <v>4524.2</v>
      </c>
      <c r="I200" s="10">
        <v>181</v>
      </c>
      <c r="J200" s="15">
        <f>'Форма 2'!I821</f>
        <v>1234143.6299999999</v>
      </c>
      <c r="K200" s="15">
        <v>0</v>
      </c>
      <c r="L200" s="15">
        <v>0</v>
      </c>
      <c r="M200" s="15">
        <v>0</v>
      </c>
      <c r="N200" s="15">
        <f>J200-K200-L200-M200-O200</f>
        <v>1178126.8</v>
      </c>
      <c r="O200" s="15">
        <v>56016.83</v>
      </c>
      <c r="P200" s="15">
        <f>J200/H200</f>
        <v>272.79000000000002</v>
      </c>
      <c r="Q200" s="15">
        <f>'Форма 2'!K821</f>
        <v>431</v>
      </c>
      <c r="R200" s="351" t="s">
        <v>290</v>
      </c>
      <c r="S200" s="153">
        <v>1</v>
      </c>
    </row>
    <row r="201" spans="1:19" s="41" customFormat="1" ht="15.75" customHeight="1" x14ac:dyDescent="0.25">
      <c r="A201" s="126">
        <f t="shared" si="60"/>
        <v>111</v>
      </c>
      <c r="B201" s="126">
        <v>2473</v>
      </c>
      <c r="C201" s="142" t="s">
        <v>434</v>
      </c>
      <c r="D201" s="126">
        <v>1966</v>
      </c>
      <c r="E201" s="134" t="s">
        <v>95</v>
      </c>
      <c r="F201" s="134" t="s">
        <v>87</v>
      </c>
      <c r="G201" s="15">
        <v>4575</v>
      </c>
      <c r="H201" s="15">
        <v>3525.9</v>
      </c>
      <c r="I201" s="10">
        <v>125</v>
      </c>
      <c r="J201" s="15">
        <f>'Форма 2'!I825</f>
        <v>838533.34</v>
      </c>
      <c r="K201" s="15">
        <v>0</v>
      </c>
      <c r="L201" s="15">
        <v>0</v>
      </c>
      <c r="M201" s="15">
        <v>0</v>
      </c>
      <c r="N201" s="15">
        <f>J201-K201-L201-M201-O201</f>
        <v>794877.06</v>
      </c>
      <c r="O201" s="15">
        <v>43656.28</v>
      </c>
      <c r="P201" s="15">
        <f>J201/H201</f>
        <v>237.82</v>
      </c>
      <c r="Q201" s="15">
        <f>'Форма 2'!K825</f>
        <v>431</v>
      </c>
      <c r="R201" s="351" t="s">
        <v>290</v>
      </c>
      <c r="S201" s="153">
        <v>1</v>
      </c>
    </row>
    <row r="202" spans="1:19" s="41" customFormat="1" ht="15" customHeight="1" x14ac:dyDescent="0.25">
      <c r="A202" s="126">
        <f>A201+1</f>
        <v>112</v>
      </c>
      <c r="B202" s="126">
        <v>3048</v>
      </c>
      <c r="C202" s="124" t="s">
        <v>621</v>
      </c>
      <c r="D202" s="134">
        <v>1991</v>
      </c>
      <c r="E202" s="134" t="s">
        <v>86</v>
      </c>
      <c r="F202" s="134" t="s">
        <v>81</v>
      </c>
      <c r="G202" s="15">
        <v>12899.3</v>
      </c>
      <c r="H202" s="15">
        <v>11324.3</v>
      </c>
      <c r="I202" s="10">
        <v>436</v>
      </c>
      <c r="J202" s="15">
        <f>'Форма 2'!I829</f>
        <v>64562</v>
      </c>
      <c r="K202" s="15">
        <v>0</v>
      </c>
      <c r="L202" s="15">
        <v>0</v>
      </c>
      <c r="M202" s="15">
        <v>0</v>
      </c>
      <c r="N202" s="15">
        <f>J202-K202-L202-M202-O202</f>
        <v>64562</v>
      </c>
      <c r="O202" s="15">
        <v>0</v>
      </c>
      <c r="P202" s="15">
        <f>J202/H202</f>
        <v>5.7</v>
      </c>
      <c r="Q202" s="15">
        <f>'Форма 2'!K829</f>
        <v>5.7</v>
      </c>
      <c r="R202" s="351" t="s">
        <v>290</v>
      </c>
      <c r="S202" s="153">
        <v>1</v>
      </c>
    </row>
    <row r="203" spans="1:19" s="41" customFormat="1" ht="15.75" customHeight="1" x14ac:dyDescent="0.25">
      <c r="A203" s="126">
        <f t="shared" si="60"/>
        <v>113</v>
      </c>
      <c r="B203" s="126">
        <v>2496</v>
      </c>
      <c r="C203" s="142" t="s">
        <v>499</v>
      </c>
      <c r="D203" s="134">
        <v>1956</v>
      </c>
      <c r="E203" s="134" t="s">
        <v>501</v>
      </c>
      <c r="F203" s="134" t="s">
        <v>82</v>
      </c>
      <c r="G203" s="15">
        <v>786.12</v>
      </c>
      <c r="H203" s="15">
        <v>655.1</v>
      </c>
      <c r="I203" s="10">
        <v>31</v>
      </c>
      <c r="J203" s="15">
        <f>'Форма 2'!I832</f>
        <v>2600746.9900000002</v>
      </c>
      <c r="K203" s="15">
        <v>0</v>
      </c>
      <c r="L203" s="15">
        <v>0</v>
      </c>
      <c r="M203" s="15">
        <v>0</v>
      </c>
      <c r="N203" s="15">
        <f t="shared" ref="N203" si="61">J203-K203-L203-M203-O203</f>
        <v>2526033.75</v>
      </c>
      <c r="O203" s="15">
        <v>74713.240000000005</v>
      </c>
      <c r="P203" s="15">
        <f t="shared" ref="P203" si="62">J203/H203</f>
        <v>3970</v>
      </c>
      <c r="Q203" s="15">
        <f>'Форма 2'!K832</f>
        <v>4346</v>
      </c>
      <c r="R203" s="351" t="s">
        <v>290</v>
      </c>
      <c r="S203" s="153">
        <v>1</v>
      </c>
    </row>
    <row r="204" spans="1:19" s="41" customFormat="1" ht="15.75" customHeight="1" x14ac:dyDescent="0.25">
      <c r="A204" s="126">
        <f t="shared" si="60"/>
        <v>114</v>
      </c>
      <c r="B204" s="126">
        <v>2367</v>
      </c>
      <c r="C204" s="142" t="s">
        <v>500</v>
      </c>
      <c r="D204" s="134">
        <v>1971</v>
      </c>
      <c r="E204" s="134" t="s">
        <v>95</v>
      </c>
      <c r="F204" s="134" t="s">
        <v>82</v>
      </c>
      <c r="G204" s="15">
        <v>2670.7</v>
      </c>
      <c r="H204" s="15">
        <v>1819.1</v>
      </c>
      <c r="I204" s="10">
        <v>145</v>
      </c>
      <c r="J204" s="15">
        <f>'Форма 2'!I835</f>
        <v>658514.19999999995</v>
      </c>
      <c r="K204" s="15">
        <v>0</v>
      </c>
      <c r="L204" s="15">
        <v>0</v>
      </c>
      <c r="M204" s="15">
        <v>0</v>
      </c>
      <c r="N204" s="15">
        <f t="shared" ref="N204:N217" si="63">J204-K204-L204-M204-O204</f>
        <v>639596.66</v>
      </c>
      <c r="O204" s="15">
        <v>18917.54</v>
      </c>
      <c r="P204" s="15">
        <f t="shared" ref="P204:P217" si="64">J204/H204</f>
        <v>362</v>
      </c>
      <c r="Q204" s="15">
        <f>'Форма 2'!K835</f>
        <v>362</v>
      </c>
      <c r="R204" s="351" t="s">
        <v>290</v>
      </c>
      <c r="S204" s="153">
        <v>1</v>
      </c>
    </row>
    <row r="205" spans="1:19" s="41" customFormat="1" ht="15" customHeight="1" x14ac:dyDescent="0.25">
      <c r="A205" s="126">
        <f t="shared" si="60"/>
        <v>115</v>
      </c>
      <c r="B205" s="126">
        <v>2406</v>
      </c>
      <c r="C205" s="124" t="s">
        <v>622</v>
      </c>
      <c r="D205" s="134">
        <v>1994</v>
      </c>
      <c r="E205" s="134" t="s">
        <v>86</v>
      </c>
      <c r="F205" s="134" t="s">
        <v>81</v>
      </c>
      <c r="G205" s="15">
        <v>3084.6</v>
      </c>
      <c r="H205" s="15">
        <v>2388.21</v>
      </c>
      <c r="I205" s="10">
        <v>104</v>
      </c>
      <c r="J205" s="15">
        <f>'Форма 2'!I838</f>
        <v>32281</v>
      </c>
      <c r="K205" s="15">
        <v>0</v>
      </c>
      <c r="L205" s="15">
        <v>0</v>
      </c>
      <c r="M205" s="15">
        <v>0</v>
      </c>
      <c r="N205" s="15">
        <f>J205-K205-L205-M205-O205</f>
        <v>32281</v>
      </c>
      <c r="O205" s="15">
        <v>0</v>
      </c>
      <c r="P205" s="15">
        <f>J205/H205</f>
        <v>13.52</v>
      </c>
      <c r="Q205" s="15">
        <f>'Форма 2'!K838</f>
        <v>13.52</v>
      </c>
      <c r="R205" s="351" t="s">
        <v>290</v>
      </c>
      <c r="S205" s="153">
        <v>1</v>
      </c>
    </row>
    <row r="206" spans="1:19" s="41" customFormat="1" ht="15.75" customHeight="1" x14ac:dyDescent="0.25">
      <c r="A206" s="126">
        <f t="shared" si="60"/>
        <v>116</v>
      </c>
      <c r="B206" s="126">
        <v>2411</v>
      </c>
      <c r="C206" s="142" t="s">
        <v>549</v>
      </c>
      <c r="D206" s="134">
        <v>1907</v>
      </c>
      <c r="E206" s="134" t="s">
        <v>484</v>
      </c>
      <c r="F206" s="134" t="s">
        <v>81</v>
      </c>
      <c r="G206" s="15">
        <v>991.1</v>
      </c>
      <c r="H206" s="15">
        <v>812.8</v>
      </c>
      <c r="I206" s="10">
        <v>49</v>
      </c>
      <c r="J206" s="15">
        <f>'Форма 2'!I840</f>
        <v>194259.20000000001</v>
      </c>
      <c r="K206" s="15">
        <v>0</v>
      </c>
      <c r="L206" s="15">
        <v>0</v>
      </c>
      <c r="M206" s="15">
        <v>0</v>
      </c>
      <c r="N206" s="15">
        <f t="shared" si="63"/>
        <v>188678.6</v>
      </c>
      <c r="O206" s="15">
        <v>5580.6</v>
      </c>
      <c r="P206" s="15">
        <f t="shared" si="64"/>
        <v>239</v>
      </c>
      <c r="Q206" s="15">
        <f>'Форма 2'!K840</f>
        <v>239</v>
      </c>
      <c r="R206" s="351" t="s">
        <v>290</v>
      </c>
      <c r="S206" s="153">
        <v>1</v>
      </c>
    </row>
    <row r="207" spans="1:19" s="41" customFormat="1" ht="15.75" customHeight="1" x14ac:dyDescent="0.25">
      <c r="A207" s="126">
        <f t="shared" si="60"/>
        <v>117</v>
      </c>
      <c r="B207" s="126">
        <v>2237</v>
      </c>
      <c r="C207" s="142" t="s">
        <v>561</v>
      </c>
      <c r="D207" s="134">
        <v>1971</v>
      </c>
      <c r="E207" s="134" t="s">
        <v>95</v>
      </c>
      <c r="F207" s="134" t="s">
        <v>81</v>
      </c>
      <c r="G207" s="15">
        <v>3617.3</v>
      </c>
      <c r="H207" s="15">
        <v>3373.3</v>
      </c>
      <c r="I207" s="10">
        <v>132</v>
      </c>
      <c r="J207" s="15">
        <f>'Форма 2'!I842</f>
        <v>80959.199999999997</v>
      </c>
      <c r="K207" s="15">
        <v>0</v>
      </c>
      <c r="L207" s="15">
        <v>0</v>
      </c>
      <c r="M207" s="15">
        <v>0</v>
      </c>
      <c r="N207" s="15">
        <f t="shared" si="63"/>
        <v>78633.440000000002</v>
      </c>
      <c r="O207" s="15">
        <v>2325.7600000000002</v>
      </c>
      <c r="P207" s="15">
        <f t="shared" si="64"/>
        <v>24</v>
      </c>
      <c r="Q207" s="15">
        <f>'Форма 2'!K842</f>
        <v>24</v>
      </c>
      <c r="R207" s="351" t="s">
        <v>290</v>
      </c>
      <c r="S207" s="153">
        <v>1</v>
      </c>
    </row>
    <row r="208" spans="1:19" s="41" customFormat="1" ht="15.75" customHeight="1" x14ac:dyDescent="0.25">
      <c r="A208" s="126">
        <f t="shared" si="60"/>
        <v>118</v>
      </c>
      <c r="B208" s="126">
        <v>2414</v>
      </c>
      <c r="C208" s="142" t="s">
        <v>551</v>
      </c>
      <c r="D208" s="134">
        <v>1965</v>
      </c>
      <c r="E208" s="134" t="s">
        <v>95</v>
      </c>
      <c r="F208" s="134" t="s">
        <v>81</v>
      </c>
      <c r="G208" s="15">
        <v>4119.5</v>
      </c>
      <c r="H208" s="15">
        <v>3168.9</v>
      </c>
      <c r="I208" s="10">
        <v>111</v>
      </c>
      <c r="J208" s="15">
        <f>'Форма 2'!I844</f>
        <v>148938.29999999999</v>
      </c>
      <c r="K208" s="15">
        <v>0</v>
      </c>
      <c r="L208" s="15">
        <v>0</v>
      </c>
      <c r="M208" s="15">
        <v>0</v>
      </c>
      <c r="N208" s="15">
        <f t="shared" si="63"/>
        <v>144659.66</v>
      </c>
      <c r="O208" s="15">
        <v>4278.6400000000003</v>
      </c>
      <c r="P208" s="15">
        <f t="shared" si="64"/>
        <v>47</v>
      </c>
      <c r="Q208" s="15">
        <f>'Форма 2'!K844</f>
        <v>47</v>
      </c>
      <c r="R208" s="351" t="s">
        <v>290</v>
      </c>
      <c r="S208" s="153">
        <v>1</v>
      </c>
    </row>
    <row r="209" spans="1:19" s="41" customFormat="1" ht="15.75" customHeight="1" x14ac:dyDescent="0.25">
      <c r="A209" s="126">
        <f t="shared" si="60"/>
        <v>119</v>
      </c>
      <c r="B209" s="126">
        <v>2415</v>
      </c>
      <c r="C209" s="142" t="s">
        <v>552</v>
      </c>
      <c r="D209" s="134">
        <v>1967</v>
      </c>
      <c r="E209" s="134" t="s">
        <v>95</v>
      </c>
      <c r="F209" s="134" t="s">
        <v>87</v>
      </c>
      <c r="G209" s="15">
        <v>4166.3</v>
      </c>
      <c r="H209" s="15">
        <v>3213</v>
      </c>
      <c r="I209" s="10">
        <v>131</v>
      </c>
      <c r="J209" s="15">
        <f>'Форма 2'!I846</f>
        <v>958007.13</v>
      </c>
      <c r="K209" s="15">
        <v>0</v>
      </c>
      <c r="L209" s="15">
        <v>0</v>
      </c>
      <c r="M209" s="15">
        <v>0</v>
      </c>
      <c r="N209" s="15">
        <f t="shared" si="63"/>
        <v>920255.69</v>
      </c>
      <c r="O209" s="15">
        <v>37751.440000000002</v>
      </c>
      <c r="P209" s="15">
        <f t="shared" si="64"/>
        <v>298.17</v>
      </c>
      <c r="Q209" s="15">
        <f>'Форма 2'!K846</f>
        <v>409</v>
      </c>
      <c r="R209" s="351" t="s">
        <v>290</v>
      </c>
      <c r="S209" s="153">
        <v>1</v>
      </c>
    </row>
    <row r="210" spans="1:19" s="41" customFormat="1" ht="15" customHeight="1" x14ac:dyDescent="0.25">
      <c r="A210" s="126">
        <f>A209+1</f>
        <v>120</v>
      </c>
      <c r="B210" s="126">
        <v>2245</v>
      </c>
      <c r="C210" s="124" t="s">
        <v>623</v>
      </c>
      <c r="D210" s="134">
        <v>1994</v>
      </c>
      <c r="E210" s="134" t="s">
        <v>86</v>
      </c>
      <c r="F210" s="134" t="s">
        <v>81</v>
      </c>
      <c r="G210" s="15">
        <v>8632.7999999999993</v>
      </c>
      <c r="H210" s="15">
        <v>7261.8</v>
      </c>
      <c r="I210" s="10">
        <v>274</v>
      </c>
      <c r="J210" s="15">
        <f>'Форма 2'!I850</f>
        <v>96843</v>
      </c>
      <c r="K210" s="15">
        <v>0</v>
      </c>
      <c r="L210" s="15">
        <v>0</v>
      </c>
      <c r="M210" s="15">
        <v>0</v>
      </c>
      <c r="N210" s="15">
        <f>J210-K210-L210-M210-O210</f>
        <v>96843</v>
      </c>
      <c r="O210" s="15">
        <v>0</v>
      </c>
      <c r="P210" s="15">
        <f>J210/H210</f>
        <v>13.34</v>
      </c>
      <c r="Q210" s="15">
        <f>'Форма 2'!K850</f>
        <v>13.34</v>
      </c>
      <c r="R210" s="351" t="s">
        <v>290</v>
      </c>
      <c r="S210" s="153">
        <v>1</v>
      </c>
    </row>
    <row r="211" spans="1:19" s="41" customFormat="1" ht="15.75" customHeight="1" x14ac:dyDescent="0.25">
      <c r="A211" s="126">
        <f t="shared" si="60"/>
        <v>121</v>
      </c>
      <c r="B211" s="126">
        <v>2276</v>
      </c>
      <c r="C211" s="142" t="s">
        <v>567</v>
      </c>
      <c r="D211" s="134">
        <v>1966</v>
      </c>
      <c r="E211" s="134" t="s">
        <v>95</v>
      </c>
      <c r="F211" s="134" t="s">
        <v>87</v>
      </c>
      <c r="G211" s="15">
        <v>3830.95</v>
      </c>
      <c r="H211" s="15">
        <v>3594.95</v>
      </c>
      <c r="I211" s="10">
        <v>136</v>
      </c>
      <c r="J211" s="15">
        <f>'Форма 2'!I854</f>
        <v>974606.84</v>
      </c>
      <c r="K211" s="15">
        <v>0</v>
      </c>
      <c r="L211" s="15">
        <v>0</v>
      </c>
      <c r="M211" s="15">
        <v>0</v>
      </c>
      <c r="N211" s="15">
        <f t="shared" si="63"/>
        <v>930095.61</v>
      </c>
      <c r="O211" s="15">
        <v>44511.23</v>
      </c>
      <c r="P211" s="15">
        <f t="shared" si="64"/>
        <v>271.10000000000002</v>
      </c>
      <c r="Q211" s="15">
        <f>'Форма 2'!K854</f>
        <v>431</v>
      </c>
      <c r="R211" s="351" t="s">
        <v>290</v>
      </c>
      <c r="S211" s="153">
        <v>1</v>
      </c>
    </row>
    <row r="212" spans="1:19" s="41" customFormat="1" ht="15.75" customHeight="1" x14ac:dyDescent="0.25">
      <c r="A212" s="11">
        <f t="shared" si="60"/>
        <v>122</v>
      </c>
      <c r="B212" s="11">
        <v>2436</v>
      </c>
      <c r="C212" s="142" t="s">
        <v>366</v>
      </c>
      <c r="D212" s="134">
        <v>1966</v>
      </c>
      <c r="E212" s="134" t="s">
        <v>95</v>
      </c>
      <c r="F212" s="134" t="s">
        <v>87</v>
      </c>
      <c r="G212" s="15">
        <v>3432.9</v>
      </c>
      <c r="H212" s="15">
        <v>2593.5</v>
      </c>
      <c r="I212" s="10">
        <v>92</v>
      </c>
      <c r="J212" s="15">
        <f>'Форма 2'!I858</f>
        <v>726966.73</v>
      </c>
      <c r="K212" s="15">
        <v>0</v>
      </c>
      <c r="L212" s="15">
        <v>0</v>
      </c>
      <c r="M212" s="15">
        <v>0</v>
      </c>
      <c r="N212" s="15">
        <f t="shared" si="63"/>
        <v>696494.16</v>
      </c>
      <c r="O212" s="15">
        <v>30472.57</v>
      </c>
      <c r="P212" s="15">
        <f t="shared" si="64"/>
        <v>280.3</v>
      </c>
      <c r="Q212" s="15">
        <f>'Форма 2'!K858</f>
        <v>409</v>
      </c>
      <c r="R212" s="351" t="s">
        <v>290</v>
      </c>
      <c r="S212" s="153">
        <v>1</v>
      </c>
    </row>
    <row r="213" spans="1:19" s="41" customFormat="1" ht="15" customHeight="1" x14ac:dyDescent="0.25">
      <c r="A213" s="126">
        <f t="shared" si="60"/>
        <v>123</v>
      </c>
      <c r="B213" s="126">
        <v>2289</v>
      </c>
      <c r="C213" s="124" t="s">
        <v>624</v>
      </c>
      <c r="D213" s="134">
        <v>1994</v>
      </c>
      <c r="E213" s="134" t="s">
        <v>86</v>
      </c>
      <c r="F213" s="134" t="s">
        <v>81</v>
      </c>
      <c r="G213" s="15">
        <v>4595.8999999999996</v>
      </c>
      <c r="H213" s="15">
        <v>3975.9</v>
      </c>
      <c r="I213" s="10">
        <v>150</v>
      </c>
      <c r="J213" s="15">
        <f>'Форма 2'!I862</f>
        <v>64562</v>
      </c>
      <c r="K213" s="15">
        <v>0</v>
      </c>
      <c r="L213" s="15">
        <v>0</v>
      </c>
      <c r="M213" s="15">
        <v>0</v>
      </c>
      <c r="N213" s="15">
        <f>J213-K213-L213-M213-O213</f>
        <v>64562</v>
      </c>
      <c r="O213" s="15">
        <v>0</v>
      </c>
      <c r="P213" s="15">
        <f>J213/H213</f>
        <v>16.239999999999998</v>
      </c>
      <c r="Q213" s="15">
        <f>'Форма 2'!K862</f>
        <v>16.239999999999998</v>
      </c>
      <c r="R213" s="351" t="s">
        <v>290</v>
      </c>
      <c r="S213" s="153">
        <v>1</v>
      </c>
    </row>
    <row r="214" spans="1:19" s="41" customFormat="1" ht="30" customHeight="1" x14ac:dyDescent="0.25">
      <c r="A214" s="126">
        <f t="shared" si="60"/>
        <v>124</v>
      </c>
      <c r="B214" s="126">
        <v>2163</v>
      </c>
      <c r="C214" s="124" t="s">
        <v>221</v>
      </c>
      <c r="D214" s="134" t="s">
        <v>277</v>
      </c>
      <c r="E214" s="134" t="s">
        <v>86</v>
      </c>
      <c r="F214" s="134" t="s">
        <v>81</v>
      </c>
      <c r="G214" s="15">
        <v>14853.3</v>
      </c>
      <c r="H214" s="15">
        <v>13205.4</v>
      </c>
      <c r="I214" s="10">
        <v>689</v>
      </c>
      <c r="J214" s="15">
        <f>'Форма 2'!I865</f>
        <v>64562</v>
      </c>
      <c r="K214" s="15">
        <v>0</v>
      </c>
      <c r="L214" s="15">
        <v>0</v>
      </c>
      <c r="M214" s="15">
        <v>0</v>
      </c>
      <c r="N214" s="15">
        <f>J214-K214-L214-M214-O214</f>
        <v>64562</v>
      </c>
      <c r="O214" s="15">
        <v>0</v>
      </c>
      <c r="P214" s="15">
        <f>J214/H214</f>
        <v>4.8899999999999997</v>
      </c>
      <c r="Q214" s="15">
        <f>'Форма 2'!K865</f>
        <v>4.8899999999999997</v>
      </c>
      <c r="R214" s="351" t="s">
        <v>290</v>
      </c>
      <c r="S214" s="153">
        <v>1</v>
      </c>
    </row>
    <row r="215" spans="1:19" s="41" customFormat="1" ht="15" customHeight="1" x14ac:dyDescent="0.25">
      <c r="A215" s="126">
        <f t="shared" si="60"/>
        <v>125</v>
      </c>
      <c r="B215" s="126">
        <v>2297</v>
      </c>
      <c r="C215" s="124" t="s">
        <v>625</v>
      </c>
      <c r="D215" s="134">
        <v>1995</v>
      </c>
      <c r="E215" s="134" t="s">
        <v>86</v>
      </c>
      <c r="F215" s="134" t="s">
        <v>81</v>
      </c>
      <c r="G215" s="15">
        <v>6636.5</v>
      </c>
      <c r="H215" s="15">
        <v>6000.5</v>
      </c>
      <c r="I215" s="10">
        <v>227</v>
      </c>
      <c r="J215" s="15">
        <f>'Форма 2'!I868</f>
        <v>64562</v>
      </c>
      <c r="K215" s="15">
        <v>0</v>
      </c>
      <c r="L215" s="15">
        <v>0</v>
      </c>
      <c r="M215" s="15">
        <v>0</v>
      </c>
      <c r="N215" s="15">
        <f>J215-K215-L215-M215-O215</f>
        <v>64562</v>
      </c>
      <c r="O215" s="15">
        <v>0</v>
      </c>
      <c r="P215" s="15">
        <f>J215/H215</f>
        <v>10.76</v>
      </c>
      <c r="Q215" s="15">
        <f>'Форма 2'!K868</f>
        <v>10.76</v>
      </c>
      <c r="R215" s="351" t="s">
        <v>290</v>
      </c>
      <c r="S215" s="153">
        <v>1</v>
      </c>
    </row>
    <row r="216" spans="1:19" s="41" customFormat="1" ht="15.75" customHeight="1" x14ac:dyDescent="0.25">
      <c r="A216" s="11">
        <f t="shared" si="60"/>
        <v>126</v>
      </c>
      <c r="B216" s="11">
        <v>2455</v>
      </c>
      <c r="C216" s="142" t="s">
        <v>154</v>
      </c>
      <c r="D216" s="134">
        <v>1979</v>
      </c>
      <c r="E216" s="134" t="s">
        <v>68</v>
      </c>
      <c r="F216" s="134" t="s">
        <v>82</v>
      </c>
      <c r="G216" s="15">
        <v>3521.2</v>
      </c>
      <c r="H216" s="15">
        <v>2624.5</v>
      </c>
      <c r="I216" s="10">
        <v>131</v>
      </c>
      <c r="J216" s="15">
        <f>'Форма 2'!I871</f>
        <v>6962753.7300000004</v>
      </c>
      <c r="K216" s="15">
        <v>0</v>
      </c>
      <c r="L216" s="15">
        <v>0</v>
      </c>
      <c r="M216" s="15">
        <v>0</v>
      </c>
      <c r="N216" s="15">
        <f t="shared" si="63"/>
        <v>6750612.4800000004</v>
      </c>
      <c r="O216" s="15">
        <v>212141.25</v>
      </c>
      <c r="P216" s="15">
        <f t="shared" si="64"/>
        <v>2652.98</v>
      </c>
      <c r="Q216" s="15">
        <f>'Форма 2'!K871</f>
        <v>3878</v>
      </c>
      <c r="R216" s="351" t="s">
        <v>290</v>
      </c>
      <c r="S216" s="153">
        <v>1</v>
      </c>
    </row>
    <row r="217" spans="1:19" s="41" customFormat="1" ht="15.75" customHeight="1" x14ac:dyDescent="0.25">
      <c r="A217" s="11">
        <f t="shared" si="60"/>
        <v>127</v>
      </c>
      <c r="B217" s="11">
        <v>2457</v>
      </c>
      <c r="C217" s="142" t="s">
        <v>155</v>
      </c>
      <c r="D217" s="134">
        <v>1979</v>
      </c>
      <c r="E217" s="134" t="s">
        <v>68</v>
      </c>
      <c r="F217" s="134" t="s">
        <v>82</v>
      </c>
      <c r="G217" s="15">
        <v>5288.2</v>
      </c>
      <c r="H217" s="15">
        <v>3930</v>
      </c>
      <c r="I217" s="10">
        <v>209</v>
      </c>
      <c r="J217" s="15">
        <f>'Форма 2'!I874</f>
        <v>11223977.34</v>
      </c>
      <c r="K217" s="15">
        <v>0</v>
      </c>
      <c r="L217" s="15">
        <v>0</v>
      </c>
      <c r="M217" s="15">
        <v>0</v>
      </c>
      <c r="N217" s="15">
        <f t="shared" si="63"/>
        <v>10898990.09</v>
      </c>
      <c r="O217" s="15">
        <v>324987.25</v>
      </c>
      <c r="P217" s="15">
        <f t="shared" si="64"/>
        <v>2855.97</v>
      </c>
      <c r="Q217" s="15">
        <f>'Форма 2'!K874</f>
        <v>3878</v>
      </c>
      <c r="R217" s="351" t="s">
        <v>290</v>
      </c>
      <c r="S217" s="153">
        <v>1</v>
      </c>
    </row>
    <row r="218" spans="1:19" s="41" customFormat="1" ht="15" customHeight="1" x14ac:dyDescent="0.25">
      <c r="A218" s="126">
        <f t="shared" si="60"/>
        <v>128</v>
      </c>
      <c r="B218" s="126">
        <v>2309</v>
      </c>
      <c r="C218" s="124" t="s">
        <v>626</v>
      </c>
      <c r="D218" s="134">
        <v>1995</v>
      </c>
      <c r="E218" s="134" t="s">
        <v>86</v>
      </c>
      <c r="F218" s="134" t="s">
        <v>87</v>
      </c>
      <c r="G218" s="15">
        <v>10815.4</v>
      </c>
      <c r="H218" s="15">
        <v>8987.4</v>
      </c>
      <c r="I218" s="10">
        <v>340</v>
      </c>
      <c r="J218" s="15">
        <f>'Форма 2'!I877</f>
        <v>6950982.6900000004</v>
      </c>
      <c r="K218" s="15">
        <v>0</v>
      </c>
      <c r="L218" s="15">
        <v>0</v>
      </c>
      <c r="M218" s="15">
        <v>0</v>
      </c>
      <c r="N218" s="15">
        <f>J218-K218-L218-M218-O218</f>
        <v>6950982.6900000004</v>
      </c>
      <c r="O218" s="15">
        <v>0</v>
      </c>
      <c r="P218" s="15">
        <f>J218/H218</f>
        <v>773.41</v>
      </c>
      <c r="Q218" s="15">
        <f>'Форма 2'!K877</f>
        <v>775.05</v>
      </c>
      <c r="R218" s="351" t="s">
        <v>290</v>
      </c>
      <c r="S218" s="153">
        <v>1</v>
      </c>
    </row>
    <row r="219" spans="1:19" s="41" customFormat="1" ht="15.75" customHeight="1" x14ac:dyDescent="0.25">
      <c r="A219" s="126">
        <f t="shared" si="60"/>
        <v>129</v>
      </c>
      <c r="B219" s="126">
        <v>2983</v>
      </c>
      <c r="C219" s="142" t="s">
        <v>560</v>
      </c>
      <c r="D219" s="134">
        <v>1961</v>
      </c>
      <c r="E219" s="134" t="s">
        <v>95</v>
      </c>
      <c r="F219" s="134" t="s">
        <v>81</v>
      </c>
      <c r="G219" s="15">
        <v>974</v>
      </c>
      <c r="H219" s="15">
        <v>933.8</v>
      </c>
      <c r="I219" s="10">
        <v>37</v>
      </c>
      <c r="J219" s="15">
        <f>'Форма 2'!I887</f>
        <v>68167.399999999994</v>
      </c>
      <c r="K219" s="15">
        <v>0</v>
      </c>
      <c r="L219" s="15">
        <v>0</v>
      </c>
      <c r="M219" s="15">
        <v>0</v>
      </c>
      <c r="N219" s="15">
        <f t="shared" ref="N219" si="65">J219-K219-L219-M219-O219</f>
        <v>66209.11</v>
      </c>
      <c r="O219" s="15">
        <v>1958.29</v>
      </c>
      <c r="P219" s="15">
        <f t="shared" ref="P219" si="66">J219/H219</f>
        <v>73</v>
      </c>
      <c r="Q219" s="15">
        <f>'Форма 2'!K887</f>
        <v>73</v>
      </c>
      <c r="R219" s="351" t="s">
        <v>290</v>
      </c>
      <c r="S219" s="153">
        <v>1</v>
      </c>
    </row>
    <row r="220" spans="1:19" s="41" customFormat="1" ht="15" customHeight="1" x14ac:dyDescent="0.25">
      <c r="A220" s="126">
        <f t="shared" si="60"/>
        <v>130</v>
      </c>
      <c r="B220" s="126">
        <v>2374</v>
      </c>
      <c r="C220" s="124" t="s">
        <v>627</v>
      </c>
      <c r="D220" s="134">
        <v>1993</v>
      </c>
      <c r="E220" s="134" t="s">
        <v>86</v>
      </c>
      <c r="F220" s="134" t="s">
        <v>81</v>
      </c>
      <c r="G220" s="15">
        <v>19028.7</v>
      </c>
      <c r="H220" s="15">
        <v>16028.7</v>
      </c>
      <c r="I220" s="10">
        <v>568</v>
      </c>
      <c r="J220" s="15">
        <f>'Форма 2'!I889</f>
        <v>225967</v>
      </c>
      <c r="K220" s="15">
        <v>0</v>
      </c>
      <c r="L220" s="15">
        <v>0</v>
      </c>
      <c r="M220" s="15">
        <v>0</v>
      </c>
      <c r="N220" s="15">
        <f t="shared" ref="N220:N225" si="67">J220-K220-L220-M220-O220</f>
        <v>225967</v>
      </c>
      <c r="O220" s="15">
        <v>0</v>
      </c>
      <c r="P220" s="15">
        <f t="shared" ref="P220:P225" si="68">J220/H220</f>
        <v>14.1</v>
      </c>
      <c r="Q220" s="15">
        <f>'Форма 2'!K889</f>
        <v>14.1</v>
      </c>
      <c r="R220" s="351" t="s">
        <v>290</v>
      </c>
      <c r="S220" s="153">
        <v>1</v>
      </c>
    </row>
    <row r="221" spans="1:19" s="41" customFormat="1" ht="15" customHeight="1" x14ac:dyDescent="0.25">
      <c r="A221" s="126">
        <f t="shared" si="60"/>
        <v>131</v>
      </c>
      <c r="B221" s="126">
        <v>2389</v>
      </c>
      <c r="C221" s="124" t="s">
        <v>628</v>
      </c>
      <c r="D221" s="134">
        <v>1996</v>
      </c>
      <c r="E221" s="134" t="s">
        <v>86</v>
      </c>
      <c r="F221" s="134" t="s">
        <v>81</v>
      </c>
      <c r="G221" s="15">
        <v>13756.89</v>
      </c>
      <c r="H221" s="15">
        <v>11256.89</v>
      </c>
      <c r="I221" s="10">
        <v>298</v>
      </c>
      <c r="J221" s="15">
        <f>'Форма 2'!I897</f>
        <v>161405</v>
      </c>
      <c r="K221" s="15">
        <v>0</v>
      </c>
      <c r="L221" s="15">
        <v>0</v>
      </c>
      <c r="M221" s="15">
        <v>0</v>
      </c>
      <c r="N221" s="15">
        <f t="shared" si="67"/>
        <v>161405</v>
      </c>
      <c r="O221" s="15">
        <v>0</v>
      </c>
      <c r="P221" s="15">
        <f t="shared" si="68"/>
        <v>14.34</v>
      </c>
      <c r="Q221" s="15">
        <f>'Форма 2'!K897</f>
        <v>14.34</v>
      </c>
      <c r="R221" s="351" t="s">
        <v>290</v>
      </c>
      <c r="S221" s="153">
        <v>1</v>
      </c>
    </row>
    <row r="222" spans="1:19" s="41" customFormat="1" ht="15" customHeight="1" x14ac:dyDescent="0.25">
      <c r="A222" s="126">
        <f t="shared" si="60"/>
        <v>132</v>
      </c>
      <c r="B222" s="126">
        <v>2392</v>
      </c>
      <c r="C222" s="124" t="s">
        <v>629</v>
      </c>
      <c r="D222" s="134">
        <v>1993</v>
      </c>
      <c r="E222" s="134" t="s">
        <v>86</v>
      </c>
      <c r="F222" s="134" t="s">
        <v>81</v>
      </c>
      <c r="G222" s="15">
        <v>24032.3</v>
      </c>
      <c r="H222" s="15">
        <v>14133.9</v>
      </c>
      <c r="I222" s="10">
        <v>853</v>
      </c>
      <c r="J222" s="15">
        <f>'Форма 2'!I903</f>
        <v>355091</v>
      </c>
      <c r="K222" s="15">
        <v>0</v>
      </c>
      <c r="L222" s="15">
        <v>0</v>
      </c>
      <c r="M222" s="15">
        <v>0</v>
      </c>
      <c r="N222" s="15">
        <f t="shared" si="67"/>
        <v>355091</v>
      </c>
      <c r="O222" s="15">
        <v>0</v>
      </c>
      <c r="P222" s="15">
        <f t="shared" si="68"/>
        <v>25.12</v>
      </c>
      <c r="Q222" s="15">
        <f>'Форма 2'!K903</f>
        <v>25.12</v>
      </c>
      <c r="R222" s="351" t="s">
        <v>290</v>
      </c>
      <c r="S222" s="153">
        <v>1</v>
      </c>
    </row>
    <row r="223" spans="1:19" s="41" customFormat="1" ht="15" customHeight="1" x14ac:dyDescent="0.25">
      <c r="A223" s="126">
        <f t="shared" si="60"/>
        <v>133</v>
      </c>
      <c r="B223" s="126">
        <v>2393</v>
      </c>
      <c r="C223" s="124" t="s">
        <v>632</v>
      </c>
      <c r="D223" s="134">
        <v>1994</v>
      </c>
      <c r="E223" s="134" t="s">
        <v>86</v>
      </c>
      <c r="F223" s="134" t="s">
        <v>87</v>
      </c>
      <c r="G223" s="15">
        <v>8268.2999999999993</v>
      </c>
      <c r="H223" s="15">
        <v>6768.3</v>
      </c>
      <c r="I223" s="10">
        <v>194</v>
      </c>
      <c r="J223" s="15">
        <f>'Форма 2'!I915</f>
        <v>6912101.6699999999</v>
      </c>
      <c r="K223" s="15">
        <v>0</v>
      </c>
      <c r="L223" s="15">
        <v>0</v>
      </c>
      <c r="M223" s="15">
        <v>0</v>
      </c>
      <c r="N223" s="15">
        <f t="shared" si="67"/>
        <v>6912101.6699999999</v>
      </c>
      <c r="O223" s="15">
        <v>0</v>
      </c>
      <c r="P223" s="15">
        <f t="shared" si="68"/>
        <v>1021.25</v>
      </c>
      <c r="Q223" s="15">
        <f>'Форма 2'!K915</f>
        <v>1029.18</v>
      </c>
      <c r="R223" s="351" t="s">
        <v>290</v>
      </c>
      <c r="S223" s="153">
        <v>1</v>
      </c>
    </row>
    <row r="224" spans="1:19" s="41" customFormat="1" ht="15" customHeight="1" x14ac:dyDescent="0.25">
      <c r="A224" s="126">
        <f t="shared" si="60"/>
        <v>134</v>
      </c>
      <c r="B224" s="126">
        <v>2394</v>
      </c>
      <c r="C224" s="124" t="s">
        <v>633</v>
      </c>
      <c r="D224" s="134">
        <v>1994</v>
      </c>
      <c r="E224" s="134" t="s">
        <v>86</v>
      </c>
      <c r="F224" s="134" t="s">
        <v>81</v>
      </c>
      <c r="G224" s="15">
        <v>4485.5</v>
      </c>
      <c r="H224" s="15">
        <v>2686.6</v>
      </c>
      <c r="I224" s="10">
        <v>131</v>
      </c>
      <c r="J224" s="15">
        <f>'Форма 2'!I925</f>
        <v>64562</v>
      </c>
      <c r="K224" s="15">
        <v>0</v>
      </c>
      <c r="L224" s="15">
        <v>0</v>
      </c>
      <c r="M224" s="15">
        <v>0</v>
      </c>
      <c r="N224" s="15">
        <f t="shared" si="67"/>
        <v>64562</v>
      </c>
      <c r="O224" s="15">
        <v>0</v>
      </c>
      <c r="P224" s="15">
        <f t="shared" si="68"/>
        <v>24.03</v>
      </c>
      <c r="Q224" s="15">
        <f>'Форма 2'!K925</f>
        <v>24.03</v>
      </c>
      <c r="R224" s="351" t="s">
        <v>290</v>
      </c>
      <c r="S224" s="153">
        <v>1</v>
      </c>
    </row>
    <row r="225" spans="1:19" s="41" customFormat="1" x14ac:dyDescent="0.25">
      <c r="A225" s="126">
        <f t="shared" si="60"/>
        <v>135</v>
      </c>
      <c r="B225" s="126">
        <v>2395</v>
      </c>
      <c r="C225" s="124" t="s">
        <v>634</v>
      </c>
      <c r="D225" s="134">
        <v>1994</v>
      </c>
      <c r="E225" s="134" t="s">
        <v>86</v>
      </c>
      <c r="F225" s="134" t="s">
        <v>81</v>
      </c>
      <c r="G225" s="15">
        <v>4785.3999999999996</v>
      </c>
      <c r="H225" s="15">
        <v>2878.2</v>
      </c>
      <c r="I225" s="10">
        <v>117</v>
      </c>
      <c r="J225" s="15">
        <f>'Форма 2'!I928</f>
        <v>64562</v>
      </c>
      <c r="K225" s="15">
        <v>0</v>
      </c>
      <c r="L225" s="15">
        <v>0</v>
      </c>
      <c r="M225" s="15">
        <v>0</v>
      </c>
      <c r="N225" s="15">
        <f t="shared" si="67"/>
        <v>64562</v>
      </c>
      <c r="O225" s="15">
        <v>0</v>
      </c>
      <c r="P225" s="15">
        <f t="shared" si="68"/>
        <v>22.43</v>
      </c>
      <c r="Q225" s="15">
        <f>'Форма 2'!K928</f>
        <v>22.43</v>
      </c>
      <c r="R225" s="351" t="s">
        <v>290</v>
      </c>
      <c r="S225" s="153">
        <v>1</v>
      </c>
    </row>
    <row r="226" spans="1:19" ht="15.75" customHeight="1" x14ac:dyDescent="0.25">
      <c r="A226" s="175" t="s">
        <v>31</v>
      </c>
      <c r="B226" s="175"/>
      <c r="C226" s="175"/>
      <c r="D226" s="5" t="s">
        <v>13</v>
      </c>
      <c r="E226" s="15" t="s">
        <v>13</v>
      </c>
      <c r="F226" s="15" t="s">
        <v>13</v>
      </c>
      <c r="G226" s="15">
        <f>SUM(G227:G229)</f>
        <v>2683.8</v>
      </c>
      <c r="H226" s="15">
        <f t="shared" ref="H226:O226" si="69">SUM(H227:H229)</f>
        <v>1928</v>
      </c>
      <c r="I226" s="10">
        <f t="shared" si="69"/>
        <v>73</v>
      </c>
      <c r="J226" s="15">
        <f t="shared" si="69"/>
        <v>5340360.78</v>
      </c>
      <c r="K226" s="15">
        <f t="shared" si="69"/>
        <v>0</v>
      </c>
      <c r="L226" s="15">
        <f t="shared" si="69"/>
        <v>0</v>
      </c>
      <c r="M226" s="15">
        <f t="shared" si="69"/>
        <v>0</v>
      </c>
      <c r="N226" s="15">
        <f t="shared" si="69"/>
        <v>5271033.26</v>
      </c>
      <c r="O226" s="15">
        <f t="shared" si="69"/>
        <v>69327.520000000004</v>
      </c>
      <c r="P226" s="15" t="s">
        <v>13</v>
      </c>
      <c r="Q226" s="15" t="s">
        <v>13</v>
      </c>
      <c r="R226" s="15" t="s">
        <v>13</v>
      </c>
      <c r="S226" s="10" t="s">
        <v>13</v>
      </c>
    </row>
    <row r="227" spans="1:19" ht="15.75" customHeight="1" x14ac:dyDescent="0.25">
      <c r="A227" s="22">
        <v>1</v>
      </c>
      <c r="B227" s="22">
        <v>4859</v>
      </c>
      <c r="C227" s="340" t="s">
        <v>439</v>
      </c>
      <c r="D227" s="126">
        <v>1970</v>
      </c>
      <c r="E227" s="126" t="s">
        <v>232</v>
      </c>
      <c r="F227" s="126" t="s">
        <v>81</v>
      </c>
      <c r="G227" s="15">
        <v>360</v>
      </c>
      <c r="H227" s="15">
        <v>336</v>
      </c>
      <c r="I227" s="10">
        <v>12</v>
      </c>
      <c r="J227" s="15">
        <f>'Форма 2'!I932</f>
        <v>13582.8</v>
      </c>
      <c r="K227" s="15">
        <v>0</v>
      </c>
      <c r="L227" s="15">
        <v>0</v>
      </c>
      <c r="M227" s="15">
        <v>0</v>
      </c>
      <c r="N227" s="15">
        <f>J227-O227</f>
        <v>13582.8</v>
      </c>
      <c r="O227" s="15">
        <v>0</v>
      </c>
      <c r="P227" s="15">
        <f>J227/H227</f>
        <v>40.43</v>
      </c>
      <c r="Q227" s="15">
        <f>'Форма 2'!K932</f>
        <v>42</v>
      </c>
      <c r="R227" s="18">
        <v>2020</v>
      </c>
      <c r="S227" s="153">
        <v>1</v>
      </c>
    </row>
    <row r="228" spans="1:19" ht="15.75" customHeight="1" x14ac:dyDescent="0.25">
      <c r="A228" s="22">
        <f>A227+1</f>
        <v>2</v>
      </c>
      <c r="B228" s="22">
        <v>8046</v>
      </c>
      <c r="C228" s="340" t="s">
        <v>289</v>
      </c>
      <c r="D228" s="126">
        <v>1960</v>
      </c>
      <c r="E228" s="126" t="s">
        <v>68</v>
      </c>
      <c r="F228" s="137" t="s">
        <v>81</v>
      </c>
      <c r="G228" s="15">
        <v>340</v>
      </c>
      <c r="H228" s="15">
        <v>325</v>
      </c>
      <c r="I228" s="10">
        <v>12</v>
      </c>
      <c r="J228" s="15">
        <f>'Форма 2'!I934</f>
        <v>80502.5</v>
      </c>
      <c r="K228" s="15">
        <v>0</v>
      </c>
      <c r="L228" s="15">
        <v>0</v>
      </c>
      <c r="M228" s="15">
        <v>0</v>
      </c>
      <c r="N228" s="15">
        <f>J228-O228</f>
        <v>80502.5</v>
      </c>
      <c r="O228" s="15">
        <v>0</v>
      </c>
      <c r="P228" s="15">
        <f>J228/H228</f>
        <v>247.7</v>
      </c>
      <c r="Q228" s="15">
        <f>'Форма 2'!K934</f>
        <v>260</v>
      </c>
      <c r="R228" s="18">
        <v>2020</v>
      </c>
      <c r="S228" s="153">
        <v>1</v>
      </c>
    </row>
    <row r="229" spans="1:19" ht="15.75" customHeight="1" x14ac:dyDescent="0.25">
      <c r="A229" s="22">
        <f>A228+1</f>
        <v>3</v>
      </c>
      <c r="B229" s="21">
        <v>4850</v>
      </c>
      <c r="C229" s="340" t="s">
        <v>157</v>
      </c>
      <c r="D229" s="137">
        <v>1988</v>
      </c>
      <c r="E229" s="137" t="s">
        <v>68</v>
      </c>
      <c r="F229" s="137" t="s">
        <v>82</v>
      </c>
      <c r="G229" s="25">
        <v>1983.8</v>
      </c>
      <c r="H229" s="15">
        <v>1267</v>
      </c>
      <c r="I229" s="28">
        <v>49</v>
      </c>
      <c r="J229" s="15">
        <f>'Форма 2'!I936</f>
        <v>5246275.4800000004</v>
      </c>
      <c r="K229" s="15">
        <v>0</v>
      </c>
      <c r="L229" s="15">
        <v>0</v>
      </c>
      <c r="M229" s="15">
        <v>0</v>
      </c>
      <c r="N229" s="15">
        <f>J229-O229</f>
        <v>5176947.96</v>
      </c>
      <c r="O229" s="15">
        <v>69327.520000000004</v>
      </c>
      <c r="P229" s="15">
        <f>J229/H229</f>
        <v>4140.71</v>
      </c>
      <c r="Q229" s="15">
        <f>'Форма 2'!K936</f>
        <v>5144</v>
      </c>
      <c r="R229" s="353">
        <v>2020</v>
      </c>
      <c r="S229" s="153">
        <v>1</v>
      </c>
    </row>
    <row r="230" spans="1:19" s="41" customFormat="1" ht="15.75" customHeight="1" x14ac:dyDescent="0.25">
      <c r="A230" s="175" t="s">
        <v>32</v>
      </c>
      <c r="B230" s="175"/>
      <c r="C230" s="175"/>
      <c r="D230" s="5" t="s">
        <v>13</v>
      </c>
      <c r="E230" s="15" t="s">
        <v>13</v>
      </c>
      <c r="F230" s="15" t="s">
        <v>13</v>
      </c>
      <c r="G230" s="15">
        <f>SUM(G231:G236)</f>
        <v>2572.4899999999998</v>
      </c>
      <c r="H230" s="15">
        <f t="shared" ref="H230:O230" si="70">SUM(H231:H236)</f>
        <v>2284.29</v>
      </c>
      <c r="I230" s="10">
        <f t="shared" si="70"/>
        <v>85</v>
      </c>
      <c r="J230" s="15">
        <f t="shared" si="70"/>
        <v>2550005.59</v>
      </c>
      <c r="K230" s="15">
        <f t="shared" si="70"/>
        <v>0</v>
      </c>
      <c r="L230" s="15">
        <f t="shared" si="70"/>
        <v>0</v>
      </c>
      <c r="M230" s="15">
        <f t="shared" si="70"/>
        <v>0</v>
      </c>
      <c r="N230" s="15">
        <f t="shared" si="70"/>
        <v>2439808.61</v>
      </c>
      <c r="O230" s="15">
        <f t="shared" si="70"/>
        <v>110196.98</v>
      </c>
      <c r="P230" s="15" t="s">
        <v>13</v>
      </c>
      <c r="Q230" s="15" t="s">
        <v>13</v>
      </c>
      <c r="R230" s="15" t="s">
        <v>13</v>
      </c>
      <c r="S230" s="10" t="s">
        <v>13</v>
      </c>
    </row>
    <row r="231" spans="1:19" s="41" customFormat="1" ht="15.75" customHeight="1" x14ac:dyDescent="0.25">
      <c r="A231" s="113">
        <v>1</v>
      </c>
      <c r="B231" s="131">
        <v>7260</v>
      </c>
      <c r="C231" s="150" t="s">
        <v>454</v>
      </c>
      <c r="D231" s="22">
        <v>1969</v>
      </c>
      <c r="E231" s="22" t="s">
        <v>68</v>
      </c>
      <c r="F231" s="22" t="s">
        <v>81</v>
      </c>
      <c r="G231" s="25">
        <v>362.6</v>
      </c>
      <c r="H231" s="25">
        <v>335.4</v>
      </c>
      <c r="I231" s="33">
        <v>14</v>
      </c>
      <c r="J231" s="25">
        <f>'Форма 2'!I940</f>
        <v>64556.85</v>
      </c>
      <c r="K231" s="25">
        <v>0</v>
      </c>
      <c r="L231" s="25">
        <v>0</v>
      </c>
      <c r="M231" s="25">
        <v>0</v>
      </c>
      <c r="N231" s="25">
        <f>J231-K231-L231-M231-O231</f>
        <v>60909.1</v>
      </c>
      <c r="O231" s="25">
        <v>3647.75</v>
      </c>
      <c r="P231" s="15">
        <f>J231/H231</f>
        <v>192.48</v>
      </c>
      <c r="Q231" s="15">
        <f>'Форма 2'!K940</f>
        <v>259</v>
      </c>
      <c r="R231" s="351" t="s">
        <v>290</v>
      </c>
      <c r="S231" s="10">
        <v>1</v>
      </c>
    </row>
    <row r="232" spans="1:19" s="41" customFormat="1" ht="15.75" customHeight="1" x14ac:dyDescent="0.25">
      <c r="A232" s="113">
        <f>A231+1</f>
        <v>2</v>
      </c>
      <c r="B232" s="131">
        <v>7261</v>
      </c>
      <c r="C232" s="150" t="s">
        <v>455</v>
      </c>
      <c r="D232" s="22">
        <v>1969</v>
      </c>
      <c r="E232" s="22" t="s">
        <v>68</v>
      </c>
      <c r="F232" s="22" t="s">
        <v>81</v>
      </c>
      <c r="G232" s="25">
        <v>376.32</v>
      </c>
      <c r="H232" s="25">
        <v>344.34</v>
      </c>
      <c r="I232" s="33">
        <v>12</v>
      </c>
      <c r="J232" s="25">
        <f>'Форма 2'!I942</f>
        <v>63331.74</v>
      </c>
      <c r="K232" s="25">
        <v>0</v>
      </c>
      <c r="L232" s="25">
        <v>0</v>
      </c>
      <c r="M232" s="25">
        <v>0</v>
      </c>
      <c r="N232" s="25">
        <f>J232-K232-L232-M232-O232</f>
        <v>59586.76</v>
      </c>
      <c r="O232" s="25">
        <v>3744.98</v>
      </c>
      <c r="P232" s="15">
        <f>J232/H232</f>
        <v>183.92</v>
      </c>
      <c r="Q232" s="15">
        <f>'Форма 2'!K942</f>
        <v>259</v>
      </c>
      <c r="R232" s="351" t="s">
        <v>290</v>
      </c>
      <c r="S232" s="10">
        <v>1</v>
      </c>
    </row>
    <row r="233" spans="1:19" s="41" customFormat="1" ht="15.75" customHeight="1" x14ac:dyDescent="0.25">
      <c r="A233" s="113">
        <v>3</v>
      </c>
      <c r="B233" s="131">
        <v>7275</v>
      </c>
      <c r="C233" s="150" t="s">
        <v>503</v>
      </c>
      <c r="D233" s="22">
        <v>1971</v>
      </c>
      <c r="E233" s="22" t="s">
        <v>112</v>
      </c>
      <c r="F233" s="22" t="s">
        <v>81</v>
      </c>
      <c r="G233" s="25">
        <v>408.72</v>
      </c>
      <c r="H233" s="25">
        <v>365.52</v>
      </c>
      <c r="I233" s="33">
        <v>14</v>
      </c>
      <c r="J233" s="25">
        <f>'Форма 2'!I944</f>
        <v>158388.94</v>
      </c>
      <c r="K233" s="25">
        <v>0</v>
      </c>
      <c r="L233" s="25">
        <v>0</v>
      </c>
      <c r="M233" s="25">
        <v>0</v>
      </c>
      <c r="N233" s="25">
        <f t="shared" ref="N233:N234" si="71">J233-K233-L233-M233-O233</f>
        <v>151267.10999999999</v>
      </c>
      <c r="O233" s="25">
        <v>7121.83</v>
      </c>
      <c r="P233" s="15">
        <f t="shared" ref="P233:P234" si="72">J233/H233</f>
        <v>433.32</v>
      </c>
      <c r="Q233" s="15">
        <f>'Форма 2'!K944</f>
        <v>464</v>
      </c>
      <c r="R233" s="351" t="s">
        <v>290</v>
      </c>
      <c r="S233" s="10">
        <v>1</v>
      </c>
    </row>
    <row r="234" spans="1:19" s="41" customFormat="1" ht="15.75" customHeight="1" x14ac:dyDescent="0.25">
      <c r="A234" s="113">
        <v>4</v>
      </c>
      <c r="B234" s="131">
        <v>7317</v>
      </c>
      <c r="C234" s="150" t="s">
        <v>505</v>
      </c>
      <c r="D234" s="22">
        <v>1969</v>
      </c>
      <c r="E234" s="22" t="s">
        <v>68</v>
      </c>
      <c r="F234" s="22" t="s">
        <v>81</v>
      </c>
      <c r="G234" s="25">
        <v>585.54</v>
      </c>
      <c r="H234" s="25">
        <v>519.54</v>
      </c>
      <c r="I234" s="33">
        <v>19</v>
      </c>
      <c r="J234" s="25">
        <f>'Форма 2'!I947</f>
        <v>128209.48</v>
      </c>
      <c r="K234" s="25">
        <v>0</v>
      </c>
      <c r="L234" s="25">
        <v>0</v>
      </c>
      <c r="M234" s="25">
        <v>0</v>
      </c>
      <c r="N234" s="25">
        <f t="shared" si="71"/>
        <v>122559.06</v>
      </c>
      <c r="O234" s="25">
        <v>5650.42</v>
      </c>
      <c r="P234" s="15">
        <f t="shared" si="72"/>
        <v>246.77</v>
      </c>
      <c r="Q234" s="15">
        <f>'Форма 2'!K947</f>
        <v>259</v>
      </c>
      <c r="R234" s="351" t="s">
        <v>290</v>
      </c>
      <c r="S234" s="10">
        <v>1</v>
      </c>
    </row>
    <row r="235" spans="1:19" s="41" customFormat="1" ht="15.75" customHeight="1" x14ac:dyDescent="0.25">
      <c r="A235" s="113">
        <f t="shared" ref="A235" si="73">A234+1</f>
        <v>5</v>
      </c>
      <c r="B235" s="8">
        <v>7343</v>
      </c>
      <c r="C235" s="150" t="s">
        <v>563</v>
      </c>
      <c r="D235" s="137">
        <v>1965</v>
      </c>
      <c r="E235" s="22" t="s">
        <v>112</v>
      </c>
      <c r="F235" s="22" t="s">
        <v>82</v>
      </c>
      <c r="G235" s="25">
        <v>406.72</v>
      </c>
      <c r="H235" s="25">
        <v>332.66</v>
      </c>
      <c r="I235" s="33">
        <v>12</v>
      </c>
      <c r="J235" s="25">
        <f>'Форма 2'!I949</f>
        <v>2009044.51</v>
      </c>
      <c r="K235" s="25">
        <v>0</v>
      </c>
      <c r="L235" s="25">
        <v>0</v>
      </c>
      <c r="M235" s="25">
        <v>0</v>
      </c>
      <c r="N235" s="25">
        <f>J235-K235-L235-M235-O235</f>
        <v>1924681.53</v>
      </c>
      <c r="O235" s="25">
        <v>84362.98</v>
      </c>
      <c r="P235" s="15">
        <f>J235/H235</f>
        <v>6039.33</v>
      </c>
      <c r="Q235" s="15">
        <f>'Форма 2'!K949</f>
        <v>7493</v>
      </c>
      <c r="R235" s="351" t="s">
        <v>290</v>
      </c>
      <c r="S235" s="10">
        <v>1</v>
      </c>
    </row>
    <row r="236" spans="1:19" s="41" customFormat="1" ht="15.75" customHeight="1" x14ac:dyDescent="0.25">
      <c r="A236" s="113">
        <v>6</v>
      </c>
      <c r="B236" s="131">
        <v>7357</v>
      </c>
      <c r="C236" s="150" t="s">
        <v>506</v>
      </c>
      <c r="D236" s="22">
        <v>1968</v>
      </c>
      <c r="E236" s="22" t="s">
        <v>112</v>
      </c>
      <c r="F236" s="22" t="s">
        <v>81</v>
      </c>
      <c r="G236" s="25">
        <v>432.59</v>
      </c>
      <c r="H236" s="25">
        <v>386.83</v>
      </c>
      <c r="I236" s="33">
        <v>14</v>
      </c>
      <c r="J236" s="25">
        <f>'Форма 2'!I954</f>
        <v>126474.07</v>
      </c>
      <c r="K236" s="25">
        <v>0</v>
      </c>
      <c r="L236" s="25">
        <v>0</v>
      </c>
      <c r="M236" s="25">
        <v>0</v>
      </c>
      <c r="N236" s="25">
        <f t="shared" ref="N236" si="74">J236-K236-L236-M236-O236</f>
        <v>120805.05</v>
      </c>
      <c r="O236" s="25">
        <v>5669.02</v>
      </c>
      <c r="P236" s="15">
        <f t="shared" ref="P236" si="75">J236/H236</f>
        <v>326.95</v>
      </c>
      <c r="Q236" s="15">
        <f>'Форма 2'!K954</f>
        <v>349</v>
      </c>
      <c r="R236" s="351" t="s">
        <v>290</v>
      </c>
      <c r="S236" s="10">
        <v>1</v>
      </c>
    </row>
    <row r="237" spans="1:19" s="41" customFormat="1" ht="15.75" customHeight="1" x14ac:dyDescent="0.25">
      <c r="A237" s="175" t="s">
        <v>34</v>
      </c>
      <c r="B237" s="175"/>
      <c r="C237" s="175"/>
      <c r="D237" s="5" t="s">
        <v>13</v>
      </c>
      <c r="E237" s="15" t="s">
        <v>13</v>
      </c>
      <c r="F237" s="15" t="s">
        <v>13</v>
      </c>
      <c r="G237" s="15">
        <f>SUM(G238:G243)</f>
        <v>6652.6</v>
      </c>
      <c r="H237" s="15">
        <f t="shared" ref="H237:O237" si="76">SUM(H238:H243)</f>
        <v>5288.8</v>
      </c>
      <c r="I237" s="10">
        <f t="shared" si="76"/>
        <v>184</v>
      </c>
      <c r="J237" s="15">
        <f t="shared" si="76"/>
        <v>945522.77</v>
      </c>
      <c r="K237" s="15">
        <f t="shared" si="76"/>
        <v>0</v>
      </c>
      <c r="L237" s="15">
        <f t="shared" si="76"/>
        <v>0</v>
      </c>
      <c r="M237" s="15">
        <f t="shared" si="76"/>
        <v>0</v>
      </c>
      <c r="N237" s="15">
        <f t="shared" si="76"/>
        <v>806222.75</v>
      </c>
      <c r="O237" s="15">
        <f t="shared" si="76"/>
        <v>139300.01999999999</v>
      </c>
      <c r="P237" s="15" t="s">
        <v>13</v>
      </c>
      <c r="Q237" s="15" t="s">
        <v>13</v>
      </c>
      <c r="R237" s="15" t="s">
        <v>13</v>
      </c>
      <c r="S237" s="10" t="s">
        <v>13</v>
      </c>
    </row>
    <row r="238" spans="1:19" s="41" customFormat="1" ht="15.75" customHeight="1" x14ac:dyDescent="0.25">
      <c r="A238" s="21">
        <v>1</v>
      </c>
      <c r="B238" s="21">
        <v>6737</v>
      </c>
      <c r="C238" s="142" t="s">
        <v>291</v>
      </c>
      <c r="D238" s="134">
        <v>1966</v>
      </c>
      <c r="E238" s="126" t="s">
        <v>230</v>
      </c>
      <c r="F238" s="126" t="s">
        <v>81</v>
      </c>
      <c r="G238" s="354">
        <v>914.5</v>
      </c>
      <c r="H238" s="135">
        <v>699.5</v>
      </c>
      <c r="I238" s="138">
        <v>26</v>
      </c>
      <c r="J238" s="15">
        <f>'Форма 2'!I958</f>
        <v>125210.5</v>
      </c>
      <c r="K238" s="15">
        <v>0</v>
      </c>
      <c r="L238" s="15">
        <v>0</v>
      </c>
      <c r="M238" s="15">
        <v>0</v>
      </c>
      <c r="N238" s="15">
        <f>J238-O238</f>
        <v>52964.82</v>
      </c>
      <c r="O238" s="15">
        <v>72245.679999999993</v>
      </c>
      <c r="P238" s="15">
        <f>J238/H238</f>
        <v>179</v>
      </c>
      <c r="Q238" s="15">
        <f>'Форма 2'!K958</f>
        <v>179</v>
      </c>
      <c r="R238" s="351">
        <v>2020</v>
      </c>
      <c r="S238" s="10">
        <v>1</v>
      </c>
    </row>
    <row r="239" spans="1:19" s="41" customFormat="1" ht="15.75" customHeight="1" x14ac:dyDescent="0.25">
      <c r="A239" s="22">
        <f>A238+1</f>
        <v>2</v>
      </c>
      <c r="B239" s="22">
        <v>6719</v>
      </c>
      <c r="C239" s="151" t="s">
        <v>507</v>
      </c>
      <c r="D239" s="141">
        <v>1972</v>
      </c>
      <c r="E239" s="141" t="s">
        <v>95</v>
      </c>
      <c r="F239" s="141" t="s">
        <v>82</v>
      </c>
      <c r="G239" s="135">
        <v>4410</v>
      </c>
      <c r="H239" s="135">
        <v>3419.4</v>
      </c>
      <c r="I239" s="143">
        <v>114</v>
      </c>
      <c r="J239" s="15">
        <f>'Форма 2'!I961</f>
        <v>541273.77</v>
      </c>
      <c r="K239" s="15">
        <v>0</v>
      </c>
      <c r="L239" s="15">
        <v>0</v>
      </c>
      <c r="M239" s="15">
        <v>0</v>
      </c>
      <c r="N239" s="15">
        <f t="shared" ref="N239" si="77">J239-O239</f>
        <v>541273.77</v>
      </c>
      <c r="O239" s="15">
        <v>0</v>
      </c>
      <c r="P239" s="15">
        <f>J239/H239</f>
        <v>158.29</v>
      </c>
      <c r="Q239" s="15">
        <f>'Форма 2'!K961</f>
        <v>407</v>
      </c>
      <c r="R239" s="18">
        <v>2020</v>
      </c>
      <c r="S239" s="153">
        <v>1</v>
      </c>
    </row>
    <row r="240" spans="1:19" s="41" customFormat="1" ht="15.75" customHeight="1" x14ac:dyDescent="0.25">
      <c r="A240" s="21">
        <f>A239+1</f>
        <v>3</v>
      </c>
      <c r="B240" s="21">
        <v>6749</v>
      </c>
      <c r="C240" s="142" t="s">
        <v>292</v>
      </c>
      <c r="D240" s="134">
        <v>1966</v>
      </c>
      <c r="E240" s="141" t="s">
        <v>534</v>
      </c>
      <c r="F240" s="126" t="s">
        <v>81</v>
      </c>
      <c r="G240" s="354">
        <v>348.7</v>
      </c>
      <c r="H240" s="135">
        <v>288.7</v>
      </c>
      <c r="I240" s="138">
        <v>11</v>
      </c>
      <c r="J240" s="15">
        <f>'Форма 2'!I964</f>
        <v>34355.300000000003</v>
      </c>
      <c r="K240" s="15">
        <v>0</v>
      </c>
      <c r="L240" s="15">
        <v>0</v>
      </c>
      <c r="M240" s="15">
        <v>0</v>
      </c>
      <c r="N240" s="15">
        <f>J240-O240</f>
        <v>0</v>
      </c>
      <c r="O240" s="15">
        <v>34355.300000000003</v>
      </c>
      <c r="P240" s="15">
        <f>J240/H240</f>
        <v>119</v>
      </c>
      <c r="Q240" s="15">
        <f>'Форма 2'!K964</f>
        <v>119</v>
      </c>
      <c r="R240" s="351">
        <v>2020</v>
      </c>
      <c r="S240" s="10">
        <v>1</v>
      </c>
    </row>
    <row r="241" spans="1:19" s="41" customFormat="1" ht="15.75" customHeight="1" x14ac:dyDescent="0.25">
      <c r="A241" s="21">
        <f>A240+1</f>
        <v>4</v>
      </c>
      <c r="B241" s="21">
        <v>6727</v>
      </c>
      <c r="C241" s="142" t="s">
        <v>293</v>
      </c>
      <c r="D241" s="134">
        <v>1966</v>
      </c>
      <c r="E241" s="134" t="s">
        <v>230</v>
      </c>
      <c r="F241" s="134" t="s">
        <v>81</v>
      </c>
      <c r="G241" s="354">
        <v>346.6</v>
      </c>
      <c r="H241" s="135">
        <v>316.60000000000002</v>
      </c>
      <c r="I241" s="138">
        <v>12</v>
      </c>
      <c r="J241" s="15">
        <f>'Форма 2'!I966</f>
        <v>56671.4</v>
      </c>
      <c r="K241" s="15">
        <v>0</v>
      </c>
      <c r="L241" s="15">
        <v>0</v>
      </c>
      <c r="M241" s="15">
        <v>0</v>
      </c>
      <c r="N241" s="15">
        <f>J241-O241</f>
        <v>23972.36</v>
      </c>
      <c r="O241" s="15">
        <v>32699.040000000001</v>
      </c>
      <c r="P241" s="15">
        <f>J241/H241</f>
        <v>179</v>
      </c>
      <c r="Q241" s="15">
        <f>'Форма 2'!K966</f>
        <v>179</v>
      </c>
      <c r="R241" s="351">
        <v>2020</v>
      </c>
      <c r="S241" s="10">
        <v>1</v>
      </c>
    </row>
    <row r="242" spans="1:19" s="41" customFormat="1" ht="15.75" customHeight="1" x14ac:dyDescent="0.25">
      <c r="A242" s="22">
        <f>A241+1</f>
        <v>5</v>
      </c>
      <c r="B242" s="22">
        <v>6732</v>
      </c>
      <c r="C242" s="151" t="s">
        <v>294</v>
      </c>
      <c r="D242" s="141">
        <v>1967</v>
      </c>
      <c r="E242" s="141" t="s">
        <v>230</v>
      </c>
      <c r="F242" s="141" t="s">
        <v>81</v>
      </c>
      <c r="G242" s="23">
        <v>319.5</v>
      </c>
      <c r="H242" s="135">
        <v>291.3</v>
      </c>
      <c r="I242" s="143">
        <v>11</v>
      </c>
      <c r="J242" s="15">
        <f>'Форма 2'!I969</f>
        <v>97002.9</v>
      </c>
      <c r="K242" s="15">
        <v>0</v>
      </c>
      <c r="L242" s="15">
        <v>0</v>
      </c>
      <c r="M242" s="15">
        <v>0</v>
      </c>
      <c r="N242" s="15">
        <f t="shared" ref="N242:N243" si="78">J242-O242</f>
        <v>97002.9</v>
      </c>
      <c r="O242" s="15">
        <v>0</v>
      </c>
      <c r="P242" s="15">
        <f>J242/H242</f>
        <v>333</v>
      </c>
      <c r="Q242" s="15">
        <f>'Форма 2'!K969</f>
        <v>333</v>
      </c>
      <c r="R242" s="18">
        <v>2020</v>
      </c>
      <c r="S242" s="153">
        <v>1</v>
      </c>
    </row>
    <row r="243" spans="1:19" s="41" customFormat="1" ht="15.75" customHeight="1" x14ac:dyDescent="0.25">
      <c r="A243" s="22">
        <f>A242+1</f>
        <v>6</v>
      </c>
      <c r="B243" s="22">
        <v>6733</v>
      </c>
      <c r="C243" s="151" t="s">
        <v>295</v>
      </c>
      <c r="D243" s="141">
        <v>1969</v>
      </c>
      <c r="E243" s="141" t="s">
        <v>230</v>
      </c>
      <c r="F243" s="141" t="s">
        <v>81</v>
      </c>
      <c r="G243" s="23">
        <v>313.3</v>
      </c>
      <c r="H243" s="135">
        <v>273.3</v>
      </c>
      <c r="I243" s="143">
        <v>10</v>
      </c>
      <c r="J243" s="15">
        <f>'Форма 2'!I972</f>
        <v>91008.9</v>
      </c>
      <c r="K243" s="15">
        <v>0</v>
      </c>
      <c r="L243" s="15">
        <v>0</v>
      </c>
      <c r="M243" s="15">
        <v>0</v>
      </c>
      <c r="N243" s="15">
        <f t="shared" si="78"/>
        <v>91008.9</v>
      </c>
      <c r="O243" s="15">
        <v>0</v>
      </c>
      <c r="P243" s="15">
        <v>333</v>
      </c>
      <c r="Q243" s="15">
        <f>'Форма 2'!K972</f>
        <v>333</v>
      </c>
      <c r="R243" s="18">
        <v>2020</v>
      </c>
      <c r="S243" s="153">
        <v>1</v>
      </c>
    </row>
    <row r="244" spans="1:19" s="41" customFormat="1" ht="15.75" customHeight="1" x14ac:dyDescent="0.25">
      <c r="A244" s="175" t="s">
        <v>35</v>
      </c>
      <c r="B244" s="175"/>
      <c r="C244" s="175"/>
      <c r="D244" s="5" t="s">
        <v>13</v>
      </c>
      <c r="E244" s="15" t="s">
        <v>13</v>
      </c>
      <c r="F244" s="15" t="s">
        <v>13</v>
      </c>
      <c r="G244" s="15">
        <f t="shared" ref="G244:O244" si="79">SUM(G245:G263)</f>
        <v>11106.9</v>
      </c>
      <c r="H244" s="15">
        <f t="shared" si="79"/>
        <v>10255.4</v>
      </c>
      <c r="I244" s="10">
        <f t="shared" si="79"/>
        <v>385</v>
      </c>
      <c r="J244" s="15">
        <f t="shared" si="79"/>
        <v>10238573.369999999</v>
      </c>
      <c r="K244" s="15">
        <f t="shared" si="79"/>
        <v>0</v>
      </c>
      <c r="L244" s="15">
        <f t="shared" si="79"/>
        <v>0</v>
      </c>
      <c r="M244" s="15">
        <f t="shared" si="79"/>
        <v>0</v>
      </c>
      <c r="N244" s="15">
        <f t="shared" si="79"/>
        <v>9211519.7599999998</v>
      </c>
      <c r="O244" s="15">
        <f t="shared" si="79"/>
        <v>1027053.61</v>
      </c>
      <c r="P244" s="15" t="s">
        <v>13</v>
      </c>
      <c r="Q244" s="15" t="s">
        <v>13</v>
      </c>
      <c r="R244" s="15" t="s">
        <v>13</v>
      </c>
      <c r="S244" s="10" t="s">
        <v>13</v>
      </c>
    </row>
    <row r="245" spans="1:19" s="41" customFormat="1" ht="15.75" customHeight="1" x14ac:dyDescent="0.25">
      <c r="A245" s="113">
        <v>1</v>
      </c>
      <c r="B245" s="137">
        <v>5672</v>
      </c>
      <c r="C245" s="157" t="s">
        <v>508</v>
      </c>
      <c r="D245" s="22">
        <v>1963</v>
      </c>
      <c r="E245" s="22" t="s">
        <v>484</v>
      </c>
      <c r="F245" s="22" t="s">
        <v>81</v>
      </c>
      <c r="G245" s="25">
        <v>340</v>
      </c>
      <c r="H245" s="25">
        <v>327.60000000000002</v>
      </c>
      <c r="I245" s="33">
        <v>18</v>
      </c>
      <c r="J245" s="25">
        <f>'Форма 2'!I976</f>
        <v>235281</v>
      </c>
      <c r="K245" s="25">
        <f>SUM(K248:K274)</f>
        <v>0</v>
      </c>
      <c r="L245" s="25">
        <f>SUM(L248:L274)</f>
        <v>0</v>
      </c>
      <c r="M245" s="25">
        <f>SUM(M248:M274)</f>
        <v>0</v>
      </c>
      <c r="N245" s="15">
        <f t="shared" ref="N245:N246" si="80">J245-K245-L245-M245-O245</f>
        <v>213286.51</v>
      </c>
      <c r="O245" s="25">
        <v>21994.49</v>
      </c>
      <c r="P245" s="15">
        <f>J245/H245</f>
        <v>718.2</v>
      </c>
      <c r="Q245" s="15">
        <f>'Форма 2'!K976</f>
        <v>838</v>
      </c>
      <c r="R245" s="18">
        <v>2020</v>
      </c>
      <c r="S245" s="153">
        <v>1</v>
      </c>
    </row>
    <row r="246" spans="1:19" s="41" customFormat="1" ht="15.75" customHeight="1" x14ac:dyDescent="0.25">
      <c r="A246" s="113">
        <f>A245+1</f>
        <v>2</v>
      </c>
      <c r="B246" s="137">
        <v>5674</v>
      </c>
      <c r="C246" s="157" t="s">
        <v>509</v>
      </c>
      <c r="D246" s="22">
        <v>1963</v>
      </c>
      <c r="E246" s="22" t="s">
        <v>158</v>
      </c>
      <c r="F246" s="22" t="s">
        <v>81</v>
      </c>
      <c r="G246" s="25">
        <v>542.70000000000005</v>
      </c>
      <c r="H246" s="25">
        <v>519.4</v>
      </c>
      <c r="I246" s="33">
        <v>17</v>
      </c>
      <c r="J246" s="25">
        <f>'Форма 2'!I978</f>
        <v>96608.4</v>
      </c>
      <c r="K246" s="25">
        <f>SUM(K250:K284)</f>
        <v>0</v>
      </c>
      <c r="L246" s="25">
        <f>SUM(L250:L284)</f>
        <v>0</v>
      </c>
      <c r="M246" s="25">
        <f>SUM(M250:M284)</f>
        <v>0</v>
      </c>
      <c r="N246" s="15">
        <f t="shared" si="80"/>
        <v>88868.4</v>
      </c>
      <c r="O246" s="25">
        <v>7740</v>
      </c>
      <c r="P246" s="15">
        <f t="shared" ref="P246" si="81">J246/H246</f>
        <v>186</v>
      </c>
      <c r="Q246" s="15">
        <f>'Форма 2'!K978</f>
        <v>186</v>
      </c>
      <c r="R246" s="18">
        <v>2020</v>
      </c>
      <c r="S246" s="153">
        <v>1</v>
      </c>
    </row>
    <row r="247" spans="1:19" s="41" customFormat="1" ht="15.75" customHeight="1" x14ac:dyDescent="0.25">
      <c r="A247" s="113">
        <f>A246+1</f>
        <v>3</v>
      </c>
      <c r="B247" s="137">
        <v>5611</v>
      </c>
      <c r="C247" s="150" t="s">
        <v>438</v>
      </c>
      <c r="D247" s="22">
        <v>1936</v>
      </c>
      <c r="E247" s="22" t="s">
        <v>112</v>
      </c>
      <c r="F247" s="22" t="s">
        <v>87</v>
      </c>
      <c r="G247" s="25">
        <v>497.2</v>
      </c>
      <c r="H247" s="25">
        <v>458.4</v>
      </c>
      <c r="I247" s="355">
        <v>27</v>
      </c>
      <c r="J247" s="25">
        <f>'Форма 2'!I981</f>
        <v>3535555.81</v>
      </c>
      <c r="K247" s="15">
        <v>0</v>
      </c>
      <c r="L247" s="15">
        <v>0</v>
      </c>
      <c r="M247" s="15">
        <v>0</v>
      </c>
      <c r="N247" s="15">
        <f t="shared" ref="N247" si="82">J247-K247-L247-M247-O247</f>
        <v>3134841.16</v>
      </c>
      <c r="O247" s="15">
        <v>400714.65</v>
      </c>
      <c r="P247" s="15">
        <f>J247/H247</f>
        <v>7712.82</v>
      </c>
      <c r="Q247" s="15">
        <f>'Форма 2'!K981</f>
        <v>10911</v>
      </c>
      <c r="R247" s="18">
        <v>2020</v>
      </c>
      <c r="S247" s="153">
        <v>1</v>
      </c>
    </row>
    <row r="248" spans="1:19" s="156" customFormat="1" ht="15.75" customHeight="1" x14ac:dyDescent="0.25">
      <c r="A248" s="22">
        <f t="shared" ref="A248:A263" si="83">A247+1</f>
        <v>4</v>
      </c>
      <c r="B248" s="22">
        <v>5397</v>
      </c>
      <c r="C248" s="150" t="s">
        <v>590</v>
      </c>
      <c r="D248" s="137">
        <v>1960</v>
      </c>
      <c r="E248" s="137" t="s">
        <v>68</v>
      </c>
      <c r="F248" s="137" t="s">
        <v>81</v>
      </c>
      <c r="G248" s="25">
        <v>592.5</v>
      </c>
      <c r="H248" s="15">
        <v>524.29999999999995</v>
      </c>
      <c r="I248" s="26">
        <v>18</v>
      </c>
      <c r="J248" s="15">
        <f>'Форма 2'!I988</f>
        <v>87802.95</v>
      </c>
      <c r="K248" s="15">
        <v>0</v>
      </c>
      <c r="L248" s="15">
        <v>0</v>
      </c>
      <c r="M248" s="15">
        <v>0</v>
      </c>
      <c r="N248" s="15">
        <f t="shared" ref="N248:N263" si="84">J248-K248-L248-M248-O248</f>
        <v>76923.53</v>
      </c>
      <c r="O248" s="15">
        <v>10879.42</v>
      </c>
      <c r="P248" s="15">
        <f t="shared" ref="P248:P263" si="85">J248/H248</f>
        <v>167.47</v>
      </c>
      <c r="Q248" s="15">
        <f>'Форма 2'!K988</f>
        <v>259</v>
      </c>
      <c r="R248" s="18">
        <v>2020</v>
      </c>
      <c r="S248" s="10">
        <v>1</v>
      </c>
    </row>
    <row r="249" spans="1:19" s="156" customFormat="1" ht="15.75" customHeight="1" x14ac:dyDescent="0.25">
      <c r="A249" s="113">
        <f t="shared" si="83"/>
        <v>5</v>
      </c>
      <c r="B249" s="137">
        <v>5623</v>
      </c>
      <c r="C249" s="157" t="s">
        <v>512</v>
      </c>
      <c r="D249" s="22">
        <v>1961</v>
      </c>
      <c r="E249" s="22" t="s">
        <v>484</v>
      </c>
      <c r="F249" s="22" t="s">
        <v>81</v>
      </c>
      <c r="G249" s="25">
        <v>775.7</v>
      </c>
      <c r="H249" s="25">
        <v>705.5</v>
      </c>
      <c r="I249" s="33">
        <v>23</v>
      </c>
      <c r="J249" s="25">
        <f>'Форма 2'!I990</f>
        <v>290592</v>
      </c>
      <c r="K249" s="25">
        <v>0</v>
      </c>
      <c r="L249" s="25">
        <v>0</v>
      </c>
      <c r="M249" s="25">
        <v>0</v>
      </c>
      <c r="N249" s="15">
        <f t="shared" si="84"/>
        <v>243225.96</v>
      </c>
      <c r="O249" s="25">
        <v>47366.04</v>
      </c>
      <c r="P249" s="15">
        <f>J249/H249</f>
        <v>411.9</v>
      </c>
      <c r="Q249" s="15">
        <f>'Форма 2'!K990</f>
        <v>838</v>
      </c>
      <c r="R249" s="18">
        <v>2020</v>
      </c>
      <c r="S249" s="153">
        <v>1</v>
      </c>
    </row>
    <row r="250" spans="1:19" s="156" customFormat="1" ht="15.75" customHeight="1" x14ac:dyDescent="0.25">
      <c r="A250" s="22">
        <f t="shared" si="83"/>
        <v>6</v>
      </c>
      <c r="B250" s="27">
        <v>5464</v>
      </c>
      <c r="C250" s="150" t="s">
        <v>159</v>
      </c>
      <c r="D250" s="137">
        <v>1958</v>
      </c>
      <c r="E250" s="137" t="s">
        <v>68</v>
      </c>
      <c r="F250" s="137" t="s">
        <v>423</v>
      </c>
      <c r="G250" s="25">
        <v>441.6</v>
      </c>
      <c r="H250" s="15">
        <v>381.8</v>
      </c>
      <c r="I250" s="28">
        <v>13</v>
      </c>
      <c r="J250" s="15">
        <f>'Форма 2'!I992</f>
        <v>1984973.45</v>
      </c>
      <c r="K250" s="15">
        <v>0</v>
      </c>
      <c r="L250" s="15">
        <v>0</v>
      </c>
      <c r="M250" s="15">
        <v>0</v>
      </c>
      <c r="N250" s="15">
        <f t="shared" si="84"/>
        <v>1822464.99</v>
      </c>
      <c r="O250" s="15">
        <v>162508.46</v>
      </c>
      <c r="P250" s="15">
        <f t="shared" si="85"/>
        <v>5198.99</v>
      </c>
      <c r="Q250" s="15">
        <f>'Форма 2'!K992</f>
        <v>8203</v>
      </c>
      <c r="R250" s="18">
        <v>2020</v>
      </c>
      <c r="S250" s="10">
        <v>1</v>
      </c>
    </row>
    <row r="251" spans="1:19" s="156" customFormat="1" ht="15.75" customHeight="1" x14ac:dyDescent="0.25">
      <c r="A251" s="22">
        <f t="shared" si="83"/>
        <v>7</v>
      </c>
      <c r="B251" s="22">
        <v>5468</v>
      </c>
      <c r="C251" s="150" t="s">
        <v>424</v>
      </c>
      <c r="D251" s="137">
        <v>1960</v>
      </c>
      <c r="E251" s="137" t="s">
        <v>112</v>
      </c>
      <c r="F251" s="137" t="s">
        <v>81</v>
      </c>
      <c r="G251" s="25">
        <v>440.9</v>
      </c>
      <c r="H251" s="15">
        <v>404</v>
      </c>
      <c r="I251" s="26">
        <v>13</v>
      </c>
      <c r="J251" s="15">
        <f>'Форма 2'!I995</f>
        <v>170319.27</v>
      </c>
      <c r="K251" s="15">
        <v>0</v>
      </c>
      <c r="L251" s="15">
        <v>0</v>
      </c>
      <c r="M251" s="15">
        <v>0</v>
      </c>
      <c r="N251" s="15">
        <f t="shared" si="84"/>
        <v>155300.81</v>
      </c>
      <c r="O251" s="15">
        <v>15018.46</v>
      </c>
      <c r="P251" s="15">
        <f t="shared" si="85"/>
        <v>421.58</v>
      </c>
      <c r="Q251" s="15">
        <f>'Форма 2'!K995</f>
        <v>464</v>
      </c>
      <c r="R251" s="18">
        <v>2020</v>
      </c>
      <c r="S251" s="10">
        <v>1</v>
      </c>
    </row>
    <row r="252" spans="1:19" s="156" customFormat="1" ht="15.75" customHeight="1" x14ac:dyDescent="0.25">
      <c r="A252" s="22">
        <f t="shared" si="83"/>
        <v>8</v>
      </c>
      <c r="B252" s="22">
        <v>5469</v>
      </c>
      <c r="C252" s="150" t="s">
        <v>425</v>
      </c>
      <c r="D252" s="137">
        <v>1961</v>
      </c>
      <c r="E252" s="137" t="s">
        <v>484</v>
      </c>
      <c r="F252" s="137" t="s">
        <v>81</v>
      </c>
      <c r="G252" s="25">
        <v>354.7</v>
      </c>
      <c r="H252" s="15">
        <v>327.9</v>
      </c>
      <c r="I252" s="26">
        <v>11</v>
      </c>
      <c r="J252" s="15">
        <f>'Форма 2'!I998</f>
        <v>245104</v>
      </c>
      <c r="K252" s="15">
        <v>0</v>
      </c>
      <c r="L252" s="15">
        <v>0</v>
      </c>
      <c r="M252" s="15">
        <v>0</v>
      </c>
      <c r="N252" s="15">
        <f t="shared" si="84"/>
        <v>223089.37</v>
      </c>
      <c r="O252" s="15">
        <v>22014.63</v>
      </c>
      <c r="P252" s="15">
        <f t="shared" si="85"/>
        <v>747.5</v>
      </c>
      <c r="Q252" s="15">
        <f>'Форма 2'!K998</f>
        <v>838</v>
      </c>
      <c r="R252" s="18">
        <v>2020</v>
      </c>
      <c r="S252" s="10">
        <v>1</v>
      </c>
    </row>
    <row r="253" spans="1:19" s="156" customFormat="1" ht="15.75" customHeight="1" x14ac:dyDescent="0.25">
      <c r="A253" s="22">
        <f t="shared" si="83"/>
        <v>9</v>
      </c>
      <c r="B253" s="22">
        <v>5470</v>
      </c>
      <c r="C253" s="150" t="s">
        <v>426</v>
      </c>
      <c r="D253" s="137">
        <v>1961</v>
      </c>
      <c r="E253" s="137" t="s">
        <v>68</v>
      </c>
      <c r="F253" s="137" t="s">
        <v>81</v>
      </c>
      <c r="G253" s="25">
        <v>348.8</v>
      </c>
      <c r="H253" s="15">
        <v>321.39999999999998</v>
      </c>
      <c r="I253" s="26">
        <v>10</v>
      </c>
      <c r="J253" s="15">
        <f>'Форма 2'!I1000</f>
        <v>64926.26</v>
      </c>
      <c r="K253" s="15">
        <v>0</v>
      </c>
      <c r="L253" s="15">
        <v>0</v>
      </c>
      <c r="M253" s="15">
        <v>0</v>
      </c>
      <c r="N253" s="15">
        <f t="shared" si="84"/>
        <v>58257.09</v>
      </c>
      <c r="O253" s="15">
        <v>6669.17</v>
      </c>
      <c r="P253" s="15">
        <f t="shared" si="85"/>
        <v>202.01</v>
      </c>
      <c r="Q253" s="15">
        <f>'Форма 2'!K1000</f>
        <v>259</v>
      </c>
      <c r="R253" s="18">
        <v>2020</v>
      </c>
      <c r="S253" s="10">
        <v>1</v>
      </c>
    </row>
    <row r="254" spans="1:19" s="156" customFormat="1" ht="15.75" customHeight="1" x14ac:dyDescent="0.25">
      <c r="A254" s="22">
        <f t="shared" si="83"/>
        <v>10</v>
      </c>
      <c r="B254" s="22">
        <v>5473</v>
      </c>
      <c r="C254" s="150" t="s">
        <v>427</v>
      </c>
      <c r="D254" s="137">
        <v>1960</v>
      </c>
      <c r="E254" s="137" t="s">
        <v>68</v>
      </c>
      <c r="F254" s="137" t="s">
        <v>81</v>
      </c>
      <c r="G254" s="25">
        <v>438.1</v>
      </c>
      <c r="H254" s="15">
        <v>403.1</v>
      </c>
      <c r="I254" s="26">
        <v>13</v>
      </c>
      <c r="J254" s="15">
        <f>'Форма 2'!I1002</f>
        <v>77216.77</v>
      </c>
      <c r="K254" s="15">
        <v>0</v>
      </c>
      <c r="L254" s="15">
        <v>0</v>
      </c>
      <c r="M254" s="15">
        <v>0</v>
      </c>
      <c r="N254" s="15">
        <f t="shared" si="84"/>
        <v>68852.3</v>
      </c>
      <c r="O254" s="15">
        <v>8364.4699999999993</v>
      </c>
      <c r="P254" s="15">
        <f t="shared" si="85"/>
        <v>191.56</v>
      </c>
      <c r="Q254" s="15">
        <f>'Форма 2'!K1002</f>
        <v>259</v>
      </c>
      <c r="R254" s="18">
        <v>2020</v>
      </c>
      <c r="S254" s="10">
        <v>1</v>
      </c>
    </row>
    <row r="255" spans="1:19" s="156" customFormat="1" ht="15.75" customHeight="1" x14ac:dyDescent="0.25">
      <c r="A255" s="22">
        <f t="shared" si="83"/>
        <v>11</v>
      </c>
      <c r="B255" s="137">
        <v>5491</v>
      </c>
      <c r="C255" s="157" t="s">
        <v>521</v>
      </c>
      <c r="D255" s="22">
        <v>1962</v>
      </c>
      <c r="E255" s="22" t="s">
        <v>68</v>
      </c>
      <c r="F255" s="22" t="s">
        <v>81</v>
      </c>
      <c r="G255" s="25">
        <v>687</v>
      </c>
      <c r="H255" s="25">
        <v>639.5</v>
      </c>
      <c r="I255" s="33">
        <v>22</v>
      </c>
      <c r="J255" s="25">
        <f>'Форма 2'!I1004</f>
        <v>105167.7</v>
      </c>
      <c r="K255" s="25">
        <v>0</v>
      </c>
      <c r="L255" s="25">
        <v>0</v>
      </c>
      <c r="M255" s="25">
        <v>0</v>
      </c>
      <c r="N255" s="15">
        <f t="shared" si="84"/>
        <v>92358.95</v>
      </c>
      <c r="O255" s="25">
        <v>12808.75</v>
      </c>
      <c r="P255" s="15">
        <f t="shared" si="85"/>
        <v>164.45</v>
      </c>
      <c r="Q255" s="15">
        <f>'Форма 2'!K1004</f>
        <v>250</v>
      </c>
      <c r="R255" s="18">
        <v>2020</v>
      </c>
      <c r="S255" s="153">
        <v>1</v>
      </c>
    </row>
    <row r="256" spans="1:19" s="156" customFormat="1" ht="15.75" customHeight="1" x14ac:dyDescent="0.25">
      <c r="A256" s="22">
        <f t="shared" si="83"/>
        <v>12</v>
      </c>
      <c r="B256" s="22">
        <v>5493</v>
      </c>
      <c r="C256" s="150" t="s">
        <v>428</v>
      </c>
      <c r="D256" s="137">
        <v>1964</v>
      </c>
      <c r="E256" s="137" t="s">
        <v>68</v>
      </c>
      <c r="F256" s="137" t="s">
        <v>81</v>
      </c>
      <c r="G256" s="25">
        <v>1610.4</v>
      </c>
      <c r="H256" s="15">
        <v>1503.6</v>
      </c>
      <c r="I256" s="26">
        <v>48</v>
      </c>
      <c r="J256" s="15">
        <f>'Форма 2'!I1006</f>
        <v>150488.22</v>
      </c>
      <c r="K256" s="15">
        <v>0</v>
      </c>
      <c r="L256" s="15">
        <v>0</v>
      </c>
      <c r="M256" s="15">
        <v>0</v>
      </c>
      <c r="N256" s="15">
        <f t="shared" si="84"/>
        <v>121335.86</v>
      </c>
      <c r="O256" s="15">
        <v>29152.36</v>
      </c>
      <c r="P256" s="15">
        <f t="shared" si="85"/>
        <v>100.09</v>
      </c>
      <c r="Q256" s="15">
        <f>'Форма 2'!K1006</f>
        <v>242</v>
      </c>
      <c r="R256" s="18">
        <v>2020</v>
      </c>
      <c r="S256" s="10">
        <v>1</v>
      </c>
    </row>
    <row r="257" spans="1:19" s="156" customFormat="1" ht="15.75" customHeight="1" x14ac:dyDescent="0.25">
      <c r="A257" s="22">
        <f t="shared" si="83"/>
        <v>13</v>
      </c>
      <c r="B257" s="137">
        <v>5494</v>
      </c>
      <c r="C257" s="157" t="s">
        <v>516</v>
      </c>
      <c r="D257" s="22">
        <v>1966</v>
      </c>
      <c r="E257" s="22" t="s">
        <v>68</v>
      </c>
      <c r="F257" s="22" t="s">
        <v>81</v>
      </c>
      <c r="G257" s="25">
        <v>1580.9</v>
      </c>
      <c r="H257" s="25">
        <v>1504.3</v>
      </c>
      <c r="I257" s="33">
        <v>56</v>
      </c>
      <c r="J257" s="25">
        <f>'Форма 2'!I1008</f>
        <v>148948.17000000001</v>
      </c>
      <c r="K257" s="25">
        <v>0</v>
      </c>
      <c r="L257" s="25">
        <v>0</v>
      </c>
      <c r="M257" s="25">
        <v>0</v>
      </c>
      <c r="N257" s="15">
        <f t="shared" si="84"/>
        <v>119782.24</v>
      </c>
      <c r="O257" s="25">
        <v>29165.93</v>
      </c>
      <c r="P257" s="15">
        <f t="shared" si="85"/>
        <v>99.01</v>
      </c>
      <c r="Q257" s="15">
        <f>'Форма 2'!K1008</f>
        <v>242</v>
      </c>
      <c r="R257" s="18">
        <v>2020</v>
      </c>
      <c r="S257" s="153">
        <v>1</v>
      </c>
    </row>
    <row r="258" spans="1:19" s="156" customFormat="1" ht="15.75" customHeight="1" x14ac:dyDescent="0.25">
      <c r="A258" s="22">
        <f t="shared" si="83"/>
        <v>14</v>
      </c>
      <c r="B258" s="22">
        <v>5482</v>
      </c>
      <c r="C258" s="150" t="s">
        <v>429</v>
      </c>
      <c r="D258" s="137">
        <v>1960</v>
      </c>
      <c r="E258" s="137" t="s">
        <v>68</v>
      </c>
      <c r="F258" s="137" t="s">
        <v>81</v>
      </c>
      <c r="G258" s="25">
        <v>354.3</v>
      </c>
      <c r="H258" s="15">
        <v>323.60000000000002</v>
      </c>
      <c r="I258" s="29">
        <v>10</v>
      </c>
      <c r="J258" s="15">
        <f>'Форма 2'!I1010</f>
        <v>63116.7</v>
      </c>
      <c r="K258" s="15">
        <v>0</v>
      </c>
      <c r="L258" s="15">
        <v>0</v>
      </c>
      <c r="M258" s="15">
        <v>0</v>
      </c>
      <c r="N258" s="15">
        <f t="shared" si="84"/>
        <v>56401.88</v>
      </c>
      <c r="O258" s="15">
        <v>6714.82</v>
      </c>
      <c r="P258" s="15">
        <f t="shared" si="85"/>
        <v>195.05</v>
      </c>
      <c r="Q258" s="15">
        <f>'Форма 2'!K1010</f>
        <v>259</v>
      </c>
      <c r="R258" s="18">
        <v>2020</v>
      </c>
      <c r="S258" s="10">
        <v>1</v>
      </c>
    </row>
    <row r="259" spans="1:19" s="156" customFormat="1" ht="15.75" customHeight="1" x14ac:dyDescent="0.25">
      <c r="A259" s="22">
        <f t="shared" si="83"/>
        <v>15</v>
      </c>
      <c r="B259" s="27">
        <v>5485</v>
      </c>
      <c r="C259" s="150" t="s">
        <v>523</v>
      </c>
      <c r="D259" s="22">
        <v>1961</v>
      </c>
      <c r="E259" s="137" t="s">
        <v>232</v>
      </c>
      <c r="F259" s="137" t="s">
        <v>81</v>
      </c>
      <c r="G259" s="25">
        <v>429.1</v>
      </c>
      <c r="H259" s="15">
        <v>394.2</v>
      </c>
      <c r="I259" s="30">
        <v>16</v>
      </c>
      <c r="J259" s="15">
        <f>'Форма 2'!I1012</f>
        <v>18133.2</v>
      </c>
      <c r="K259" s="15">
        <v>0</v>
      </c>
      <c r="L259" s="15">
        <v>0</v>
      </c>
      <c r="M259" s="15">
        <v>0</v>
      </c>
      <c r="N259" s="15">
        <f t="shared" si="84"/>
        <v>16680.419999999998</v>
      </c>
      <c r="O259" s="15">
        <v>1452.78</v>
      </c>
      <c r="P259" s="15">
        <f t="shared" si="85"/>
        <v>46</v>
      </c>
      <c r="Q259" s="15">
        <f>'Форма 2'!K1012</f>
        <v>46</v>
      </c>
      <c r="R259" s="18">
        <v>2020</v>
      </c>
      <c r="S259" s="153">
        <v>1</v>
      </c>
    </row>
    <row r="260" spans="1:19" s="156" customFormat="1" ht="15.75" customHeight="1" x14ac:dyDescent="0.25">
      <c r="A260" s="22">
        <f t="shared" si="83"/>
        <v>16</v>
      </c>
      <c r="B260" s="27">
        <v>5486</v>
      </c>
      <c r="C260" s="150" t="s">
        <v>524</v>
      </c>
      <c r="D260" s="22">
        <v>1961</v>
      </c>
      <c r="E260" s="137" t="s">
        <v>232</v>
      </c>
      <c r="F260" s="137" t="s">
        <v>81</v>
      </c>
      <c r="G260" s="25">
        <v>432.2</v>
      </c>
      <c r="H260" s="15">
        <v>398.4</v>
      </c>
      <c r="I260" s="30">
        <v>13</v>
      </c>
      <c r="J260" s="15">
        <f>'Форма 2'!I1014</f>
        <v>18326.400000000001</v>
      </c>
      <c r="K260" s="15">
        <v>0</v>
      </c>
      <c r="L260" s="15">
        <v>0</v>
      </c>
      <c r="M260" s="15">
        <v>0</v>
      </c>
      <c r="N260" s="15">
        <f t="shared" si="84"/>
        <v>16858.14</v>
      </c>
      <c r="O260" s="15">
        <v>1468.26</v>
      </c>
      <c r="P260" s="15">
        <f t="shared" si="85"/>
        <v>46</v>
      </c>
      <c r="Q260" s="15">
        <f>'Форма 2'!K1014</f>
        <v>46</v>
      </c>
      <c r="R260" s="18">
        <v>2020</v>
      </c>
      <c r="S260" s="153">
        <v>1</v>
      </c>
    </row>
    <row r="261" spans="1:19" s="156" customFormat="1" ht="15.75" customHeight="1" x14ac:dyDescent="0.25">
      <c r="A261" s="22">
        <f t="shared" si="83"/>
        <v>17</v>
      </c>
      <c r="B261" s="27">
        <v>5545</v>
      </c>
      <c r="C261" s="150" t="s">
        <v>513</v>
      </c>
      <c r="D261" s="22">
        <v>1965</v>
      </c>
      <c r="E261" s="137" t="s">
        <v>68</v>
      </c>
      <c r="F261" s="137" t="s">
        <v>81</v>
      </c>
      <c r="G261" s="25">
        <v>401.2</v>
      </c>
      <c r="H261" s="15">
        <v>356.8</v>
      </c>
      <c r="I261" s="30">
        <v>24</v>
      </c>
      <c r="J261" s="15">
        <f>'Форма 2'!I1016</f>
        <v>69872.460000000006</v>
      </c>
      <c r="K261" s="15">
        <v>0</v>
      </c>
      <c r="L261" s="15">
        <v>0</v>
      </c>
      <c r="M261" s="15">
        <v>0</v>
      </c>
      <c r="N261" s="15">
        <f t="shared" si="84"/>
        <v>62726</v>
      </c>
      <c r="O261" s="15">
        <v>7146.46</v>
      </c>
      <c r="P261" s="15">
        <f t="shared" si="85"/>
        <v>195.83</v>
      </c>
      <c r="Q261" s="15">
        <f>'Форма 2'!K1016</f>
        <v>250</v>
      </c>
      <c r="R261" s="18">
        <v>2020</v>
      </c>
      <c r="S261" s="153">
        <v>1</v>
      </c>
    </row>
    <row r="262" spans="1:19" s="156" customFormat="1" ht="15.75" customHeight="1" x14ac:dyDescent="0.25">
      <c r="A262" s="22">
        <f t="shared" si="83"/>
        <v>18</v>
      </c>
      <c r="B262" s="27">
        <v>5820</v>
      </c>
      <c r="C262" s="150" t="s">
        <v>160</v>
      </c>
      <c r="D262" s="137">
        <v>1958</v>
      </c>
      <c r="E262" s="137" t="s">
        <v>68</v>
      </c>
      <c r="F262" s="137" t="s">
        <v>82</v>
      </c>
      <c r="G262" s="25">
        <v>440.5</v>
      </c>
      <c r="H262" s="15">
        <v>409.2</v>
      </c>
      <c r="I262" s="31">
        <v>19</v>
      </c>
      <c r="J262" s="15">
        <f>'Форма 2'!I1018</f>
        <v>2808351.01</v>
      </c>
      <c r="K262" s="15">
        <v>0</v>
      </c>
      <c r="L262" s="15">
        <v>0</v>
      </c>
      <c r="M262" s="15">
        <v>0</v>
      </c>
      <c r="N262" s="15">
        <f t="shared" si="84"/>
        <v>2579534.88</v>
      </c>
      <c r="O262" s="15">
        <v>228816.13</v>
      </c>
      <c r="P262" s="15">
        <f t="shared" si="85"/>
        <v>6863.03</v>
      </c>
      <c r="Q262" s="15">
        <f>'Форма 2'!K1018</f>
        <v>8203</v>
      </c>
      <c r="R262" s="18">
        <v>2020</v>
      </c>
      <c r="S262" s="10">
        <v>1</v>
      </c>
    </row>
    <row r="263" spans="1:19" s="156" customFormat="1" ht="15.75" customHeight="1" x14ac:dyDescent="0.25">
      <c r="A263" s="22">
        <f t="shared" si="83"/>
        <v>19</v>
      </c>
      <c r="B263" s="22">
        <v>5799</v>
      </c>
      <c r="C263" s="150" t="s">
        <v>515</v>
      </c>
      <c r="D263" s="22">
        <v>1965</v>
      </c>
      <c r="E263" s="137" t="s">
        <v>68</v>
      </c>
      <c r="F263" s="137" t="s">
        <v>81</v>
      </c>
      <c r="G263" s="25">
        <v>399.1</v>
      </c>
      <c r="H263" s="15">
        <v>352.4</v>
      </c>
      <c r="I263" s="28">
        <v>14</v>
      </c>
      <c r="J263" s="15">
        <f>'Форма 2'!I1021</f>
        <v>67789.600000000006</v>
      </c>
      <c r="K263" s="15">
        <v>0</v>
      </c>
      <c r="L263" s="15">
        <v>0</v>
      </c>
      <c r="M263" s="15">
        <v>0</v>
      </c>
      <c r="N263" s="15">
        <f t="shared" si="84"/>
        <v>60731.27</v>
      </c>
      <c r="O263" s="15">
        <v>7058.33</v>
      </c>
      <c r="P263" s="15">
        <f t="shared" si="85"/>
        <v>192.37</v>
      </c>
      <c r="Q263" s="15">
        <f>'Форма 2'!K1021</f>
        <v>250</v>
      </c>
      <c r="R263" s="18">
        <v>2020</v>
      </c>
      <c r="S263" s="153">
        <v>1</v>
      </c>
    </row>
    <row r="264" spans="1:19" s="41" customFormat="1" ht="15.75" customHeight="1" x14ac:dyDescent="0.25">
      <c r="A264" s="175" t="s">
        <v>36</v>
      </c>
      <c r="B264" s="175"/>
      <c r="C264" s="175"/>
      <c r="D264" s="5" t="s">
        <v>13</v>
      </c>
      <c r="E264" s="15" t="s">
        <v>13</v>
      </c>
      <c r="F264" s="15" t="s">
        <v>13</v>
      </c>
      <c r="G264" s="15">
        <f>SUM(G265:G270)</f>
        <v>4318.8999999999996</v>
      </c>
      <c r="H264" s="15">
        <f t="shared" ref="H264:O264" si="86">SUM(H265:H270)</f>
        <v>3471.2</v>
      </c>
      <c r="I264" s="10">
        <f t="shared" si="86"/>
        <v>139</v>
      </c>
      <c r="J264" s="15">
        <f t="shared" si="86"/>
        <v>3741627.03</v>
      </c>
      <c r="K264" s="15">
        <f t="shared" si="86"/>
        <v>0</v>
      </c>
      <c r="L264" s="15">
        <f t="shared" si="86"/>
        <v>0</v>
      </c>
      <c r="M264" s="15">
        <f t="shared" si="86"/>
        <v>0</v>
      </c>
      <c r="N264" s="15">
        <f t="shared" si="86"/>
        <v>3684288.65</v>
      </c>
      <c r="O264" s="15">
        <f t="shared" si="86"/>
        <v>57338.38</v>
      </c>
      <c r="P264" s="15" t="s">
        <v>13</v>
      </c>
      <c r="Q264" s="15" t="s">
        <v>13</v>
      </c>
      <c r="R264" s="15" t="s">
        <v>13</v>
      </c>
      <c r="S264" s="10" t="s">
        <v>13</v>
      </c>
    </row>
    <row r="265" spans="1:19" x14ac:dyDescent="0.25">
      <c r="A265" s="123">
        <v>1</v>
      </c>
      <c r="B265" s="141">
        <v>4901</v>
      </c>
      <c r="C265" s="151" t="s">
        <v>297</v>
      </c>
      <c r="D265" s="141">
        <v>1970</v>
      </c>
      <c r="E265" s="141" t="s">
        <v>232</v>
      </c>
      <c r="F265" s="141" t="s">
        <v>81</v>
      </c>
      <c r="G265" s="15">
        <v>369.2</v>
      </c>
      <c r="H265" s="15">
        <v>331.3</v>
      </c>
      <c r="I265" s="33">
        <v>14</v>
      </c>
      <c r="J265" s="25">
        <f>'Форма 2'!I1024</f>
        <v>14618.61</v>
      </c>
      <c r="K265" s="25">
        <f>K266</f>
        <v>0</v>
      </c>
      <c r="L265" s="25">
        <f>L266</f>
        <v>0</v>
      </c>
      <c r="M265" s="25">
        <f>M266</f>
        <v>0</v>
      </c>
      <c r="N265" s="15">
        <f t="shared" ref="N265:N270" si="87">J265-O265</f>
        <v>14618.61</v>
      </c>
      <c r="O265" s="25">
        <v>0</v>
      </c>
      <c r="P265" s="25">
        <f t="shared" ref="P265:P270" si="88">J265/H265</f>
        <v>44.12</v>
      </c>
      <c r="Q265" s="25">
        <f>'Форма 2'!K1024</f>
        <v>46</v>
      </c>
      <c r="R265" s="353" t="s">
        <v>290</v>
      </c>
      <c r="S265" s="10">
        <v>1</v>
      </c>
    </row>
    <row r="266" spans="1:19" ht="15.75" customHeight="1" x14ac:dyDescent="0.25">
      <c r="A266" s="22">
        <f>A265+1</f>
        <v>2</v>
      </c>
      <c r="B266" s="22">
        <v>4905</v>
      </c>
      <c r="C266" s="151" t="s">
        <v>298</v>
      </c>
      <c r="D266" s="141">
        <v>1974</v>
      </c>
      <c r="E266" s="141" t="s">
        <v>230</v>
      </c>
      <c r="F266" s="141" t="s">
        <v>81</v>
      </c>
      <c r="G266" s="15">
        <v>1572</v>
      </c>
      <c r="H266" s="15">
        <v>1060.7</v>
      </c>
      <c r="I266" s="32">
        <v>36</v>
      </c>
      <c r="J266" s="15">
        <f>'Форма 2'!I1026</f>
        <v>157934.84</v>
      </c>
      <c r="K266" s="15">
        <v>0</v>
      </c>
      <c r="L266" s="15">
        <v>0</v>
      </c>
      <c r="M266" s="15">
        <v>0</v>
      </c>
      <c r="N266" s="15">
        <f t="shared" si="87"/>
        <v>157934.84</v>
      </c>
      <c r="O266" s="15">
        <v>0</v>
      </c>
      <c r="P266" s="15">
        <f t="shared" si="88"/>
        <v>148.9</v>
      </c>
      <c r="Q266" s="15">
        <f>'Форма 2'!K1026</f>
        <v>180</v>
      </c>
      <c r="R266" s="353" t="s">
        <v>290</v>
      </c>
      <c r="S266" s="10">
        <v>1</v>
      </c>
    </row>
    <row r="267" spans="1:19" s="41" customFormat="1" ht="15.75" customHeight="1" x14ac:dyDescent="0.25">
      <c r="A267" s="22">
        <f>A266+1</f>
        <v>3</v>
      </c>
      <c r="B267" s="141">
        <v>4915</v>
      </c>
      <c r="C267" s="151" t="s">
        <v>267</v>
      </c>
      <c r="D267" s="141">
        <v>1973</v>
      </c>
      <c r="E267" s="141" t="s">
        <v>462</v>
      </c>
      <c r="F267" s="141" t="s">
        <v>82</v>
      </c>
      <c r="G267" s="15">
        <v>771.3</v>
      </c>
      <c r="H267" s="15">
        <v>713.5</v>
      </c>
      <c r="I267" s="33">
        <v>27</v>
      </c>
      <c r="J267" s="25">
        <f>'Форма 2'!I1029</f>
        <v>715138.9</v>
      </c>
      <c r="K267" s="25">
        <f>K276</f>
        <v>0</v>
      </c>
      <c r="L267" s="25">
        <f>L276</f>
        <v>0</v>
      </c>
      <c r="M267" s="25">
        <f>M276</f>
        <v>0</v>
      </c>
      <c r="N267" s="15">
        <f t="shared" si="87"/>
        <v>706266.22</v>
      </c>
      <c r="O267" s="25">
        <v>8872.68</v>
      </c>
      <c r="P267" s="25">
        <f t="shared" si="88"/>
        <v>1002.3</v>
      </c>
      <c r="Q267" s="25">
        <f>'Форма 2'!K1029</f>
        <v>1169</v>
      </c>
      <c r="R267" s="356" t="s">
        <v>290</v>
      </c>
      <c r="S267" s="10">
        <v>1</v>
      </c>
    </row>
    <row r="268" spans="1:19" s="41" customFormat="1" ht="15.75" customHeight="1" x14ac:dyDescent="0.25">
      <c r="A268" s="8">
        <f t="shared" ref="A268:A269" si="89">A267+1</f>
        <v>4</v>
      </c>
      <c r="B268" s="8">
        <v>4916</v>
      </c>
      <c r="C268" s="142" t="s">
        <v>268</v>
      </c>
      <c r="D268" s="134">
        <v>1966</v>
      </c>
      <c r="E268" s="126" t="s">
        <v>230</v>
      </c>
      <c r="F268" s="126" t="s">
        <v>82</v>
      </c>
      <c r="G268" s="25">
        <v>440.9</v>
      </c>
      <c r="H268" s="25">
        <v>338.2</v>
      </c>
      <c r="I268" s="33">
        <v>25</v>
      </c>
      <c r="J268" s="25">
        <f>'Форма 2'!I1034</f>
        <v>984861.49</v>
      </c>
      <c r="K268" s="25">
        <v>0</v>
      </c>
      <c r="L268" s="25">
        <v>0</v>
      </c>
      <c r="M268" s="25">
        <v>0</v>
      </c>
      <c r="N268" s="15">
        <f t="shared" si="87"/>
        <v>971690.46</v>
      </c>
      <c r="O268" s="25">
        <v>13171.03</v>
      </c>
      <c r="P268" s="25">
        <f t="shared" si="88"/>
        <v>2912.07</v>
      </c>
      <c r="Q268" s="25">
        <f>'Форма 2'!K1034</f>
        <v>3661</v>
      </c>
      <c r="R268" s="351" t="s">
        <v>290</v>
      </c>
      <c r="S268" s="10">
        <v>1</v>
      </c>
    </row>
    <row r="269" spans="1:19" s="41" customFormat="1" ht="15.75" customHeight="1" x14ac:dyDescent="0.25">
      <c r="A269" s="8">
        <f t="shared" si="89"/>
        <v>5</v>
      </c>
      <c r="B269" s="8">
        <v>4918</v>
      </c>
      <c r="C269" s="142" t="s">
        <v>269</v>
      </c>
      <c r="D269" s="134">
        <v>1970</v>
      </c>
      <c r="E269" s="141" t="s">
        <v>89</v>
      </c>
      <c r="F269" s="126" t="s">
        <v>82</v>
      </c>
      <c r="G269" s="25">
        <v>403.4</v>
      </c>
      <c r="H269" s="25">
        <v>324.2</v>
      </c>
      <c r="I269" s="33">
        <v>11</v>
      </c>
      <c r="J269" s="25">
        <f>'Форма 2'!I1039</f>
        <v>723574.06</v>
      </c>
      <c r="K269" s="25">
        <v>0</v>
      </c>
      <c r="L269" s="25">
        <v>0</v>
      </c>
      <c r="M269" s="25">
        <v>0</v>
      </c>
      <c r="N269" s="15">
        <f t="shared" si="87"/>
        <v>710948.25</v>
      </c>
      <c r="O269" s="25">
        <v>12625.81</v>
      </c>
      <c r="P269" s="25">
        <f t="shared" si="88"/>
        <v>2231.88</v>
      </c>
      <c r="Q269" s="25">
        <f>'Форма 2'!K1039</f>
        <v>3030</v>
      </c>
      <c r="R269" s="351" t="s">
        <v>290</v>
      </c>
      <c r="S269" s="10">
        <v>1</v>
      </c>
    </row>
    <row r="270" spans="1:19" ht="15.75" customHeight="1" x14ac:dyDescent="0.25">
      <c r="A270" s="22">
        <f>A269+1</f>
        <v>6</v>
      </c>
      <c r="B270" s="22">
        <v>4927</v>
      </c>
      <c r="C270" s="142" t="s">
        <v>270</v>
      </c>
      <c r="D270" s="134">
        <v>1973</v>
      </c>
      <c r="E270" s="141" t="s">
        <v>89</v>
      </c>
      <c r="F270" s="134" t="s">
        <v>82</v>
      </c>
      <c r="G270" s="15">
        <v>762.1</v>
      </c>
      <c r="H270" s="15">
        <v>703.3</v>
      </c>
      <c r="I270" s="138">
        <v>26</v>
      </c>
      <c r="J270" s="25">
        <f>'Форма 2'!I1042</f>
        <v>1145499.1299999999</v>
      </c>
      <c r="K270" s="15">
        <v>0</v>
      </c>
      <c r="L270" s="15">
        <v>0</v>
      </c>
      <c r="M270" s="15">
        <v>0</v>
      </c>
      <c r="N270" s="25">
        <f t="shared" si="87"/>
        <v>1122830.27</v>
      </c>
      <c r="O270" s="25">
        <v>22668.86</v>
      </c>
      <c r="P270" s="25">
        <f t="shared" si="88"/>
        <v>1628.75</v>
      </c>
      <c r="Q270" s="25">
        <f>'Форма 2'!K1042</f>
        <v>3030</v>
      </c>
      <c r="R270" s="353" t="s">
        <v>290</v>
      </c>
      <c r="S270" s="10">
        <v>1</v>
      </c>
    </row>
    <row r="271" spans="1:19" s="41" customFormat="1" ht="15.75" customHeight="1" x14ac:dyDescent="0.25">
      <c r="A271" s="175" t="s">
        <v>48</v>
      </c>
      <c r="B271" s="175"/>
      <c r="C271" s="175"/>
      <c r="D271" s="5" t="s">
        <v>13</v>
      </c>
      <c r="E271" s="15" t="s">
        <v>13</v>
      </c>
      <c r="F271" s="15" t="s">
        <v>13</v>
      </c>
      <c r="G271" s="15">
        <f>SUM(G272:G274)</f>
        <v>1116.29</v>
      </c>
      <c r="H271" s="15">
        <f t="shared" ref="H271:O271" si="90">SUM(H272:H274)</f>
        <v>992.5</v>
      </c>
      <c r="I271" s="10">
        <f t="shared" si="90"/>
        <v>43</v>
      </c>
      <c r="J271" s="15">
        <f t="shared" si="90"/>
        <v>2894551.75</v>
      </c>
      <c r="K271" s="15">
        <f t="shared" si="90"/>
        <v>0</v>
      </c>
      <c r="L271" s="15">
        <f t="shared" si="90"/>
        <v>0</v>
      </c>
      <c r="M271" s="15">
        <f t="shared" si="90"/>
        <v>0</v>
      </c>
      <c r="N271" s="15">
        <f t="shared" si="90"/>
        <v>2832888.03</v>
      </c>
      <c r="O271" s="15">
        <f t="shared" si="90"/>
        <v>61663.72</v>
      </c>
      <c r="P271" s="15" t="s">
        <v>13</v>
      </c>
      <c r="Q271" s="15" t="s">
        <v>13</v>
      </c>
      <c r="R271" s="15" t="s">
        <v>13</v>
      </c>
      <c r="S271" s="10" t="s">
        <v>13</v>
      </c>
    </row>
    <row r="272" spans="1:19" s="41" customFormat="1" ht="15.75" customHeight="1" x14ac:dyDescent="0.25">
      <c r="A272" s="123">
        <v>1</v>
      </c>
      <c r="B272" s="34">
        <v>6786</v>
      </c>
      <c r="C272" s="35" t="s">
        <v>301</v>
      </c>
      <c r="D272" s="141">
        <v>1966</v>
      </c>
      <c r="E272" s="141" t="s">
        <v>230</v>
      </c>
      <c r="F272" s="141" t="s">
        <v>81</v>
      </c>
      <c r="G272" s="23">
        <v>240.45</v>
      </c>
      <c r="H272" s="15">
        <v>229</v>
      </c>
      <c r="I272" s="32">
        <v>14</v>
      </c>
      <c r="J272" s="15">
        <f>'Форма 2'!I1046</f>
        <v>75386.8</v>
      </c>
      <c r="K272" s="15">
        <v>0</v>
      </c>
      <c r="L272" s="15">
        <v>0</v>
      </c>
      <c r="M272" s="15">
        <v>0</v>
      </c>
      <c r="N272" s="15">
        <f>J272-L272-M272-O272</f>
        <v>73799.88</v>
      </c>
      <c r="O272" s="15">
        <v>1586.92</v>
      </c>
      <c r="P272" s="15">
        <f>J272/H272</f>
        <v>329.2</v>
      </c>
      <c r="Q272" s="15">
        <f>'Форма 2'!K1046</f>
        <v>340</v>
      </c>
      <c r="R272" s="18">
        <v>2020</v>
      </c>
      <c r="S272" s="153">
        <v>1</v>
      </c>
    </row>
    <row r="273" spans="1:19" s="41" customFormat="1" ht="15.75" customHeight="1" x14ac:dyDescent="0.25">
      <c r="A273" s="20">
        <f t="shared" ref="A273:A274" si="91">A272+1</f>
        <v>2</v>
      </c>
      <c r="B273" s="8">
        <v>6789</v>
      </c>
      <c r="C273" s="142" t="s">
        <v>261</v>
      </c>
      <c r="D273" s="134">
        <v>1958</v>
      </c>
      <c r="E273" s="134" t="s">
        <v>68</v>
      </c>
      <c r="F273" s="141" t="s">
        <v>82</v>
      </c>
      <c r="G273" s="354">
        <v>512.54</v>
      </c>
      <c r="H273" s="15">
        <v>417.5</v>
      </c>
      <c r="I273" s="138">
        <v>17</v>
      </c>
      <c r="J273" s="15">
        <f>'Форма 2'!I1049</f>
        <v>2754808.95</v>
      </c>
      <c r="K273" s="15">
        <f>K274</f>
        <v>0</v>
      </c>
      <c r="L273" s="15">
        <f>L274</f>
        <v>0</v>
      </c>
      <c r="M273" s="15">
        <f>M274</f>
        <v>0</v>
      </c>
      <c r="N273" s="15">
        <f>J273-L273-M273-O273</f>
        <v>2696043.84</v>
      </c>
      <c r="O273" s="15">
        <v>58765.11</v>
      </c>
      <c r="P273" s="15">
        <f>J273/H273</f>
        <v>6598.34</v>
      </c>
      <c r="Q273" s="15">
        <f>'Форма 2'!K1049</f>
        <v>8203</v>
      </c>
      <c r="R273" s="353">
        <v>2020</v>
      </c>
      <c r="S273" s="10">
        <v>1</v>
      </c>
    </row>
    <row r="274" spans="1:19" s="41" customFormat="1" ht="15.75" customHeight="1" x14ac:dyDescent="0.25">
      <c r="A274" s="20">
        <f t="shared" si="91"/>
        <v>3</v>
      </c>
      <c r="B274" s="8">
        <v>6770</v>
      </c>
      <c r="C274" s="142" t="s">
        <v>300</v>
      </c>
      <c r="D274" s="134">
        <v>1965</v>
      </c>
      <c r="E274" s="134" t="s">
        <v>230</v>
      </c>
      <c r="F274" s="134" t="s">
        <v>81</v>
      </c>
      <c r="G274" s="354">
        <v>363.3</v>
      </c>
      <c r="H274" s="15">
        <v>346</v>
      </c>
      <c r="I274" s="138">
        <v>12</v>
      </c>
      <c r="J274" s="15">
        <f>'Форма 2'!I1052</f>
        <v>64356</v>
      </c>
      <c r="K274" s="15">
        <v>0</v>
      </c>
      <c r="L274" s="15">
        <v>0</v>
      </c>
      <c r="M274" s="15">
        <v>0</v>
      </c>
      <c r="N274" s="25">
        <f>J274-O274</f>
        <v>63044.31</v>
      </c>
      <c r="O274" s="15">
        <v>1311.69</v>
      </c>
      <c r="P274" s="15">
        <f>J274/H274</f>
        <v>186</v>
      </c>
      <c r="Q274" s="15">
        <f>'Форма 2'!K1052</f>
        <v>186</v>
      </c>
      <c r="R274" s="353">
        <v>2020</v>
      </c>
      <c r="S274" s="10">
        <v>1</v>
      </c>
    </row>
    <row r="275" spans="1:19" s="41" customFormat="1" ht="15.75" customHeight="1" x14ac:dyDescent="0.25">
      <c r="A275" s="175" t="s">
        <v>38</v>
      </c>
      <c r="B275" s="175"/>
      <c r="C275" s="175"/>
      <c r="D275" s="5" t="s">
        <v>13</v>
      </c>
      <c r="E275" s="15" t="s">
        <v>13</v>
      </c>
      <c r="F275" s="15" t="s">
        <v>13</v>
      </c>
      <c r="G275" s="15">
        <f>SUM(G276:G279)</f>
        <v>2585.81</v>
      </c>
      <c r="H275" s="15">
        <f t="shared" ref="H275:O275" si="92">SUM(H276:H279)</f>
        <v>2363.61</v>
      </c>
      <c r="I275" s="10">
        <f t="shared" si="92"/>
        <v>50</v>
      </c>
      <c r="J275" s="15">
        <f t="shared" si="92"/>
        <v>3653781.46</v>
      </c>
      <c r="K275" s="15">
        <f t="shared" si="92"/>
        <v>0</v>
      </c>
      <c r="L275" s="15">
        <f t="shared" si="92"/>
        <v>0</v>
      </c>
      <c r="M275" s="15">
        <f t="shared" si="92"/>
        <v>0</v>
      </c>
      <c r="N275" s="15">
        <f t="shared" si="92"/>
        <v>3582475.68</v>
      </c>
      <c r="O275" s="15">
        <f t="shared" si="92"/>
        <v>71305.78</v>
      </c>
      <c r="P275" s="15" t="s">
        <v>13</v>
      </c>
      <c r="Q275" s="15" t="s">
        <v>13</v>
      </c>
      <c r="R275" s="15" t="s">
        <v>13</v>
      </c>
      <c r="S275" s="10" t="s">
        <v>13</v>
      </c>
    </row>
    <row r="276" spans="1:19" s="41" customFormat="1" ht="15.75" customHeight="1" x14ac:dyDescent="0.25">
      <c r="A276" s="20">
        <v>1</v>
      </c>
      <c r="B276" s="20">
        <v>4965</v>
      </c>
      <c r="C276" s="150" t="s">
        <v>276</v>
      </c>
      <c r="D276" s="137">
        <v>1966</v>
      </c>
      <c r="E276" s="22" t="s">
        <v>112</v>
      </c>
      <c r="F276" s="22" t="s">
        <v>82</v>
      </c>
      <c r="G276" s="25">
        <v>548.21</v>
      </c>
      <c r="H276" s="25">
        <v>487.81</v>
      </c>
      <c r="I276" s="33">
        <v>10</v>
      </c>
      <c r="J276" s="25">
        <f>'Форма 2'!I1056</f>
        <v>1307444.52</v>
      </c>
      <c r="K276" s="25">
        <v>0</v>
      </c>
      <c r="L276" s="25">
        <v>0</v>
      </c>
      <c r="M276" s="25">
        <v>0</v>
      </c>
      <c r="N276" s="25">
        <f>J276-K276-L276-M276-O276</f>
        <v>1282789.6200000001</v>
      </c>
      <c r="O276" s="25">
        <v>24654.9</v>
      </c>
      <c r="P276" s="15">
        <f>J276/H276</f>
        <v>2680.23</v>
      </c>
      <c r="Q276" s="25">
        <f>'Форма 2'!K1056</f>
        <v>2977</v>
      </c>
      <c r="R276" s="351">
        <v>2020</v>
      </c>
      <c r="S276" s="10">
        <v>1</v>
      </c>
    </row>
    <row r="277" spans="1:19" s="41" customFormat="1" ht="15.75" customHeight="1" x14ac:dyDescent="0.25">
      <c r="A277" s="113">
        <v>2</v>
      </c>
      <c r="B277" s="36">
        <v>4971</v>
      </c>
      <c r="C277" s="157" t="s">
        <v>525</v>
      </c>
      <c r="D277" s="22">
        <v>1967</v>
      </c>
      <c r="E277" s="22" t="s">
        <v>112</v>
      </c>
      <c r="F277" s="22" t="s">
        <v>114</v>
      </c>
      <c r="G277" s="25">
        <v>685.5</v>
      </c>
      <c r="H277" s="25">
        <v>643.9</v>
      </c>
      <c r="I277" s="33">
        <v>10</v>
      </c>
      <c r="J277" s="15">
        <f>'Форма 2'!I1059</f>
        <v>1985772.49</v>
      </c>
      <c r="K277" s="15">
        <v>0</v>
      </c>
      <c r="L277" s="15">
        <v>0</v>
      </c>
      <c r="M277" s="15">
        <v>0</v>
      </c>
      <c r="N277" s="25">
        <f>J277-K277-L277-M277-O277</f>
        <v>1948332.36</v>
      </c>
      <c r="O277" s="15">
        <v>37440.129999999997</v>
      </c>
      <c r="P277" s="15">
        <f>J277/H277</f>
        <v>3083.98</v>
      </c>
      <c r="Q277" s="15">
        <f>'Форма 2'!K1059</f>
        <v>7493</v>
      </c>
      <c r="R277" s="18">
        <v>2020</v>
      </c>
      <c r="S277" s="153">
        <v>1</v>
      </c>
    </row>
    <row r="278" spans="1:19" s="41" customFormat="1" ht="15.75" customHeight="1" x14ac:dyDescent="0.25">
      <c r="A278" s="113">
        <v>3</v>
      </c>
      <c r="B278" s="137">
        <v>4976</v>
      </c>
      <c r="C278" s="157" t="s">
        <v>526</v>
      </c>
      <c r="D278" s="22">
        <v>1971</v>
      </c>
      <c r="E278" s="22" t="s">
        <v>112</v>
      </c>
      <c r="F278" s="22" t="s">
        <v>81</v>
      </c>
      <c r="G278" s="25">
        <v>780.9</v>
      </c>
      <c r="H278" s="25">
        <v>722.4</v>
      </c>
      <c r="I278" s="33">
        <v>17</v>
      </c>
      <c r="J278" s="25">
        <f>'Форма 2'!I1064</f>
        <v>186171.85</v>
      </c>
      <c r="K278" s="25">
        <v>0</v>
      </c>
      <c r="L278" s="25">
        <v>0</v>
      </c>
      <c r="M278" s="25">
        <v>0</v>
      </c>
      <c r="N278" s="25">
        <f t="shared" ref="N278:N279" si="93">J278-K278-L278-M278-O278</f>
        <v>181418.38</v>
      </c>
      <c r="O278" s="25">
        <v>4753.47</v>
      </c>
      <c r="P278" s="15">
        <f t="shared" ref="P278:P279" si="94">J278/H278</f>
        <v>257.70999999999998</v>
      </c>
      <c r="Q278" s="15">
        <f>'Форма 2'!K1064</f>
        <v>349</v>
      </c>
      <c r="R278" s="18">
        <v>2020</v>
      </c>
      <c r="S278" s="153">
        <v>1</v>
      </c>
    </row>
    <row r="279" spans="1:19" s="41" customFormat="1" ht="15.75" customHeight="1" x14ac:dyDescent="0.25">
      <c r="A279" s="113">
        <v>4</v>
      </c>
      <c r="B279" s="137">
        <v>4978</v>
      </c>
      <c r="C279" s="157" t="s">
        <v>529</v>
      </c>
      <c r="D279" s="22">
        <v>1974</v>
      </c>
      <c r="E279" s="22" t="s">
        <v>112</v>
      </c>
      <c r="F279" s="22" t="s">
        <v>81</v>
      </c>
      <c r="G279" s="25">
        <v>571.20000000000005</v>
      </c>
      <c r="H279" s="25">
        <v>509.5</v>
      </c>
      <c r="I279" s="33">
        <v>13</v>
      </c>
      <c r="J279" s="25">
        <f>'Форма 2'!I1067</f>
        <v>174392.6</v>
      </c>
      <c r="K279" s="25">
        <v>0</v>
      </c>
      <c r="L279" s="25">
        <v>0</v>
      </c>
      <c r="M279" s="25">
        <v>0</v>
      </c>
      <c r="N279" s="25">
        <f t="shared" si="93"/>
        <v>169935.32</v>
      </c>
      <c r="O279" s="25">
        <v>4457.28</v>
      </c>
      <c r="P279" s="15">
        <f t="shared" si="94"/>
        <v>342.28</v>
      </c>
      <c r="Q279" s="15">
        <f>'Форма 2'!K1067</f>
        <v>464</v>
      </c>
      <c r="R279" s="18">
        <v>2020</v>
      </c>
      <c r="S279" s="153">
        <v>1</v>
      </c>
    </row>
    <row r="280" spans="1:19" s="41" customFormat="1" ht="15.75" customHeight="1" x14ac:dyDescent="0.25">
      <c r="A280" s="180" t="s">
        <v>51</v>
      </c>
      <c r="B280" s="181"/>
      <c r="C280" s="182"/>
      <c r="D280" s="5" t="s">
        <v>13</v>
      </c>
      <c r="E280" s="15" t="s">
        <v>13</v>
      </c>
      <c r="F280" s="15" t="s">
        <v>13</v>
      </c>
      <c r="G280" s="15">
        <f>SUM(G281:G285)</f>
        <v>2217.6999999999998</v>
      </c>
      <c r="H280" s="15">
        <f t="shared" ref="H280:O280" si="95">SUM(H281:H285)</f>
        <v>1810.3</v>
      </c>
      <c r="I280" s="10">
        <f t="shared" si="95"/>
        <v>56</v>
      </c>
      <c r="J280" s="15">
        <f t="shared" si="95"/>
        <v>7641021.3799999999</v>
      </c>
      <c r="K280" s="15">
        <f t="shared" si="95"/>
        <v>0</v>
      </c>
      <c r="L280" s="15">
        <f t="shared" si="95"/>
        <v>0</v>
      </c>
      <c r="M280" s="15">
        <f t="shared" si="95"/>
        <v>0</v>
      </c>
      <c r="N280" s="15">
        <f t="shared" si="95"/>
        <v>7555542.6399999997</v>
      </c>
      <c r="O280" s="15">
        <f t="shared" si="95"/>
        <v>85478.74</v>
      </c>
      <c r="P280" s="15" t="s">
        <v>13</v>
      </c>
      <c r="Q280" s="15" t="s">
        <v>13</v>
      </c>
      <c r="R280" s="15" t="s">
        <v>13</v>
      </c>
      <c r="S280" s="10" t="s">
        <v>13</v>
      </c>
    </row>
    <row r="281" spans="1:19" s="41" customFormat="1" ht="15.75" customHeight="1" x14ac:dyDescent="0.25">
      <c r="A281" s="22">
        <v>1</v>
      </c>
      <c r="B281" s="22">
        <v>7422</v>
      </c>
      <c r="C281" s="150" t="s">
        <v>336</v>
      </c>
      <c r="D281" s="22">
        <v>1976</v>
      </c>
      <c r="E281" s="137" t="s">
        <v>68</v>
      </c>
      <c r="F281" s="137" t="s">
        <v>81</v>
      </c>
      <c r="G281" s="25">
        <v>363.7</v>
      </c>
      <c r="H281" s="15">
        <v>358.5</v>
      </c>
      <c r="I281" s="33">
        <v>16</v>
      </c>
      <c r="J281" s="15">
        <f>'Форма 2'!I1071</f>
        <v>47287.8</v>
      </c>
      <c r="K281" s="15">
        <v>0</v>
      </c>
      <c r="L281" s="15">
        <v>0</v>
      </c>
      <c r="M281" s="15">
        <v>0</v>
      </c>
      <c r="N281" s="15">
        <f>J281-K281-L281-M281-O281</f>
        <v>46348.29</v>
      </c>
      <c r="O281" s="15">
        <v>939.51</v>
      </c>
      <c r="P281" s="15">
        <f>J281/H281</f>
        <v>131.9</v>
      </c>
      <c r="Q281" s="15">
        <f>'Форма 2'!K1071</f>
        <v>247</v>
      </c>
      <c r="R281" s="18">
        <v>2020</v>
      </c>
      <c r="S281" s="10">
        <v>1</v>
      </c>
    </row>
    <row r="282" spans="1:19" s="41" customFormat="1" ht="15.75" customHeight="1" x14ac:dyDescent="0.25">
      <c r="A282" s="20">
        <f>A281+1</f>
        <v>2</v>
      </c>
      <c r="B282" s="20">
        <v>7433</v>
      </c>
      <c r="C282" s="150" t="s">
        <v>335</v>
      </c>
      <c r="D282" s="137">
        <v>1969</v>
      </c>
      <c r="E282" s="22" t="s">
        <v>275</v>
      </c>
      <c r="F282" s="22" t="s">
        <v>385</v>
      </c>
      <c r="G282" s="25">
        <v>460</v>
      </c>
      <c r="H282" s="25">
        <v>358.9</v>
      </c>
      <c r="I282" s="33">
        <v>10</v>
      </c>
      <c r="J282" s="15">
        <f>'Форма 2'!I1073</f>
        <v>294145.15999999997</v>
      </c>
      <c r="K282" s="15">
        <v>0</v>
      </c>
      <c r="L282" s="15">
        <v>0</v>
      </c>
      <c r="M282" s="15">
        <v>0</v>
      </c>
      <c r="N282" s="15">
        <f>J282-K282-L282-M282-O282</f>
        <v>290264.90000000002</v>
      </c>
      <c r="O282" s="15">
        <v>3880.26</v>
      </c>
      <c r="P282" s="15">
        <f>J282/H282</f>
        <v>819.57</v>
      </c>
      <c r="Q282" s="15">
        <f>'Форма 2'!K1073</f>
        <v>1019</v>
      </c>
      <c r="R282" s="351">
        <v>2020</v>
      </c>
      <c r="S282" s="10">
        <v>1</v>
      </c>
    </row>
    <row r="283" spans="1:19" s="41" customFormat="1" ht="15.75" customHeight="1" x14ac:dyDescent="0.25">
      <c r="A283" s="20">
        <f t="shared" ref="A283:A285" si="96">A282+1</f>
        <v>3</v>
      </c>
      <c r="B283" s="20">
        <v>7436</v>
      </c>
      <c r="C283" s="150" t="s">
        <v>272</v>
      </c>
      <c r="D283" s="137">
        <v>1969</v>
      </c>
      <c r="E283" s="22" t="s">
        <v>68</v>
      </c>
      <c r="F283" s="22" t="s">
        <v>385</v>
      </c>
      <c r="G283" s="25">
        <v>467</v>
      </c>
      <c r="H283" s="25">
        <v>360</v>
      </c>
      <c r="I283" s="33">
        <v>10</v>
      </c>
      <c r="J283" s="15">
        <f>'Форма 2'!I1078</f>
        <v>2445227.92</v>
      </c>
      <c r="K283" s="15">
        <v>0</v>
      </c>
      <c r="L283" s="15">
        <v>0</v>
      </c>
      <c r="M283" s="15">
        <v>0</v>
      </c>
      <c r="N283" s="15">
        <f>J283-K283-L283-M283-O283</f>
        <v>2417997.7999999998</v>
      </c>
      <c r="O283" s="15">
        <v>27230.12</v>
      </c>
      <c r="P283" s="15">
        <f>J283/H283</f>
        <v>6792.3</v>
      </c>
      <c r="Q283" s="15">
        <f>'Форма 2'!K1078</f>
        <v>7688</v>
      </c>
      <c r="R283" s="351">
        <v>2020</v>
      </c>
      <c r="S283" s="10">
        <v>1</v>
      </c>
    </row>
    <row r="284" spans="1:19" s="41" customFormat="1" ht="15.75" customHeight="1" x14ac:dyDescent="0.25">
      <c r="A284" s="20">
        <f t="shared" si="96"/>
        <v>4</v>
      </c>
      <c r="B284" s="20">
        <v>7437</v>
      </c>
      <c r="C284" s="150" t="s">
        <v>273</v>
      </c>
      <c r="D284" s="137">
        <v>1969</v>
      </c>
      <c r="E284" s="22" t="s">
        <v>68</v>
      </c>
      <c r="F284" s="22" t="s">
        <v>385</v>
      </c>
      <c r="G284" s="25">
        <v>465</v>
      </c>
      <c r="H284" s="25">
        <v>367.7</v>
      </c>
      <c r="I284" s="33">
        <v>10</v>
      </c>
      <c r="J284" s="15">
        <f>'Форма 2'!I1081</f>
        <v>2455303.73</v>
      </c>
      <c r="K284" s="15">
        <v>0</v>
      </c>
      <c r="L284" s="15">
        <v>0</v>
      </c>
      <c r="M284" s="15">
        <v>0</v>
      </c>
      <c r="N284" s="15">
        <f>J284-K284-L284-M284-O284</f>
        <v>2428401.44</v>
      </c>
      <c r="O284" s="15">
        <v>26902.29</v>
      </c>
      <c r="P284" s="15">
        <f>J284/H284</f>
        <v>6677.46</v>
      </c>
      <c r="Q284" s="15">
        <f>'Форма 2'!K1081</f>
        <v>7688</v>
      </c>
      <c r="R284" s="351">
        <v>2020</v>
      </c>
      <c r="S284" s="10">
        <v>1</v>
      </c>
    </row>
    <row r="285" spans="1:19" s="41" customFormat="1" ht="15.75" customHeight="1" x14ac:dyDescent="0.25">
      <c r="A285" s="20">
        <f t="shared" si="96"/>
        <v>5</v>
      </c>
      <c r="B285" s="20">
        <v>7438</v>
      </c>
      <c r="C285" s="150" t="s">
        <v>274</v>
      </c>
      <c r="D285" s="137">
        <v>1969</v>
      </c>
      <c r="E285" s="22" t="s">
        <v>68</v>
      </c>
      <c r="F285" s="22" t="s">
        <v>385</v>
      </c>
      <c r="G285" s="25">
        <v>462</v>
      </c>
      <c r="H285" s="25">
        <v>365.2</v>
      </c>
      <c r="I285" s="33">
        <v>10</v>
      </c>
      <c r="J285" s="15">
        <f>'Форма 2'!I1084</f>
        <v>2399056.77</v>
      </c>
      <c r="K285" s="15">
        <v>0</v>
      </c>
      <c r="L285" s="15">
        <v>0</v>
      </c>
      <c r="M285" s="15">
        <v>0</v>
      </c>
      <c r="N285" s="15">
        <f>J285-K285-L285-M285-O285</f>
        <v>2372530.21</v>
      </c>
      <c r="O285" s="15">
        <v>26526.560000000001</v>
      </c>
      <c r="P285" s="15">
        <f>J285/H285</f>
        <v>6569.16</v>
      </c>
      <c r="Q285" s="15">
        <f>'Форма 2'!K1084</f>
        <v>7688</v>
      </c>
      <c r="R285" s="351">
        <v>2020</v>
      </c>
      <c r="S285" s="10">
        <v>1</v>
      </c>
    </row>
    <row r="286" spans="1:19" s="41" customFormat="1" ht="15.75" customHeight="1" x14ac:dyDescent="0.25">
      <c r="A286" s="175" t="s">
        <v>49</v>
      </c>
      <c r="B286" s="175"/>
      <c r="C286" s="175"/>
      <c r="D286" s="5" t="s">
        <v>13</v>
      </c>
      <c r="E286" s="15" t="s">
        <v>13</v>
      </c>
      <c r="F286" s="15" t="s">
        <v>13</v>
      </c>
      <c r="G286" s="15">
        <f t="shared" ref="G286:O286" si="97">SUM(G287:G298)</f>
        <v>19581.88</v>
      </c>
      <c r="H286" s="15">
        <f t="shared" si="97"/>
        <v>17332.03</v>
      </c>
      <c r="I286" s="10">
        <f t="shared" si="97"/>
        <v>754</v>
      </c>
      <c r="J286" s="15">
        <f t="shared" si="97"/>
        <v>24884069.199999999</v>
      </c>
      <c r="K286" s="15">
        <f t="shared" si="97"/>
        <v>0</v>
      </c>
      <c r="L286" s="15">
        <f t="shared" si="97"/>
        <v>0</v>
      </c>
      <c r="M286" s="15">
        <f t="shared" si="97"/>
        <v>0</v>
      </c>
      <c r="N286" s="15">
        <f t="shared" si="97"/>
        <v>23954927.920000002</v>
      </c>
      <c r="O286" s="15">
        <f t="shared" si="97"/>
        <v>929141.28</v>
      </c>
      <c r="P286" s="15" t="s">
        <v>13</v>
      </c>
      <c r="Q286" s="15" t="s">
        <v>13</v>
      </c>
      <c r="R286" s="15" t="s">
        <v>13</v>
      </c>
      <c r="S286" s="10" t="s">
        <v>13</v>
      </c>
    </row>
    <row r="287" spans="1:19" s="41" customFormat="1" ht="15.75" customHeight="1" x14ac:dyDescent="0.25">
      <c r="A287" s="21">
        <v>1</v>
      </c>
      <c r="B287" s="8">
        <v>6886</v>
      </c>
      <c r="C287" s="150" t="s">
        <v>305</v>
      </c>
      <c r="D287" s="137">
        <v>1990</v>
      </c>
      <c r="E287" s="22" t="s">
        <v>68</v>
      </c>
      <c r="F287" s="22" t="s">
        <v>82</v>
      </c>
      <c r="G287" s="25">
        <v>4598.5</v>
      </c>
      <c r="H287" s="15">
        <v>4223.5</v>
      </c>
      <c r="I287" s="33">
        <v>181</v>
      </c>
      <c r="J287" s="15">
        <f>'Форма 2'!I1088</f>
        <v>9721378.1600000001</v>
      </c>
      <c r="K287" s="350">
        <v>0</v>
      </c>
      <c r="L287" s="15">
        <v>0</v>
      </c>
      <c r="M287" s="15">
        <v>0</v>
      </c>
      <c r="N287" s="15">
        <f>J287-O287</f>
        <v>9365885.3200000003</v>
      </c>
      <c r="O287" s="15">
        <v>355492.84</v>
      </c>
      <c r="P287" s="15">
        <f>J287/H287</f>
        <v>2301.7399999999998</v>
      </c>
      <c r="Q287" s="15">
        <f>'Форма 2'!K1088</f>
        <v>3878</v>
      </c>
      <c r="R287" s="126">
        <v>2020</v>
      </c>
      <c r="S287" s="10">
        <v>1</v>
      </c>
    </row>
    <row r="288" spans="1:19" s="41" customFormat="1" ht="21.75" customHeight="1" x14ac:dyDescent="0.25">
      <c r="A288" s="22">
        <f>A287+1</f>
        <v>2</v>
      </c>
      <c r="B288" s="145">
        <v>6887</v>
      </c>
      <c r="C288" s="150" t="s">
        <v>309</v>
      </c>
      <c r="D288" s="22">
        <v>1995</v>
      </c>
      <c r="E288" s="22" t="s">
        <v>68</v>
      </c>
      <c r="F288" s="22" t="s">
        <v>82</v>
      </c>
      <c r="G288" s="25">
        <v>1641</v>
      </c>
      <c r="H288" s="15">
        <v>1423</v>
      </c>
      <c r="I288" s="33">
        <v>49</v>
      </c>
      <c r="J288" s="15">
        <f>'Форма 2'!I1091</f>
        <v>4322587.2300000004</v>
      </c>
      <c r="K288" s="350">
        <v>0</v>
      </c>
      <c r="L288" s="15">
        <v>0</v>
      </c>
      <c r="M288" s="15">
        <v>0</v>
      </c>
      <c r="N288" s="15">
        <f>J288-O288</f>
        <v>4165809.98</v>
      </c>
      <c r="O288" s="15">
        <v>156777.25</v>
      </c>
      <c r="P288" s="15">
        <f t="shared" ref="P288" si="98">J288/H288</f>
        <v>3037.66</v>
      </c>
      <c r="Q288" s="15">
        <f>'Форма 2'!K1091</f>
        <v>3878</v>
      </c>
      <c r="R288" s="6">
        <v>2020</v>
      </c>
      <c r="S288" s="153">
        <v>1</v>
      </c>
    </row>
    <row r="289" spans="1:19" s="41" customFormat="1" ht="15.75" customHeight="1" x14ac:dyDescent="0.25">
      <c r="A289" s="22">
        <f>A288+1</f>
        <v>3</v>
      </c>
      <c r="B289" s="22">
        <v>6966</v>
      </c>
      <c r="C289" s="150" t="s">
        <v>310</v>
      </c>
      <c r="D289" s="22">
        <v>1953</v>
      </c>
      <c r="E289" s="22" t="s">
        <v>93</v>
      </c>
      <c r="F289" s="22" t="s">
        <v>81</v>
      </c>
      <c r="G289" s="25">
        <v>414.9</v>
      </c>
      <c r="H289" s="15">
        <v>376.1</v>
      </c>
      <c r="I289" s="33">
        <v>15</v>
      </c>
      <c r="J289" s="15">
        <f>'Форма 2'!I1094</f>
        <v>82742</v>
      </c>
      <c r="K289" s="15">
        <v>0</v>
      </c>
      <c r="L289" s="15">
        <v>0</v>
      </c>
      <c r="M289" s="15">
        <v>0</v>
      </c>
      <c r="N289" s="15">
        <f t="shared" ref="N289:N293" si="99">J289-K289-L289-M289-O289</f>
        <v>79783.58</v>
      </c>
      <c r="O289" s="15">
        <v>2958.42</v>
      </c>
      <c r="P289" s="15">
        <f t="shared" ref="P289:P293" si="100">J289/H289</f>
        <v>220</v>
      </c>
      <c r="Q289" s="15">
        <f>'Форма 2'!K1094</f>
        <v>220</v>
      </c>
      <c r="R289" s="126">
        <v>2020</v>
      </c>
      <c r="S289" s="10">
        <v>1</v>
      </c>
    </row>
    <row r="290" spans="1:19" s="41" customFormat="1" ht="15.75" customHeight="1" x14ac:dyDescent="0.25">
      <c r="A290" s="22">
        <f t="shared" ref="A290" si="101">A289+1</f>
        <v>4</v>
      </c>
      <c r="B290" s="145">
        <v>6968</v>
      </c>
      <c r="C290" s="150" t="s">
        <v>311</v>
      </c>
      <c r="D290" s="22">
        <v>1955</v>
      </c>
      <c r="E290" s="22" t="s">
        <v>93</v>
      </c>
      <c r="F290" s="22" t="s">
        <v>81</v>
      </c>
      <c r="G290" s="25">
        <v>432.5</v>
      </c>
      <c r="H290" s="15">
        <v>393.8</v>
      </c>
      <c r="I290" s="33">
        <v>16</v>
      </c>
      <c r="J290" s="15">
        <f>'Форма 2'!I1098</f>
        <v>86636</v>
      </c>
      <c r="K290" s="15">
        <v>0</v>
      </c>
      <c r="L290" s="15">
        <v>0</v>
      </c>
      <c r="M290" s="15">
        <v>0</v>
      </c>
      <c r="N290" s="15">
        <f t="shared" si="99"/>
        <v>83538.350000000006</v>
      </c>
      <c r="O290" s="15">
        <v>3097.65</v>
      </c>
      <c r="P290" s="15">
        <f t="shared" si="100"/>
        <v>220</v>
      </c>
      <c r="Q290" s="15">
        <f>'Форма 2'!K1098</f>
        <v>220</v>
      </c>
      <c r="R290" s="126">
        <v>2020</v>
      </c>
      <c r="S290" s="10">
        <v>1</v>
      </c>
    </row>
    <row r="291" spans="1:19" s="41" customFormat="1" ht="15.75" customHeight="1" x14ac:dyDescent="0.25">
      <c r="A291" s="22">
        <f>A290+1</f>
        <v>5</v>
      </c>
      <c r="B291" s="145">
        <v>6979</v>
      </c>
      <c r="C291" s="121" t="s">
        <v>314</v>
      </c>
      <c r="D291" s="22">
        <v>1960</v>
      </c>
      <c r="E291" s="22" t="s">
        <v>93</v>
      </c>
      <c r="F291" s="22" t="s">
        <v>81</v>
      </c>
      <c r="G291" s="25">
        <v>370.3</v>
      </c>
      <c r="H291" s="15">
        <v>340.5</v>
      </c>
      <c r="I291" s="33">
        <v>13</v>
      </c>
      <c r="J291" s="15">
        <f>'Форма 2'!I1102</f>
        <v>74910</v>
      </c>
      <c r="K291" s="350">
        <v>0</v>
      </c>
      <c r="L291" s="15">
        <v>0</v>
      </c>
      <c r="M291" s="15">
        <v>0</v>
      </c>
      <c r="N291" s="15">
        <f t="shared" si="99"/>
        <v>72231.61</v>
      </c>
      <c r="O291" s="15">
        <v>2678.39</v>
      </c>
      <c r="P291" s="15">
        <f t="shared" si="100"/>
        <v>220</v>
      </c>
      <c r="Q291" s="15">
        <f>'Форма 2'!K1102</f>
        <v>220</v>
      </c>
      <c r="R291" s="126">
        <v>2020</v>
      </c>
      <c r="S291" s="153">
        <v>1</v>
      </c>
    </row>
    <row r="292" spans="1:19" s="41" customFormat="1" ht="15.75" customHeight="1" x14ac:dyDescent="0.25">
      <c r="A292" s="22">
        <f>A291+1</f>
        <v>6</v>
      </c>
      <c r="B292" s="145">
        <v>6986</v>
      </c>
      <c r="C292" s="121" t="s">
        <v>319</v>
      </c>
      <c r="D292" s="22">
        <v>1955</v>
      </c>
      <c r="E292" s="22" t="s">
        <v>93</v>
      </c>
      <c r="F292" s="22" t="s">
        <v>81</v>
      </c>
      <c r="G292" s="25">
        <v>438.08</v>
      </c>
      <c r="H292" s="15">
        <v>399.28</v>
      </c>
      <c r="I292" s="33">
        <v>16</v>
      </c>
      <c r="J292" s="15">
        <f>'Форма 2'!I1106</f>
        <v>87841.600000000006</v>
      </c>
      <c r="K292" s="350">
        <v>0</v>
      </c>
      <c r="L292" s="15">
        <v>0</v>
      </c>
      <c r="M292" s="15">
        <v>0</v>
      </c>
      <c r="N292" s="15">
        <f t="shared" si="99"/>
        <v>84700.85</v>
      </c>
      <c r="O292" s="15">
        <v>3140.75</v>
      </c>
      <c r="P292" s="15">
        <f t="shared" si="100"/>
        <v>220</v>
      </c>
      <c r="Q292" s="15">
        <f>'Форма 2'!K1106</f>
        <v>220</v>
      </c>
      <c r="R292" s="126">
        <v>2020</v>
      </c>
      <c r="S292" s="10">
        <v>1</v>
      </c>
    </row>
    <row r="293" spans="1:19" s="41" customFormat="1" ht="15.75" customHeight="1" x14ac:dyDescent="0.25">
      <c r="A293" s="22">
        <f>A292+1</f>
        <v>7</v>
      </c>
      <c r="B293" s="22">
        <v>6988</v>
      </c>
      <c r="C293" s="121" t="s">
        <v>320</v>
      </c>
      <c r="D293" s="22">
        <v>1962</v>
      </c>
      <c r="E293" s="22" t="s">
        <v>93</v>
      </c>
      <c r="F293" s="137" t="s">
        <v>81</v>
      </c>
      <c r="G293" s="25">
        <v>695.93</v>
      </c>
      <c r="H293" s="15">
        <v>637.92999999999995</v>
      </c>
      <c r="I293" s="33">
        <v>25</v>
      </c>
      <c r="J293" s="15">
        <f>'Форма 2'!I1110</f>
        <v>140344.6</v>
      </c>
      <c r="K293" s="350">
        <v>0</v>
      </c>
      <c r="L293" s="350">
        <v>0</v>
      </c>
      <c r="M293" s="350">
        <v>0</v>
      </c>
      <c r="N293" s="350">
        <f t="shared" si="99"/>
        <v>135326.62</v>
      </c>
      <c r="O293" s="15">
        <v>5017.9799999999996</v>
      </c>
      <c r="P293" s="15">
        <f t="shared" si="100"/>
        <v>220</v>
      </c>
      <c r="Q293" s="15">
        <f>'Форма 2'!K1110</f>
        <v>220</v>
      </c>
      <c r="R293" s="126">
        <v>2020</v>
      </c>
      <c r="S293" s="153">
        <v>1</v>
      </c>
    </row>
    <row r="294" spans="1:19" s="41" customFormat="1" ht="15.75" customHeight="1" x14ac:dyDescent="0.25">
      <c r="A294" s="22">
        <f t="shared" ref="A294:A298" si="102">A293+1</f>
        <v>8</v>
      </c>
      <c r="B294" s="8">
        <v>6932</v>
      </c>
      <c r="C294" s="150" t="s">
        <v>161</v>
      </c>
      <c r="D294" s="137">
        <v>1970</v>
      </c>
      <c r="E294" s="22" t="s">
        <v>68</v>
      </c>
      <c r="F294" s="22" t="s">
        <v>82</v>
      </c>
      <c r="G294" s="25">
        <v>4579.8999999999996</v>
      </c>
      <c r="H294" s="15">
        <v>3583.3</v>
      </c>
      <c r="I294" s="33">
        <v>203</v>
      </c>
      <c r="J294" s="15">
        <f>'Форма 2'!I1114</f>
        <v>9542092.5</v>
      </c>
      <c r="K294" s="350">
        <v>0</v>
      </c>
      <c r="L294" s="15">
        <v>0</v>
      </c>
      <c r="M294" s="15">
        <v>0</v>
      </c>
      <c r="N294" s="15">
        <f>J294-O294</f>
        <v>9183173.6799999997</v>
      </c>
      <c r="O294" s="15">
        <v>358918.82</v>
      </c>
      <c r="P294" s="15">
        <f>J294/H294</f>
        <v>2662.93</v>
      </c>
      <c r="Q294" s="15">
        <f>'Форма 2'!K1114</f>
        <v>3878</v>
      </c>
      <c r="R294" s="126">
        <v>2020</v>
      </c>
      <c r="S294" s="10">
        <v>1</v>
      </c>
    </row>
    <row r="295" spans="1:19" s="41" customFormat="1" ht="15.75" customHeight="1" x14ac:dyDescent="0.25">
      <c r="A295" s="22">
        <f t="shared" si="102"/>
        <v>9</v>
      </c>
      <c r="B295" s="144">
        <v>7076</v>
      </c>
      <c r="C295" s="121" t="s">
        <v>329</v>
      </c>
      <c r="D295" s="137">
        <v>1957</v>
      </c>
      <c r="E295" s="137" t="s">
        <v>158</v>
      </c>
      <c r="F295" s="22" t="s">
        <v>81</v>
      </c>
      <c r="G295" s="25">
        <v>390.72</v>
      </c>
      <c r="H295" s="15">
        <v>339.62</v>
      </c>
      <c r="I295" s="33">
        <v>14</v>
      </c>
      <c r="J295" s="15">
        <f>'Форма 2'!I1117</f>
        <v>56527.94</v>
      </c>
      <c r="K295" s="15">
        <v>0</v>
      </c>
      <c r="L295" s="15">
        <v>0</v>
      </c>
      <c r="M295" s="15">
        <v>0</v>
      </c>
      <c r="N295" s="350">
        <f t="shared" ref="N295:N298" si="103">J295-K295-L295-M295-O295</f>
        <v>54354.34</v>
      </c>
      <c r="O295" s="15">
        <v>2173.6</v>
      </c>
      <c r="P295" s="15">
        <f t="shared" ref="P295:P297" si="104">J295/H295</f>
        <v>166.44</v>
      </c>
      <c r="Q295" s="15">
        <f>'Форма 2'!K1117</f>
        <v>179</v>
      </c>
      <c r="R295" s="126">
        <v>2020</v>
      </c>
      <c r="S295" s="10">
        <v>1</v>
      </c>
    </row>
    <row r="296" spans="1:19" s="41" customFormat="1" ht="15.75" customHeight="1" x14ac:dyDescent="0.25">
      <c r="A296" s="22">
        <f t="shared" si="102"/>
        <v>10</v>
      </c>
      <c r="B296" s="145">
        <v>7084</v>
      </c>
      <c r="C296" s="121" t="s">
        <v>330</v>
      </c>
      <c r="D296" s="22">
        <v>1958</v>
      </c>
      <c r="E296" s="137" t="s">
        <v>158</v>
      </c>
      <c r="F296" s="137" t="s">
        <v>81</v>
      </c>
      <c r="G296" s="25">
        <v>471.95</v>
      </c>
      <c r="H296" s="15">
        <v>460</v>
      </c>
      <c r="I296" s="33">
        <v>18</v>
      </c>
      <c r="J296" s="15">
        <f>'Форма 2'!I1120</f>
        <v>73020</v>
      </c>
      <c r="K296" s="350">
        <v>0</v>
      </c>
      <c r="L296" s="15">
        <v>0</v>
      </c>
      <c r="M296" s="15">
        <v>0</v>
      </c>
      <c r="N296" s="15">
        <f t="shared" si="103"/>
        <v>70075.960000000006</v>
      </c>
      <c r="O296" s="15">
        <v>2944.04</v>
      </c>
      <c r="P296" s="15">
        <f t="shared" si="104"/>
        <v>158.74</v>
      </c>
      <c r="Q296" s="15">
        <f>'Форма 2'!K1120</f>
        <v>179</v>
      </c>
      <c r="R296" s="126">
        <v>2020</v>
      </c>
      <c r="S296" s="153">
        <v>1</v>
      </c>
    </row>
    <row r="297" spans="1:19" s="41" customFormat="1" ht="15.75" customHeight="1" x14ac:dyDescent="0.25">
      <c r="A297" s="22">
        <f t="shared" si="102"/>
        <v>11</v>
      </c>
      <c r="B297" s="145">
        <v>6926</v>
      </c>
      <c r="C297" s="121" t="s">
        <v>331</v>
      </c>
      <c r="D297" s="22">
        <v>1965</v>
      </c>
      <c r="E297" s="22" t="s">
        <v>93</v>
      </c>
      <c r="F297" s="22" t="s">
        <v>81</v>
      </c>
      <c r="G297" s="25">
        <v>2690.4</v>
      </c>
      <c r="H297" s="15">
        <v>2499.1999999999998</v>
      </c>
      <c r="I297" s="33">
        <v>99</v>
      </c>
      <c r="J297" s="15">
        <f>'Форма 2'!I1123</f>
        <v>316565.02</v>
      </c>
      <c r="K297" s="350">
        <v>0</v>
      </c>
      <c r="L297" s="15">
        <v>0</v>
      </c>
      <c r="M297" s="15">
        <v>0</v>
      </c>
      <c r="N297" s="15">
        <f t="shared" si="103"/>
        <v>299140.17</v>
      </c>
      <c r="O297" s="15">
        <v>17424.849999999999</v>
      </c>
      <c r="P297" s="15">
        <f t="shared" si="104"/>
        <v>126.67</v>
      </c>
      <c r="Q297" s="15">
        <f>'Форма 2'!K1123</f>
        <v>195</v>
      </c>
      <c r="R297" s="126">
        <v>2020</v>
      </c>
      <c r="S297" s="153">
        <v>1</v>
      </c>
    </row>
    <row r="298" spans="1:19" s="41" customFormat="1" ht="15.75" customHeight="1" x14ac:dyDescent="0.25">
      <c r="A298" s="22">
        <f t="shared" si="102"/>
        <v>12</v>
      </c>
      <c r="B298" s="22">
        <v>6927</v>
      </c>
      <c r="C298" s="121" t="s">
        <v>332</v>
      </c>
      <c r="D298" s="22">
        <v>1967</v>
      </c>
      <c r="E298" s="22" t="s">
        <v>93</v>
      </c>
      <c r="F298" s="137" t="s">
        <v>81</v>
      </c>
      <c r="G298" s="25">
        <v>2857.7</v>
      </c>
      <c r="H298" s="15">
        <v>2655.8</v>
      </c>
      <c r="I298" s="33">
        <v>105</v>
      </c>
      <c r="J298" s="15">
        <f>'Форма 2'!I1127</f>
        <v>379424.15</v>
      </c>
      <c r="K298" s="15">
        <v>0</v>
      </c>
      <c r="L298" s="15">
        <v>0</v>
      </c>
      <c r="M298" s="15">
        <v>0</v>
      </c>
      <c r="N298" s="350">
        <f t="shared" si="103"/>
        <v>360907.46</v>
      </c>
      <c r="O298" s="15">
        <v>18516.689999999999</v>
      </c>
      <c r="P298" s="15">
        <f>J298/H298</f>
        <v>142.87</v>
      </c>
      <c r="Q298" s="15">
        <f>'Форма 2'!K1127</f>
        <v>195</v>
      </c>
      <c r="R298" s="126">
        <v>2020</v>
      </c>
      <c r="S298" s="153">
        <v>1</v>
      </c>
    </row>
    <row r="299" spans="1:19" s="41" customFormat="1" ht="15.75" customHeight="1" x14ac:dyDescent="0.25">
      <c r="A299" s="175" t="s">
        <v>50</v>
      </c>
      <c r="B299" s="175"/>
      <c r="C299" s="175"/>
      <c r="D299" s="5" t="s">
        <v>13</v>
      </c>
      <c r="E299" s="15" t="s">
        <v>13</v>
      </c>
      <c r="F299" s="15" t="s">
        <v>13</v>
      </c>
      <c r="G299" s="15">
        <f>SUM(G300:G303)</f>
        <v>3261.7</v>
      </c>
      <c r="H299" s="15">
        <f t="shared" ref="H299:O299" si="105">SUM(H300:H303)</f>
        <v>2966.5</v>
      </c>
      <c r="I299" s="10">
        <f t="shared" si="105"/>
        <v>117</v>
      </c>
      <c r="J299" s="15">
        <f t="shared" si="105"/>
        <v>10850345.32</v>
      </c>
      <c r="K299" s="15">
        <f t="shared" si="105"/>
        <v>0</v>
      </c>
      <c r="L299" s="15">
        <f t="shared" si="105"/>
        <v>0</v>
      </c>
      <c r="M299" s="15">
        <f t="shared" si="105"/>
        <v>0</v>
      </c>
      <c r="N299" s="15">
        <f t="shared" si="105"/>
        <v>10583114.5</v>
      </c>
      <c r="O299" s="15">
        <f t="shared" si="105"/>
        <v>267230.82</v>
      </c>
      <c r="P299" s="15" t="s">
        <v>13</v>
      </c>
      <c r="Q299" s="15" t="s">
        <v>13</v>
      </c>
      <c r="R299" s="15" t="s">
        <v>13</v>
      </c>
      <c r="S299" s="10" t="s">
        <v>13</v>
      </c>
    </row>
    <row r="300" spans="1:19" s="41" customFormat="1" ht="41.25" customHeight="1" x14ac:dyDescent="0.25">
      <c r="A300" s="21">
        <f>1</f>
        <v>1</v>
      </c>
      <c r="B300" s="21">
        <v>7247</v>
      </c>
      <c r="C300" s="150" t="s">
        <v>245</v>
      </c>
      <c r="D300" s="137">
        <v>1971</v>
      </c>
      <c r="E300" s="137" t="s">
        <v>68</v>
      </c>
      <c r="F300" s="137" t="s">
        <v>385</v>
      </c>
      <c r="G300" s="25">
        <v>1370.7</v>
      </c>
      <c r="H300" s="15">
        <v>1275.3</v>
      </c>
      <c r="I300" s="33">
        <v>52</v>
      </c>
      <c r="J300" s="15">
        <f>'Форма 2'!I1132</f>
        <v>4358223.92</v>
      </c>
      <c r="K300" s="15">
        <v>0</v>
      </c>
      <c r="L300" s="15">
        <v>0</v>
      </c>
      <c r="M300" s="15">
        <v>0</v>
      </c>
      <c r="N300" s="25">
        <f>J300-O300</f>
        <v>4251128.62</v>
      </c>
      <c r="O300" s="25">
        <v>107095.3</v>
      </c>
      <c r="P300" s="15">
        <f>J300/H300</f>
        <v>3417.41</v>
      </c>
      <c r="Q300" s="15">
        <f>'Форма 2'!K1132</f>
        <v>5144</v>
      </c>
      <c r="R300" s="353">
        <v>2020</v>
      </c>
      <c r="S300" s="10">
        <v>1</v>
      </c>
    </row>
    <row r="301" spans="1:19" ht="15.75" customHeight="1" x14ac:dyDescent="0.25">
      <c r="A301" s="22">
        <f>A300+1</f>
        <v>2</v>
      </c>
      <c r="B301" s="22">
        <v>7240</v>
      </c>
      <c r="C301" s="150" t="s">
        <v>259</v>
      </c>
      <c r="D301" s="137">
        <v>1969</v>
      </c>
      <c r="E301" s="137" t="s">
        <v>68</v>
      </c>
      <c r="F301" s="137" t="s">
        <v>385</v>
      </c>
      <c r="G301" s="25">
        <v>469.9</v>
      </c>
      <c r="H301" s="15">
        <v>412.9</v>
      </c>
      <c r="I301" s="33">
        <v>16</v>
      </c>
      <c r="J301" s="15">
        <f>'Форма 2'!I1135</f>
        <v>3135383.76</v>
      </c>
      <c r="K301" s="15">
        <v>0</v>
      </c>
      <c r="L301" s="15">
        <v>0</v>
      </c>
      <c r="M301" s="15">
        <v>0</v>
      </c>
      <c r="N301" s="15">
        <f>J301-K301-L301-M301-O301</f>
        <v>3058046.73</v>
      </c>
      <c r="O301" s="15">
        <v>77337.03</v>
      </c>
      <c r="P301" s="15">
        <f>J301/H301</f>
        <v>7593.57</v>
      </c>
      <c r="Q301" s="15">
        <f>'Форма 2'!K1135</f>
        <v>7688</v>
      </c>
      <c r="R301" s="353">
        <v>2020</v>
      </c>
      <c r="S301" s="10">
        <v>1</v>
      </c>
    </row>
    <row r="302" spans="1:19" ht="15.75" customHeight="1" x14ac:dyDescent="0.25">
      <c r="A302" s="22">
        <f>A301+1</f>
        <v>3</v>
      </c>
      <c r="B302" s="22">
        <v>7241</v>
      </c>
      <c r="C302" s="150" t="s">
        <v>260</v>
      </c>
      <c r="D302" s="137">
        <v>1969</v>
      </c>
      <c r="E302" s="137" t="s">
        <v>68</v>
      </c>
      <c r="F302" s="137" t="s">
        <v>385</v>
      </c>
      <c r="G302" s="25">
        <v>471.3</v>
      </c>
      <c r="H302" s="15">
        <v>414.3</v>
      </c>
      <c r="I302" s="33">
        <v>16</v>
      </c>
      <c r="J302" s="15">
        <f>'Форма 2'!I1138</f>
        <v>3179752.5</v>
      </c>
      <c r="K302" s="15">
        <v>0</v>
      </c>
      <c r="L302" s="15">
        <v>0</v>
      </c>
      <c r="M302" s="15">
        <v>0</v>
      </c>
      <c r="N302" s="15">
        <f>J302-K302-L302-M302-O302</f>
        <v>3102153.25</v>
      </c>
      <c r="O302" s="15">
        <v>77599.25</v>
      </c>
      <c r="P302" s="15">
        <f>J302/H302</f>
        <v>7675</v>
      </c>
      <c r="Q302" s="15">
        <f>'Форма 2'!K1138</f>
        <v>7688</v>
      </c>
      <c r="R302" s="353">
        <v>2020</v>
      </c>
      <c r="S302" s="10">
        <v>1</v>
      </c>
    </row>
    <row r="303" spans="1:19" ht="15.75" customHeight="1" x14ac:dyDescent="0.25">
      <c r="A303" s="22">
        <f>A302+1</f>
        <v>4</v>
      </c>
      <c r="B303" s="22">
        <v>7170</v>
      </c>
      <c r="C303" s="150" t="s">
        <v>303</v>
      </c>
      <c r="D303" s="137">
        <v>1970</v>
      </c>
      <c r="E303" s="137" t="s">
        <v>68</v>
      </c>
      <c r="F303" s="137" t="s">
        <v>81</v>
      </c>
      <c r="G303" s="25">
        <v>949.8</v>
      </c>
      <c r="H303" s="15">
        <v>864</v>
      </c>
      <c r="I303" s="33">
        <v>33</v>
      </c>
      <c r="J303" s="15">
        <f>'Форма 2'!I1141</f>
        <v>176985.14</v>
      </c>
      <c r="K303" s="15">
        <v>0</v>
      </c>
      <c r="L303" s="15">
        <v>0</v>
      </c>
      <c r="M303" s="15">
        <v>0</v>
      </c>
      <c r="N303" s="15">
        <f>J303-K303-L303-M303-O303</f>
        <v>171785.9</v>
      </c>
      <c r="O303" s="15">
        <v>5199.24</v>
      </c>
      <c r="P303" s="15">
        <f>J303/H303</f>
        <v>204.84</v>
      </c>
      <c r="Q303" s="15">
        <f>'Форма 2'!K1141</f>
        <v>247</v>
      </c>
      <c r="R303" s="353">
        <v>2020</v>
      </c>
      <c r="S303" s="10">
        <v>1</v>
      </c>
    </row>
    <row r="304" spans="1:19" s="41" customFormat="1" ht="15.75" customHeight="1" x14ac:dyDescent="0.25">
      <c r="A304" s="7" t="s">
        <v>283</v>
      </c>
      <c r="B304" s="7"/>
      <c r="C304" s="15"/>
      <c r="D304" s="5"/>
      <c r="E304" s="15"/>
      <c r="F304" s="15"/>
      <c r="G304" s="15"/>
      <c r="H304" s="15"/>
      <c r="I304" s="10"/>
      <c r="J304" s="15"/>
      <c r="K304" s="15"/>
      <c r="L304" s="15"/>
      <c r="M304" s="15"/>
      <c r="N304" s="15"/>
      <c r="O304" s="15"/>
      <c r="P304" s="15"/>
      <c r="Q304" s="15"/>
      <c r="R304" s="15"/>
      <c r="S304" s="10"/>
    </row>
    <row r="305" spans="1:19" s="41" customFormat="1" ht="15.75" customHeight="1" x14ac:dyDescent="0.25">
      <c r="A305" s="176" t="s">
        <v>46</v>
      </c>
      <c r="B305" s="176"/>
      <c r="C305" s="176"/>
      <c r="D305" s="5" t="s">
        <v>13</v>
      </c>
      <c r="E305" s="15" t="s">
        <v>13</v>
      </c>
      <c r="F305" s="15" t="s">
        <v>13</v>
      </c>
      <c r="G305" s="15">
        <f t="shared" ref="G305:O305" si="106">G306+G310+G325+G328+G330+G377+G395+G537+G541+G547+G552+G583+G587+G590+G593+G596+G625+G627</f>
        <v>1312204.57</v>
      </c>
      <c r="H305" s="15">
        <f t="shared" si="106"/>
        <v>1092661.02</v>
      </c>
      <c r="I305" s="10">
        <f t="shared" si="106"/>
        <v>41262</v>
      </c>
      <c r="J305" s="15">
        <f t="shared" si="106"/>
        <v>1237700780.6500001</v>
      </c>
      <c r="K305" s="15">
        <f t="shared" si="106"/>
        <v>0</v>
      </c>
      <c r="L305" s="15">
        <f t="shared" si="106"/>
        <v>0</v>
      </c>
      <c r="M305" s="15">
        <f t="shared" si="106"/>
        <v>0</v>
      </c>
      <c r="N305" s="15">
        <f t="shared" si="106"/>
        <v>1237700780.6500001</v>
      </c>
      <c r="O305" s="15">
        <f t="shared" si="106"/>
        <v>0</v>
      </c>
      <c r="P305" s="15" t="s">
        <v>13</v>
      </c>
      <c r="Q305" s="15" t="s">
        <v>13</v>
      </c>
      <c r="R305" s="15" t="s">
        <v>13</v>
      </c>
      <c r="S305" s="10" t="s">
        <v>13</v>
      </c>
    </row>
    <row r="306" spans="1:19" s="41" customFormat="1" ht="15.75" customHeight="1" x14ac:dyDescent="0.25">
      <c r="A306" s="100" t="s">
        <v>16</v>
      </c>
      <c r="B306" s="7"/>
      <c r="C306" s="341"/>
      <c r="D306" s="5" t="s">
        <v>13</v>
      </c>
      <c r="E306" s="15" t="s">
        <v>13</v>
      </c>
      <c r="F306" s="15" t="s">
        <v>13</v>
      </c>
      <c r="G306" s="15">
        <f>SUM(G307:G309)</f>
        <v>982.2</v>
      </c>
      <c r="H306" s="15">
        <f t="shared" ref="H306:O306" si="107">SUM(H307:H309)</f>
        <v>892.5</v>
      </c>
      <c r="I306" s="10">
        <f t="shared" si="107"/>
        <v>54</v>
      </c>
      <c r="J306" s="15">
        <f t="shared" si="107"/>
        <v>6243783.9000000004</v>
      </c>
      <c r="K306" s="15">
        <f t="shared" si="107"/>
        <v>0</v>
      </c>
      <c r="L306" s="15">
        <f t="shared" si="107"/>
        <v>0</v>
      </c>
      <c r="M306" s="15">
        <f t="shared" si="107"/>
        <v>0</v>
      </c>
      <c r="N306" s="15">
        <f t="shared" si="107"/>
        <v>6243783.9000000004</v>
      </c>
      <c r="O306" s="15">
        <f t="shared" si="107"/>
        <v>0</v>
      </c>
      <c r="P306" s="15" t="s">
        <v>13</v>
      </c>
      <c r="Q306" s="15" t="s">
        <v>13</v>
      </c>
      <c r="R306" s="15" t="s">
        <v>13</v>
      </c>
      <c r="S306" s="10" t="s">
        <v>13</v>
      </c>
    </row>
    <row r="307" spans="1:19" s="41" customFormat="1" ht="15.75" customHeight="1" x14ac:dyDescent="0.25">
      <c r="A307" s="126">
        <v>1</v>
      </c>
      <c r="B307" s="11">
        <v>4692</v>
      </c>
      <c r="C307" s="142" t="s">
        <v>286</v>
      </c>
      <c r="D307" s="134">
        <v>1968</v>
      </c>
      <c r="E307" s="134" t="s">
        <v>287</v>
      </c>
      <c r="F307" s="134" t="s">
        <v>82</v>
      </c>
      <c r="G307" s="15">
        <v>261.60000000000002</v>
      </c>
      <c r="H307" s="15">
        <v>237.2</v>
      </c>
      <c r="I307" s="10">
        <v>12</v>
      </c>
      <c r="J307" s="15">
        <f>'Форма 2'!I1145</f>
        <v>127613.6</v>
      </c>
      <c r="K307" s="15">
        <v>0</v>
      </c>
      <c r="L307" s="15">
        <v>0</v>
      </c>
      <c r="M307" s="15">
        <v>0</v>
      </c>
      <c r="N307" s="15">
        <f>J307-K307-L307-M307-O307</f>
        <v>127613.6</v>
      </c>
      <c r="O307" s="15">
        <v>0</v>
      </c>
      <c r="P307" s="15">
        <f>J307/H307</f>
        <v>538</v>
      </c>
      <c r="Q307" s="15">
        <f>'Форма 2'!K1145</f>
        <v>538</v>
      </c>
      <c r="R307" s="18">
        <v>2021</v>
      </c>
      <c r="S307" s="153">
        <v>1</v>
      </c>
    </row>
    <row r="308" spans="1:19" s="41" customFormat="1" ht="15.75" customHeight="1" x14ac:dyDescent="0.25">
      <c r="A308" s="126">
        <f>A307+1</f>
        <v>2</v>
      </c>
      <c r="B308" s="13">
        <v>4753</v>
      </c>
      <c r="C308" s="142" t="s">
        <v>530</v>
      </c>
      <c r="D308" s="126">
        <v>1967</v>
      </c>
      <c r="E308" s="134" t="s">
        <v>68</v>
      </c>
      <c r="F308" s="134" t="s">
        <v>82</v>
      </c>
      <c r="G308" s="15">
        <v>358</v>
      </c>
      <c r="H308" s="15">
        <v>325.2</v>
      </c>
      <c r="I308" s="10">
        <v>18</v>
      </c>
      <c r="J308" s="15">
        <f>'Форма 2'!I1148</f>
        <v>2667615.6</v>
      </c>
      <c r="K308" s="15">
        <v>0</v>
      </c>
      <c r="L308" s="15">
        <v>0</v>
      </c>
      <c r="M308" s="15">
        <v>0</v>
      </c>
      <c r="N308" s="15">
        <f>J308-K308-L308-M308-O308</f>
        <v>2667615.6</v>
      </c>
      <c r="O308" s="15">
        <v>0</v>
      </c>
      <c r="P308" s="15">
        <f>J308/H308</f>
        <v>8203</v>
      </c>
      <c r="Q308" s="15">
        <f>'Форма 2'!K1148</f>
        <v>8203</v>
      </c>
      <c r="R308" s="18">
        <v>2021</v>
      </c>
      <c r="S308" s="153">
        <v>1</v>
      </c>
    </row>
    <row r="309" spans="1:19" s="41" customFormat="1" ht="15.75" customHeight="1" x14ac:dyDescent="0.25">
      <c r="A309" s="126">
        <f>A308+1</f>
        <v>3</v>
      </c>
      <c r="B309" s="13">
        <v>4754</v>
      </c>
      <c r="C309" s="142" t="s">
        <v>531</v>
      </c>
      <c r="D309" s="126">
        <v>1967</v>
      </c>
      <c r="E309" s="134" t="s">
        <v>112</v>
      </c>
      <c r="F309" s="134" t="s">
        <v>82</v>
      </c>
      <c r="G309" s="15">
        <v>362.6</v>
      </c>
      <c r="H309" s="15">
        <v>330.1</v>
      </c>
      <c r="I309" s="10">
        <v>24</v>
      </c>
      <c r="J309" s="15">
        <f>'Форма 2'!I1151</f>
        <v>3448554.7</v>
      </c>
      <c r="K309" s="15">
        <v>0</v>
      </c>
      <c r="L309" s="15">
        <v>0</v>
      </c>
      <c r="M309" s="15">
        <v>0</v>
      </c>
      <c r="N309" s="15">
        <f>J309-K309-L309-M309-O309</f>
        <v>3448554.7</v>
      </c>
      <c r="O309" s="15">
        <v>0</v>
      </c>
      <c r="P309" s="15">
        <f>J309/H309</f>
        <v>10447</v>
      </c>
      <c r="Q309" s="15">
        <f>'Форма 2'!K1151</f>
        <v>10447</v>
      </c>
      <c r="R309" s="18">
        <v>2021</v>
      </c>
      <c r="S309" s="153">
        <v>1</v>
      </c>
    </row>
    <row r="310" spans="1:19" s="41" customFormat="1" ht="15.75" customHeight="1" x14ac:dyDescent="0.25">
      <c r="A310" s="183" t="s">
        <v>29</v>
      </c>
      <c r="B310" s="183"/>
      <c r="C310" s="183"/>
      <c r="D310" s="5" t="s">
        <v>13</v>
      </c>
      <c r="E310" s="15" t="s">
        <v>13</v>
      </c>
      <c r="F310" s="15" t="s">
        <v>13</v>
      </c>
      <c r="G310" s="15">
        <f t="shared" ref="G310:O310" si="108">SUM(G311:G324)</f>
        <v>13380.12</v>
      </c>
      <c r="H310" s="15">
        <f t="shared" si="108"/>
        <v>10977.49</v>
      </c>
      <c r="I310" s="10">
        <f t="shared" si="108"/>
        <v>378</v>
      </c>
      <c r="J310" s="15">
        <f t="shared" si="108"/>
        <v>27682266.890000001</v>
      </c>
      <c r="K310" s="15">
        <f t="shared" si="108"/>
        <v>0</v>
      </c>
      <c r="L310" s="15">
        <f t="shared" si="108"/>
        <v>0</v>
      </c>
      <c r="M310" s="15">
        <f t="shared" si="108"/>
        <v>0</v>
      </c>
      <c r="N310" s="15">
        <f t="shared" si="108"/>
        <v>27682266.890000001</v>
      </c>
      <c r="O310" s="15">
        <f t="shared" si="108"/>
        <v>0</v>
      </c>
      <c r="P310" s="15" t="s">
        <v>13</v>
      </c>
      <c r="Q310" s="15" t="s">
        <v>13</v>
      </c>
      <c r="R310" s="15" t="s">
        <v>13</v>
      </c>
      <c r="S310" s="10" t="s">
        <v>13</v>
      </c>
    </row>
    <row r="311" spans="1:19" s="41" customFormat="1" ht="17.25" customHeight="1" x14ac:dyDescent="0.25">
      <c r="A311" s="102">
        <v>1</v>
      </c>
      <c r="B311" s="137">
        <v>4391</v>
      </c>
      <c r="C311" s="150" t="s">
        <v>346</v>
      </c>
      <c r="D311" s="126">
        <v>1966</v>
      </c>
      <c r="E311" s="126" t="s">
        <v>230</v>
      </c>
      <c r="F311" s="126" t="s">
        <v>81</v>
      </c>
      <c r="G311" s="15">
        <v>1076.2</v>
      </c>
      <c r="H311" s="15">
        <v>998.1</v>
      </c>
      <c r="I311" s="138">
        <v>33</v>
      </c>
      <c r="J311" s="15">
        <f>'Форма 2'!I1157</f>
        <v>168404.42</v>
      </c>
      <c r="K311" s="15">
        <v>0</v>
      </c>
      <c r="L311" s="15">
        <v>0</v>
      </c>
      <c r="M311" s="15">
        <v>0</v>
      </c>
      <c r="N311" s="15">
        <f t="shared" ref="N311:N324" si="109">J311-K311-L311-M311-O311</f>
        <v>168404.42</v>
      </c>
      <c r="O311" s="15">
        <f>SUM(O312:O356)</f>
        <v>0</v>
      </c>
      <c r="P311" s="15">
        <f t="shared" ref="P311:P323" si="110">J311/H311</f>
        <v>168.72</v>
      </c>
      <c r="Q311" s="15">
        <f>'Форма 2'!K1157</f>
        <v>179</v>
      </c>
      <c r="R311" s="18">
        <v>2021</v>
      </c>
      <c r="S311" s="153">
        <v>1</v>
      </c>
    </row>
    <row r="312" spans="1:19" s="41" customFormat="1" ht="17.25" customHeight="1" x14ac:dyDescent="0.25">
      <c r="A312" s="102">
        <f t="shared" ref="A312:A324" si="111">A311+1</f>
        <v>2</v>
      </c>
      <c r="B312" s="137">
        <v>4552</v>
      </c>
      <c r="C312" s="150" t="s">
        <v>347</v>
      </c>
      <c r="D312" s="126">
        <v>1963</v>
      </c>
      <c r="E312" s="126" t="s">
        <v>68</v>
      </c>
      <c r="F312" s="126" t="s">
        <v>81</v>
      </c>
      <c r="G312" s="15">
        <v>325.86</v>
      </c>
      <c r="H312" s="15">
        <v>301.45999999999998</v>
      </c>
      <c r="I312" s="138">
        <v>15</v>
      </c>
      <c r="J312" s="15">
        <f>'Форма 2'!I1160</f>
        <v>71046.59</v>
      </c>
      <c r="K312" s="15">
        <v>0</v>
      </c>
      <c r="L312" s="15">
        <v>0</v>
      </c>
      <c r="M312" s="15">
        <v>0</v>
      </c>
      <c r="N312" s="15">
        <f t="shared" si="109"/>
        <v>71046.59</v>
      </c>
      <c r="O312" s="15">
        <f>SUM(O313:O359)</f>
        <v>0</v>
      </c>
      <c r="P312" s="15">
        <f t="shared" si="110"/>
        <v>235.68</v>
      </c>
      <c r="Q312" s="15">
        <f>'Форма 2'!K1160</f>
        <v>247</v>
      </c>
      <c r="R312" s="18">
        <v>2021</v>
      </c>
      <c r="S312" s="153">
        <v>1</v>
      </c>
    </row>
    <row r="313" spans="1:19" s="41" customFormat="1" ht="17.25" customHeight="1" x14ac:dyDescent="0.25">
      <c r="A313" s="102">
        <f t="shared" si="111"/>
        <v>3</v>
      </c>
      <c r="B313" s="137">
        <v>4554</v>
      </c>
      <c r="C313" s="150" t="s">
        <v>348</v>
      </c>
      <c r="D313" s="126">
        <v>1961</v>
      </c>
      <c r="E313" s="126" t="s">
        <v>230</v>
      </c>
      <c r="F313" s="126" t="s">
        <v>87</v>
      </c>
      <c r="G313" s="15">
        <v>327.91</v>
      </c>
      <c r="H313" s="15">
        <v>304.41000000000003</v>
      </c>
      <c r="I313" s="138">
        <v>21</v>
      </c>
      <c r="J313" s="15">
        <f>'Форма 2'!I1162</f>
        <v>1115883.3400000001</v>
      </c>
      <c r="K313" s="15">
        <v>0</v>
      </c>
      <c r="L313" s="15">
        <v>0</v>
      </c>
      <c r="M313" s="15">
        <v>0</v>
      </c>
      <c r="N313" s="15">
        <f t="shared" si="109"/>
        <v>1115883.3400000001</v>
      </c>
      <c r="O313" s="15">
        <f>SUM(O314:O360)</f>
        <v>0</v>
      </c>
      <c r="P313" s="15">
        <f t="shared" si="110"/>
        <v>3665.72</v>
      </c>
      <c r="Q313" s="15">
        <f>'Форма 2'!K1162</f>
        <v>3676</v>
      </c>
      <c r="R313" s="18">
        <v>2021</v>
      </c>
      <c r="S313" s="153">
        <v>1</v>
      </c>
    </row>
    <row r="314" spans="1:19" s="41" customFormat="1" ht="17.25" customHeight="1" x14ac:dyDescent="0.25">
      <c r="A314" s="102">
        <f t="shared" si="111"/>
        <v>4</v>
      </c>
      <c r="B314" s="137">
        <v>4486</v>
      </c>
      <c r="C314" s="150" t="s">
        <v>349</v>
      </c>
      <c r="D314" s="126">
        <v>1963</v>
      </c>
      <c r="E314" s="126" t="s">
        <v>230</v>
      </c>
      <c r="F314" s="126" t="s">
        <v>81</v>
      </c>
      <c r="G314" s="15">
        <v>308.44</v>
      </c>
      <c r="H314" s="15">
        <v>285.2</v>
      </c>
      <c r="I314" s="138">
        <v>13</v>
      </c>
      <c r="J314" s="15">
        <f>'Форма 2'!I1169</f>
        <v>92041.17</v>
      </c>
      <c r="K314" s="15">
        <v>0</v>
      </c>
      <c r="L314" s="15">
        <v>0</v>
      </c>
      <c r="M314" s="15">
        <v>0</v>
      </c>
      <c r="N314" s="15">
        <f t="shared" si="109"/>
        <v>92041.17</v>
      </c>
      <c r="O314" s="15">
        <f>SUM(O315:O361)</f>
        <v>0</v>
      </c>
      <c r="P314" s="15">
        <f t="shared" si="110"/>
        <v>322.73</v>
      </c>
      <c r="Q314" s="15">
        <f>'Форма 2'!K1169</f>
        <v>333</v>
      </c>
      <c r="R314" s="18">
        <v>2021</v>
      </c>
      <c r="S314" s="153">
        <v>1</v>
      </c>
    </row>
    <row r="315" spans="1:19" s="41" customFormat="1" ht="17.25" customHeight="1" x14ac:dyDescent="0.25">
      <c r="A315" s="102">
        <f t="shared" si="111"/>
        <v>5</v>
      </c>
      <c r="B315" s="137">
        <v>4616</v>
      </c>
      <c r="C315" s="150" t="s">
        <v>350</v>
      </c>
      <c r="D315" s="126">
        <v>1963</v>
      </c>
      <c r="E315" s="126" t="s">
        <v>68</v>
      </c>
      <c r="F315" s="126" t="s">
        <v>81</v>
      </c>
      <c r="G315" s="15">
        <v>443.28</v>
      </c>
      <c r="H315" s="15">
        <v>404.18</v>
      </c>
      <c r="I315" s="138">
        <v>13</v>
      </c>
      <c r="J315" s="15">
        <f>'Форма 2'!I1172</f>
        <v>95255.12</v>
      </c>
      <c r="K315" s="15">
        <v>0</v>
      </c>
      <c r="L315" s="15">
        <v>0</v>
      </c>
      <c r="M315" s="15">
        <v>0</v>
      </c>
      <c r="N315" s="15">
        <f t="shared" si="109"/>
        <v>95255.12</v>
      </c>
      <c r="O315" s="15">
        <f>SUM(O316:O362)</f>
        <v>0</v>
      </c>
      <c r="P315" s="15">
        <f t="shared" si="110"/>
        <v>235.67</v>
      </c>
      <c r="Q315" s="15">
        <f>'Форма 2'!K1172</f>
        <v>247</v>
      </c>
      <c r="R315" s="18">
        <v>2021</v>
      </c>
      <c r="S315" s="153">
        <v>1</v>
      </c>
    </row>
    <row r="316" spans="1:19" s="41" customFormat="1" ht="17.25" customHeight="1" x14ac:dyDescent="0.25">
      <c r="A316" s="102">
        <f t="shared" si="111"/>
        <v>6</v>
      </c>
      <c r="B316" s="137">
        <v>4399</v>
      </c>
      <c r="C316" s="150" t="s">
        <v>435</v>
      </c>
      <c r="D316" s="126">
        <v>1967</v>
      </c>
      <c r="E316" s="126" t="s">
        <v>68</v>
      </c>
      <c r="F316" s="126" t="s">
        <v>81</v>
      </c>
      <c r="G316" s="15">
        <v>374.4</v>
      </c>
      <c r="H316" s="15">
        <v>351</v>
      </c>
      <c r="I316" s="138">
        <v>12</v>
      </c>
      <c r="J316" s="15">
        <f>'Форма 2'!I1174</f>
        <v>82721.929999999993</v>
      </c>
      <c r="K316" s="15">
        <v>0</v>
      </c>
      <c r="L316" s="15">
        <v>0</v>
      </c>
      <c r="M316" s="15">
        <v>0</v>
      </c>
      <c r="N316" s="15">
        <f t="shared" si="109"/>
        <v>82721.929999999993</v>
      </c>
      <c r="O316" s="15">
        <f>SUM(O317:O363)</f>
        <v>0</v>
      </c>
      <c r="P316" s="15">
        <f t="shared" si="110"/>
        <v>235.68</v>
      </c>
      <c r="Q316" s="15">
        <f>'Форма 2'!K1174</f>
        <v>247</v>
      </c>
      <c r="R316" s="18">
        <v>2021</v>
      </c>
      <c r="S316" s="153">
        <v>1</v>
      </c>
    </row>
    <row r="317" spans="1:19" s="41" customFormat="1" ht="17.25" customHeight="1" x14ac:dyDescent="0.25">
      <c r="A317" s="102">
        <f t="shared" si="111"/>
        <v>7</v>
      </c>
      <c r="B317" s="130">
        <v>4429</v>
      </c>
      <c r="C317" s="136" t="s">
        <v>436</v>
      </c>
      <c r="D317" s="16">
        <v>1983</v>
      </c>
      <c r="E317" s="126" t="s">
        <v>68</v>
      </c>
      <c r="F317" s="126" t="s">
        <v>82</v>
      </c>
      <c r="G317" s="348">
        <v>3629.08</v>
      </c>
      <c r="H317" s="348">
        <v>2632.73</v>
      </c>
      <c r="I317" s="138">
        <v>75</v>
      </c>
      <c r="J317" s="140">
        <f>'Форма 2'!I1176</f>
        <v>7100735.6299999999</v>
      </c>
      <c r="K317" s="15">
        <v>0</v>
      </c>
      <c r="L317" s="15">
        <v>0</v>
      </c>
      <c r="M317" s="15">
        <v>0</v>
      </c>
      <c r="N317" s="15">
        <f t="shared" si="109"/>
        <v>7100735.6299999999</v>
      </c>
      <c r="O317" s="15">
        <f>SUM(O318:O367)</f>
        <v>0</v>
      </c>
      <c r="P317" s="140">
        <f t="shared" si="110"/>
        <v>2697.1</v>
      </c>
      <c r="Q317" s="15">
        <f>'Форма 2'!K1176</f>
        <v>3878</v>
      </c>
      <c r="R317" s="18">
        <v>2021</v>
      </c>
      <c r="S317" s="153">
        <v>1</v>
      </c>
    </row>
    <row r="318" spans="1:19" s="41" customFormat="1" ht="15.75" customHeight="1" x14ac:dyDescent="0.25">
      <c r="A318" s="102">
        <f t="shared" si="111"/>
        <v>8</v>
      </c>
      <c r="B318" s="133">
        <v>4437</v>
      </c>
      <c r="C318" s="149" t="s">
        <v>351</v>
      </c>
      <c r="D318" s="16">
        <v>1965</v>
      </c>
      <c r="E318" s="126" t="s">
        <v>68</v>
      </c>
      <c r="F318" s="126" t="s">
        <v>81</v>
      </c>
      <c r="G318" s="348">
        <v>1037</v>
      </c>
      <c r="H318" s="348">
        <v>965.1</v>
      </c>
      <c r="I318" s="138">
        <v>33</v>
      </c>
      <c r="J318" s="140">
        <f>'Форма 2'!I1179</f>
        <v>227449.94</v>
      </c>
      <c r="K318" s="15">
        <v>0</v>
      </c>
      <c r="L318" s="15">
        <v>0</v>
      </c>
      <c r="M318" s="15">
        <v>0</v>
      </c>
      <c r="N318" s="15">
        <f t="shared" si="109"/>
        <v>227449.94</v>
      </c>
      <c r="O318" s="15">
        <f>SUM(O319:O368)</f>
        <v>0</v>
      </c>
      <c r="P318" s="140">
        <f t="shared" si="110"/>
        <v>235.67</v>
      </c>
      <c r="Q318" s="15">
        <f>'Форма 2'!K1179</f>
        <v>247</v>
      </c>
      <c r="R318" s="18">
        <v>2021</v>
      </c>
      <c r="S318" s="153">
        <v>1</v>
      </c>
    </row>
    <row r="319" spans="1:19" s="41" customFormat="1" ht="15.75" customHeight="1" x14ac:dyDescent="0.25">
      <c r="A319" s="102">
        <f t="shared" si="111"/>
        <v>9</v>
      </c>
      <c r="B319" s="137">
        <v>8083</v>
      </c>
      <c r="C319" s="150" t="s">
        <v>352</v>
      </c>
      <c r="D319" s="126">
        <v>1953</v>
      </c>
      <c r="E319" s="126" t="s">
        <v>89</v>
      </c>
      <c r="F319" s="126" t="s">
        <v>82</v>
      </c>
      <c r="G319" s="15">
        <v>425.58</v>
      </c>
      <c r="H319" s="15">
        <v>325.16000000000003</v>
      </c>
      <c r="I319" s="138">
        <v>12</v>
      </c>
      <c r="J319" s="15">
        <f>'Форма 2'!I1181</f>
        <v>966700.68</v>
      </c>
      <c r="K319" s="15">
        <v>0</v>
      </c>
      <c r="L319" s="15">
        <v>0</v>
      </c>
      <c r="M319" s="15">
        <v>0</v>
      </c>
      <c r="N319" s="15">
        <f t="shared" si="109"/>
        <v>966700.68</v>
      </c>
      <c r="O319" s="15">
        <f>SUM(O320:O369)</f>
        <v>0</v>
      </c>
      <c r="P319" s="15">
        <f t="shared" si="110"/>
        <v>2973</v>
      </c>
      <c r="Q319" s="15">
        <f>'Форма 2'!K1181</f>
        <v>2973</v>
      </c>
      <c r="R319" s="18">
        <v>2021</v>
      </c>
      <c r="S319" s="153">
        <v>1</v>
      </c>
    </row>
    <row r="320" spans="1:19" s="41" customFormat="1" ht="15.75" customHeight="1" x14ac:dyDescent="0.25">
      <c r="A320" s="102">
        <f t="shared" si="111"/>
        <v>10</v>
      </c>
      <c r="B320" s="131">
        <v>4478</v>
      </c>
      <c r="C320" s="152" t="s">
        <v>115</v>
      </c>
      <c r="D320" s="131">
        <v>1974</v>
      </c>
      <c r="E320" s="134" t="s">
        <v>112</v>
      </c>
      <c r="F320" s="126" t="s">
        <v>82</v>
      </c>
      <c r="G320" s="132">
        <v>3780</v>
      </c>
      <c r="H320" s="132">
        <v>2933.1</v>
      </c>
      <c r="I320" s="138">
        <v>96</v>
      </c>
      <c r="J320" s="15">
        <f>'Форма 2'!I1184</f>
        <v>10979952.140000001</v>
      </c>
      <c r="K320" s="15">
        <v>0</v>
      </c>
      <c r="L320" s="15">
        <v>0</v>
      </c>
      <c r="M320" s="15">
        <v>0</v>
      </c>
      <c r="N320" s="15">
        <f t="shared" si="109"/>
        <v>10979952.140000001</v>
      </c>
      <c r="O320" s="15">
        <f>SUM(O321:O369)</f>
        <v>0</v>
      </c>
      <c r="P320" s="15">
        <f>J320/H320</f>
        <v>3743.46</v>
      </c>
      <c r="Q320" s="15">
        <f>'Форма 2'!K1184</f>
        <v>7631</v>
      </c>
      <c r="R320" s="18">
        <v>2021</v>
      </c>
      <c r="S320" s="153">
        <v>1</v>
      </c>
    </row>
    <row r="321" spans="1:19" s="41" customFormat="1" ht="15.75" customHeight="1" x14ac:dyDescent="0.25">
      <c r="A321" s="102">
        <f t="shared" si="111"/>
        <v>11</v>
      </c>
      <c r="B321" s="133">
        <v>4440</v>
      </c>
      <c r="C321" s="149" t="s">
        <v>353</v>
      </c>
      <c r="D321" s="16">
        <v>1965</v>
      </c>
      <c r="E321" s="126" t="s">
        <v>68</v>
      </c>
      <c r="F321" s="126" t="s">
        <v>87</v>
      </c>
      <c r="G321" s="348">
        <v>427.77</v>
      </c>
      <c r="H321" s="348">
        <v>386.57</v>
      </c>
      <c r="I321" s="138">
        <v>8</v>
      </c>
      <c r="J321" s="140">
        <f>'Форма 2'!I1189</f>
        <v>3063055.04</v>
      </c>
      <c r="K321" s="15">
        <v>0</v>
      </c>
      <c r="L321" s="15">
        <v>0</v>
      </c>
      <c r="M321" s="15">
        <v>0</v>
      </c>
      <c r="N321" s="15">
        <f t="shared" si="109"/>
        <v>3063055.04</v>
      </c>
      <c r="O321" s="15">
        <f>SUM(O322:O371)</f>
        <v>0</v>
      </c>
      <c r="P321" s="140">
        <f>J321/H321</f>
        <v>7923.67</v>
      </c>
      <c r="Q321" s="15">
        <f>'Форма 2'!K1189</f>
        <v>7935</v>
      </c>
      <c r="R321" s="18">
        <v>2021</v>
      </c>
      <c r="S321" s="153">
        <v>1</v>
      </c>
    </row>
    <row r="322" spans="1:19" s="41" customFormat="1" ht="15.75" customHeight="1" x14ac:dyDescent="0.25">
      <c r="A322" s="102">
        <f t="shared" si="111"/>
        <v>12</v>
      </c>
      <c r="B322" s="133">
        <v>4480</v>
      </c>
      <c r="C322" s="149" t="s">
        <v>354</v>
      </c>
      <c r="D322" s="16">
        <v>1956</v>
      </c>
      <c r="E322" s="126" t="s">
        <v>68</v>
      </c>
      <c r="F322" s="126" t="s">
        <v>82</v>
      </c>
      <c r="G322" s="348">
        <v>426.1</v>
      </c>
      <c r="H322" s="348">
        <v>385</v>
      </c>
      <c r="I322" s="138">
        <v>16</v>
      </c>
      <c r="J322" s="140">
        <f>'Форма 2'!I1193</f>
        <v>2959880</v>
      </c>
      <c r="K322" s="15">
        <v>0</v>
      </c>
      <c r="L322" s="15">
        <v>0</v>
      </c>
      <c r="M322" s="15">
        <v>0</v>
      </c>
      <c r="N322" s="15">
        <f t="shared" si="109"/>
        <v>2959880</v>
      </c>
      <c r="O322" s="15">
        <f>SUM(O323:O372)</f>
        <v>0</v>
      </c>
      <c r="P322" s="140">
        <f t="shared" si="110"/>
        <v>7688</v>
      </c>
      <c r="Q322" s="15">
        <f>'Форма 2'!K1193</f>
        <v>7688</v>
      </c>
      <c r="R322" s="18">
        <v>2021</v>
      </c>
      <c r="S322" s="153">
        <v>1</v>
      </c>
    </row>
    <row r="323" spans="1:19" s="41" customFormat="1" ht="15.75" customHeight="1" x14ac:dyDescent="0.25">
      <c r="A323" s="102">
        <f t="shared" si="111"/>
        <v>13</v>
      </c>
      <c r="B323" s="137">
        <v>4481</v>
      </c>
      <c r="C323" s="150" t="s">
        <v>355</v>
      </c>
      <c r="D323" s="126">
        <v>1965</v>
      </c>
      <c r="E323" s="126" t="s">
        <v>68</v>
      </c>
      <c r="F323" s="126" t="s">
        <v>81</v>
      </c>
      <c r="G323" s="15">
        <v>451.5</v>
      </c>
      <c r="H323" s="15">
        <v>388.18</v>
      </c>
      <c r="I323" s="138">
        <v>12</v>
      </c>
      <c r="J323" s="15">
        <f>'Форма 2'!I1196</f>
        <v>91484.32</v>
      </c>
      <c r="K323" s="15">
        <v>0</v>
      </c>
      <c r="L323" s="15">
        <v>0</v>
      </c>
      <c r="M323" s="15">
        <v>0</v>
      </c>
      <c r="N323" s="15">
        <f t="shared" si="109"/>
        <v>91484.32</v>
      </c>
      <c r="O323" s="15">
        <f>SUM(O324:O373)</f>
        <v>0</v>
      </c>
      <c r="P323" s="15">
        <f t="shared" si="110"/>
        <v>235.67</v>
      </c>
      <c r="Q323" s="15">
        <f>'Форма 2'!K1196</f>
        <v>247</v>
      </c>
      <c r="R323" s="18">
        <v>2021</v>
      </c>
      <c r="S323" s="153">
        <v>1</v>
      </c>
    </row>
    <row r="324" spans="1:19" s="41" customFormat="1" ht="15.75" customHeight="1" x14ac:dyDescent="0.25">
      <c r="A324" s="102">
        <f t="shared" si="111"/>
        <v>14</v>
      </c>
      <c r="B324" s="137">
        <v>4532</v>
      </c>
      <c r="C324" s="150" t="s">
        <v>356</v>
      </c>
      <c r="D324" s="126">
        <v>1938</v>
      </c>
      <c r="E324" s="126" t="s">
        <v>230</v>
      </c>
      <c r="F324" s="126" t="s">
        <v>82</v>
      </c>
      <c r="G324" s="15">
        <v>347</v>
      </c>
      <c r="H324" s="15">
        <v>317.3</v>
      </c>
      <c r="I324" s="138">
        <v>19</v>
      </c>
      <c r="J324" s="15">
        <f>'Форма 2'!I1198</f>
        <v>667656.56999999995</v>
      </c>
      <c r="K324" s="15">
        <v>0</v>
      </c>
      <c r="L324" s="15">
        <v>0</v>
      </c>
      <c r="M324" s="15">
        <v>0</v>
      </c>
      <c r="N324" s="15">
        <f t="shared" si="109"/>
        <v>667656.56999999995</v>
      </c>
      <c r="O324" s="15">
        <f>SUM(O328:O374)</f>
        <v>0</v>
      </c>
      <c r="P324" s="15">
        <f>J324/H324</f>
        <v>2104.1799999999998</v>
      </c>
      <c r="Q324" s="15">
        <f>'Форма 2'!K1198</f>
        <v>3497</v>
      </c>
      <c r="R324" s="18">
        <v>2021</v>
      </c>
      <c r="S324" s="153">
        <v>1</v>
      </c>
    </row>
    <row r="325" spans="1:19" s="41" customFormat="1" ht="15.75" customHeight="1" x14ac:dyDescent="0.25">
      <c r="A325" s="196" t="s">
        <v>533</v>
      </c>
      <c r="B325" s="197"/>
      <c r="C325" s="198"/>
      <c r="D325" s="126" t="s">
        <v>13</v>
      </c>
      <c r="E325" s="126" t="s">
        <v>13</v>
      </c>
      <c r="F325" s="126" t="s">
        <v>13</v>
      </c>
      <c r="G325" s="15">
        <f t="shared" ref="G325:O325" si="112">G326+G327</f>
        <v>839.3</v>
      </c>
      <c r="H325" s="15">
        <f t="shared" si="112"/>
        <v>757.6</v>
      </c>
      <c r="I325" s="10">
        <f t="shared" si="112"/>
        <v>28</v>
      </c>
      <c r="J325" s="15">
        <f t="shared" si="112"/>
        <v>3221878.9</v>
      </c>
      <c r="K325" s="15">
        <f t="shared" si="112"/>
        <v>0</v>
      </c>
      <c r="L325" s="15">
        <f t="shared" si="112"/>
        <v>0</v>
      </c>
      <c r="M325" s="15">
        <f t="shared" si="112"/>
        <v>0</v>
      </c>
      <c r="N325" s="15">
        <f t="shared" si="112"/>
        <v>3221878.9</v>
      </c>
      <c r="O325" s="15">
        <f t="shared" si="112"/>
        <v>0</v>
      </c>
      <c r="P325" s="15" t="s">
        <v>13</v>
      </c>
      <c r="Q325" s="15" t="s">
        <v>13</v>
      </c>
      <c r="R325" s="6" t="s">
        <v>13</v>
      </c>
      <c r="S325" s="15" t="s">
        <v>13</v>
      </c>
    </row>
    <row r="326" spans="1:19" s="41" customFormat="1" ht="15.75" customHeight="1" x14ac:dyDescent="0.25">
      <c r="A326" s="126">
        <v>1</v>
      </c>
      <c r="B326" s="126">
        <v>4784</v>
      </c>
      <c r="C326" s="142" t="s">
        <v>532</v>
      </c>
      <c r="D326" s="126">
        <v>1962</v>
      </c>
      <c r="E326" s="126" t="s">
        <v>181</v>
      </c>
      <c r="F326" s="126" t="s">
        <v>82</v>
      </c>
      <c r="G326" s="9">
        <v>424.3</v>
      </c>
      <c r="H326" s="9">
        <v>381.3</v>
      </c>
      <c r="I326" s="10">
        <v>12</v>
      </c>
      <c r="J326" s="15">
        <f>'Форма 2'!I1204</f>
        <v>3127803.9</v>
      </c>
      <c r="K326" s="15">
        <v>0</v>
      </c>
      <c r="L326" s="15">
        <v>0</v>
      </c>
      <c r="M326" s="15">
        <v>0</v>
      </c>
      <c r="N326" s="15">
        <f>J326-K326-L326-M326-O326</f>
        <v>3127803.9</v>
      </c>
      <c r="O326" s="15">
        <v>0</v>
      </c>
      <c r="P326" s="15">
        <f>J326/H326</f>
        <v>8203</v>
      </c>
      <c r="Q326" s="15">
        <f>'Форма 2'!K1204</f>
        <v>8203</v>
      </c>
      <c r="R326" s="18">
        <v>2021</v>
      </c>
      <c r="S326" s="10">
        <v>1</v>
      </c>
    </row>
    <row r="327" spans="1:19" s="41" customFormat="1" ht="15.75" customHeight="1" x14ac:dyDescent="0.25">
      <c r="A327" s="126">
        <f>A326+1</f>
        <v>2</v>
      </c>
      <c r="B327" s="126">
        <v>4777</v>
      </c>
      <c r="C327" s="142" t="s">
        <v>562</v>
      </c>
      <c r="D327" s="126">
        <v>1965</v>
      </c>
      <c r="E327" s="126" t="s">
        <v>181</v>
      </c>
      <c r="F327" s="126" t="s">
        <v>81</v>
      </c>
      <c r="G327" s="9">
        <v>415</v>
      </c>
      <c r="H327" s="9">
        <v>376.3</v>
      </c>
      <c r="I327" s="10">
        <v>16</v>
      </c>
      <c r="J327" s="15">
        <f>'Форма 2'!I1207</f>
        <v>94075</v>
      </c>
      <c r="K327" s="15">
        <v>0</v>
      </c>
      <c r="L327" s="15">
        <v>0</v>
      </c>
      <c r="M327" s="15">
        <v>0</v>
      </c>
      <c r="N327" s="15">
        <f>J327-K327-L327-M327-O327</f>
        <v>94075</v>
      </c>
      <c r="O327" s="15">
        <v>0</v>
      </c>
      <c r="P327" s="15">
        <f>J327/H327</f>
        <v>250</v>
      </c>
      <c r="Q327" s="15">
        <f>'Форма 2'!K1207</f>
        <v>250</v>
      </c>
      <c r="R327" s="18">
        <v>2021</v>
      </c>
      <c r="S327" s="10">
        <v>1</v>
      </c>
    </row>
    <row r="328" spans="1:19" s="41" customFormat="1" ht="15.75" customHeight="1" x14ac:dyDescent="0.25">
      <c r="A328" s="183" t="s">
        <v>30</v>
      </c>
      <c r="B328" s="183"/>
      <c r="C328" s="183"/>
      <c r="D328" s="5" t="s">
        <v>13</v>
      </c>
      <c r="E328" s="15" t="s">
        <v>13</v>
      </c>
      <c r="F328" s="15" t="s">
        <v>13</v>
      </c>
      <c r="G328" s="15">
        <f>G329</f>
        <v>784.1</v>
      </c>
      <c r="H328" s="15">
        <f t="shared" ref="H328:O328" si="113">H329</f>
        <v>721.7</v>
      </c>
      <c r="I328" s="10">
        <f t="shared" si="113"/>
        <v>44</v>
      </c>
      <c r="J328" s="15">
        <f t="shared" si="113"/>
        <v>1794144.04</v>
      </c>
      <c r="K328" s="15">
        <f t="shared" si="113"/>
        <v>0</v>
      </c>
      <c r="L328" s="15">
        <f t="shared" si="113"/>
        <v>0</v>
      </c>
      <c r="M328" s="15">
        <f t="shared" si="113"/>
        <v>0</v>
      </c>
      <c r="N328" s="15">
        <f t="shared" si="113"/>
        <v>1794144.04</v>
      </c>
      <c r="O328" s="15">
        <f t="shared" si="113"/>
        <v>0</v>
      </c>
      <c r="P328" s="15" t="s">
        <v>13</v>
      </c>
      <c r="Q328" s="15" t="s">
        <v>13</v>
      </c>
      <c r="R328" s="15" t="s">
        <v>13</v>
      </c>
      <c r="S328" s="10" t="s">
        <v>13</v>
      </c>
    </row>
    <row r="329" spans="1:19" s="41" customFormat="1" ht="15.75" customHeight="1" x14ac:dyDescent="0.25">
      <c r="A329" s="113">
        <v>1</v>
      </c>
      <c r="B329" s="137">
        <v>6711</v>
      </c>
      <c r="C329" s="150" t="s">
        <v>463</v>
      </c>
      <c r="D329" s="126">
        <v>1976</v>
      </c>
      <c r="E329" s="126" t="s">
        <v>465</v>
      </c>
      <c r="F329" s="126" t="s">
        <v>82</v>
      </c>
      <c r="G329" s="15">
        <v>784.1</v>
      </c>
      <c r="H329" s="15">
        <v>721.7</v>
      </c>
      <c r="I329" s="349">
        <v>44</v>
      </c>
      <c r="J329" s="15">
        <f>'Форма 2'!I1210</f>
        <v>1794144.04</v>
      </c>
      <c r="K329" s="15">
        <v>0</v>
      </c>
      <c r="L329" s="15">
        <v>0</v>
      </c>
      <c r="M329" s="15">
        <v>0</v>
      </c>
      <c r="N329" s="15">
        <f>J329-K329-L329-M329-O329</f>
        <v>1794144.04</v>
      </c>
      <c r="O329" s="15">
        <v>0</v>
      </c>
      <c r="P329" s="15">
        <f>J329/H329</f>
        <v>2486</v>
      </c>
      <c r="Q329" s="15">
        <f>'Форма 2'!K1210</f>
        <v>3568</v>
      </c>
      <c r="R329" s="18">
        <v>2021</v>
      </c>
      <c r="S329" s="153">
        <v>1</v>
      </c>
    </row>
    <row r="330" spans="1:19" s="41" customFormat="1" ht="15.75" customHeight="1" x14ac:dyDescent="0.25">
      <c r="A330" s="189" t="s">
        <v>47</v>
      </c>
      <c r="B330" s="189"/>
      <c r="C330" s="189"/>
      <c r="D330" s="5" t="s">
        <v>13</v>
      </c>
      <c r="E330" s="15" t="s">
        <v>13</v>
      </c>
      <c r="F330" s="15" t="s">
        <v>13</v>
      </c>
      <c r="G330" s="15">
        <f>SUM(G331:G376)</f>
        <v>324490.94</v>
      </c>
      <c r="H330" s="15">
        <f t="shared" ref="H330:O330" si="114">SUM(H331:H376)</f>
        <v>266149.95</v>
      </c>
      <c r="I330" s="10">
        <f t="shared" si="114"/>
        <v>9847</v>
      </c>
      <c r="J330" s="15">
        <f t="shared" si="114"/>
        <v>235135664.30000001</v>
      </c>
      <c r="K330" s="15">
        <f t="shared" si="114"/>
        <v>0</v>
      </c>
      <c r="L330" s="15">
        <f t="shared" si="114"/>
        <v>0</v>
      </c>
      <c r="M330" s="15">
        <f t="shared" si="114"/>
        <v>0</v>
      </c>
      <c r="N330" s="15">
        <f t="shared" si="114"/>
        <v>235135664.30000001</v>
      </c>
      <c r="O330" s="15">
        <f t="shared" si="114"/>
        <v>0</v>
      </c>
      <c r="P330" s="15" t="s">
        <v>13</v>
      </c>
      <c r="Q330" s="15" t="s">
        <v>13</v>
      </c>
      <c r="R330" s="15" t="s">
        <v>13</v>
      </c>
      <c r="S330" s="10" t="s">
        <v>13</v>
      </c>
    </row>
    <row r="331" spans="1:19" s="41" customFormat="1" ht="15.75" customHeight="1" x14ac:dyDescent="0.25">
      <c r="A331" s="126">
        <v>1</v>
      </c>
      <c r="B331" s="126">
        <v>5956</v>
      </c>
      <c r="C331" s="142" t="s">
        <v>394</v>
      </c>
      <c r="D331" s="134">
        <v>1953</v>
      </c>
      <c r="E331" s="134" t="s">
        <v>93</v>
      </c>
      <c r="F331" s="134" t="s">
        <v>83</v>
      </c>
      <c r="G331" s="15">
        <v>1328.5</v>
      </c>
      <c r="H331" s="15">
        <v>1225.2</v>
      </c>
      <c r="I331" s="10">
        <v>46</v>
      </c>
      <c r="J331" s="15">
        <f>'Форма 2'!I1216</f>
        <v>1696656.96</v>
      </c>
      <c r="K331" s="15">
        <v>0</v>
      </c>
      <c r="L331" s="15">
        <v>0</v>
      </c>
      <c r="M331" s="15">
        <v>0</v>
      </c>
      <c r="N331" s="15">
        <f t="shared" ref="N331:N375" si="115">J331-K331-L331-M331-O331</f>
        <v>1696656.96</v>
      </c>
      <c r="O331" s="15">
        <v>0</v>
      </c>
      <c r="P331" s="15">
        <f t="shared" ref="P331:P376" si="116">J331/H331</f>
        <v>1384.8</v>
      </c>
      <c r="Q331" s="15">
        <f>'Форма 2'!K1216</f>
        <v>4161</v>
      </c>
      <c r="R331" s="18">
        <v>2022</v>
      </c>
      <c r="S331" s="153">
        <v>1</v>
      </c>
    </row>
    <row r="332" spans="1:19" s="41" customFormat="1" ht="15.75" customHeight="1" x14ac:dyDescent="0.25">
      <c r="A332" s="126">
        <f>A331+1</f>
        <v>2</v>
      </c>
      <c r="B332" s="126">
        <v>5990</v>
      </c>
      <c r="C332" s="142" t="s">
        <v>395</v>
      </c>
      <c r="D332" s="134">
        <v>1960</v>
      </c>
      <c r="E332" s="134" t="s">
        <v>68</v>
      </c>
      <c r="F332" s="134" t="s">
        <v>83</v>
      </c>
      <c r="G332" s="15">
        <v>3890.8</v>
      </c>
      <c r="H332" s="15">
        <v>3134</v>
      </c>
      <c r="I332" s="10">
        <v>117</v>
      </c>
      <c r="J332" s="15">
        <f>'Форма 2'!I1223</f>
        <v>3999751.81</v>
      </c>
      <c r="K332" s="15">
        <v>0</v>
      </c>
      <c r="L332" s="15">
        <v>0</v>
      </c>
      <c r="M332" s="15">
        <v>0</v>
      </c>
      <c r="N332" s="15">
        <f t="shared" si="115"/>
        <v>3999751.81</v>
      </c>
      <c r="O332" s="15">
        <v>0</v>
      </c>
      <c r="P332" s="15">
        <f t="shared" si="116"/>
        <v>1276.24</v>
      </c>
      <c r="Q332" s="15">
        <f>'Форма 2'!K1223</f>
        <v>3966</v>
      </c>
      <c r="R332" s="18">
        <v>2022</v>
      </c>
      <c r="S332" s="153">
        <v>1</v>
      </c>
    </row>
    <row r="333" spans="1:19" s="2" customFormat="1" ht="15.75" customHeight="1" x14ac:dyDescent="0.25">
      <c r="A333" s="126">
        <f t="shared" ref="A333:A375" si="117">A332+1</f>
        <v>3</v>
      </c>
      <c r="B333" s="126">
        <v>6007</v>
      </c>
      <c r="C333" s="142" t="s">
        <v>396</v>
      </c>
      <c r="D333" s="134">
        <v>1961</v>
      </c>
      <c r="E333" s="134" t="s">
        <v>68</v>
      </c>
      <c r="F333" s="134" t="s">
        <v>81</v>
      </c>
      <c r="G333" s="15">
        <v>4050.5</v>
      </c>
      <c r="H333" s="15">
        <v>3159.5</v>
      </c>
      <c r="I333" s="10">
        <v>121</v>
      </c>
      <c r="J333" s="15">
        <f>'Форма 2'!I1226</f>
        <v>436618.56</v>
      </c>
      <c r="K333" s="15">
        <v>0</v>
      </c>
      <c r="L333" s="15">
        <v>0</v>
      </c>
      <c r="M333" s="15">
        <v>0</v>
      </c>
      <c r="N333" s="15">
        <f t="shared" si="115"/>
        <v>436618.56</v>
      </c>
      <c r="O333" s="15">
        <v>0</v>
      </c>
      <c r="P333" s="15">
        <f t="shared" si="116"/>
        <v>138.19</v>
      </c>
      <c r="Q333" s="15">
        <f>'Форма 2'!K1226</f>
        <v>169</v>
      </c>
      <c r="R333" s="18">
        <v>2021</v>
      </c>
      <c r="S333" s="153">
        <v>1</v>
      </c>
    </row>
    <row r="334" spans="1:19" s="41" customFormat="1" ht="15.75" customHeight="1" x14ac:dyDescent="0.25">
      <c r="A334" s="126">
        <f t="shared" si="117"/>
        <v>4</v>
      </c>
      <c r="B334" s="137">
        <v>6024</v>
      </c>
      <c r="C334" s="150" t="s">
        <v>397</v>
      </c>
      <c r="D334" s="134">
        <v>1966</v>
      </c>
      <c r="E334" s="135" t="s">
        <v>68</v>
      </c>
      <c r="F334" s="134" t="s">
        <v>81</v>
      </c>
      <c r="G334" s="15">
        <v>2982.4</v>
      </c>
      <c r="H334" s="15">
        <v>2445.6</v>
      </c>
      <c r="I334" s="10">
        <v>98</v>
      </c>
      <c r="J334" s="15">
        <f>'Форма 2'!I1228</f>
        <v>401078.4</v>
      </c>
      <c r="K334" s="15">
        <v>0</v>
      </c>
      <c r="L334" s="15">
        <v>0</v>
      </c>
      <c r="M334" s="15">
        <v>0</v>
      </c>
      <c r="N334" s="15">
        <f t="shared" si="115"/>
        <v>401078.4</v>
      </c>
      <c r="O334" s="15">
        <v>0</v>
      </c>
      <c r="P334" s="9">
        <f t="shared" si="116"/>
        <v>164</v>
      </c>
      <c r="Q334" s="15">
        <f>'Форма 2'!K1228</f>
        <v>164</v>
      </c>
      <c r="R334" s="18">
        <v>2021</v>
      </c>
      <c r="S334" s="153">
        <v>1</v>
      </c>
    </row>
    <row r="335" spans="1:19" s="41" customFormat="1" ht="15.75" customHeight="1" x14ac:dyDescent="0.25">
      <c r="A335" s="126">
        <f t="shared" si="117"/>
        <v>5</v>
      </c>
      <c r="B335" s="14">
        <v>6026</v>
      </c>
      <c r="C335" s="142" t="s">
        <v>386</v>
      </c>
      <c r="D335" s="134">
        <v>1982</v>
      </c>
      <c r="E335" s="135" t="s">
        <v>68</v>
      </c>
      <c r="F335" s="134" t="s">
        <v>114</v>
      </c>
      <c r="G335" s="15">
        <v>3706.7</v>
      </c>
      <c r="H335" s="15">
        <v>2728.7</v>
      </c>
      <c r="I335" s="10">
        <v>103</v>
      </c>
      <c r="J335" s="15">
        <f>'Форма 2'!I1230</f>
        <v>6428255.9900000002</v>
      </c>
      <c r="K335" s="15">
        <v>0</v>
      </c>
      <c r="L335" s="15">
        <v>0</v>
      </c>
      <c r="M335" s="15">
        <v>0</v>
      </c>
      <c r="N335" s="15">
        <f>J335-K335-L335-M335-O335</f>
        <v>6428255.9900000002</v>
      </c>
      <c r="O335" s="15">
        <v>0</v>
      </c>
      <c r="P335" s="15">
        <f t="shared" si="116"/>
        <v>2355.79</v>
      </c>
      <c r="Q335" s="15">
        <f>'Форма 2'!K1230</f>
        <v>3878</v>
      </c>
      <c r="R335" s="18">
        <v>2021</v>
      </c>
      <c r="S335" s="153">
        <v>1</v>
      </c>
    </row>
    <row r="336" spans="1:19" s="41" customFormat="1" ht="15.75" customHeight="1" x14ac:dyDescent="0.25">
      <c r="A336" s="126">
        <f t="shared" si="117"/>
        <v>6</v>
      </c>
      <c r="B336" s="14">
        <v>6030</v>
      </c>
      <c r="C336" s="142" t="s">
        <v>387</v>
      </c>
      <c r="D336" s="134">
        <v>1974</v>
      </c>
      <c r="E336" s="135" t="s">
        <v>68</v>
      </c>
      <c r="F336" s="134" t="s">
        <v>114</v>
      </c>
      <c r="G336" s="15">
        <v>17546.48</v>
      </c>
      <c r="H336" s="15">
        <v>16127.59</v>
      </c>
      <c r="I336" s="10">
        <v>458</v>
      </c>
      <c r="J336" s="15">
        <f>'Форма 2'!I1233</f>
        <v>10578755.75</v>
      </c>
      <c r="K336" s="15">
        <v>0</v>
      </c>
      <c r="L336" s="15">
        <v>0</v>
      </c>
      <c r="M336" s="15">
        <v>0</v>
      </c>
      <c r="N336" s="15">
        <f>J336-K336-L336-M336-O336</f>
        <v>10578755.75</v>
      </c>
      <c r="O336" s="15">
        <v>0</v>
      </c>
      <c r="P336" s="15">
        <f t="shared" si="116"/>
        <v>655.94</v>
      </c>
      <c r="Q336" s="15">
        <f>'Форма 2'!K1233</f>
        <v>2492</v>
      </c>
      <c r="R336" s="18">
        <v>2021</v>
      </c>
      <c r="S336" s="153">
        <v>1</v>
      </c>
    </row>
    <row r="337" spans="1:19" s="41" customFormat="1" ht="15.75" customHeight="1" x14ac:dyDescent="0.25">
      <c r="A337" s="126">
        <f>A336+1</f>
        <v>7</v>
      </c>
      <c r="B337" s="119">
        <v>6031</v>
      </c>
      <c r="C337" s="142" t="s">
        <v>420</v>
      </c>
      <c r="D337" s="134" t="s">
        <v>243</v>
      </c>
      <c r="E337" s="135" t="s">
        <v>68</v>
      </c>
      <c r="F337" s="134" t="s">
        <v>81</v>
      </c>
      <c r="G337" s="15">
        <v>7107.46</v>
      </c>
      <c r="H337" s="15">
        <v>5197.3900000000003</v>
      </c>
      <c r="I337" s="10">
        <v>196</v>
      </c>
      <c r="J337" s="15">
        <f>'Форма 2'!I1236</f>
        <v>556330.99</v>
      </c>
      <c r="K337" s="15">
        <v>0</v>
      </c>
      <c r="L337" s="15">
        <v>0</v>
      </c>
      <c r="M337" s="15">
        <v>0</v>
      </c>
      <c r="N337" s="15">
        <f t="shared" ref="N337" si="118">J337-K337-L337-M337-O337</f>
        <v>556330.99</v>
      </c>
      <c r="O337" s="15">
        <v>0</v>
      </c>
      <c r="P337" s="15">
        <f t="shared" si="116"/>
        <v>107.04</v>
      </c>
      <c r="Q337" s="15">
        <f>'Форма 2'!K1236</f>
        <v>169</v>
      </c>
      <c r="R337" s="18">
        <v>2021</v>
      </c>
      <c r="S337" s="153">
        <v>1</v>
      </c>
    </row>
    <row r="338" spans="1:19" s="41" customFormat="1" ht="15.75" customHeight="1" x14ac:dyDescent="0.25">
      <c r="A338" s="126">
        <f>A337+1</f>
        <v>8</v>
      </c>
      <c r="B338" s="126">
        <v>6039</v>
      </c>
      <c r="C338" s="142" t="s">
        <v>570</v>
      </c>
      <c r="D338" s="134">
        <v>1973</v>
      </c>
      <c r="E338" s="135" t="s">
        <v>86</v>
      </c>
      <c r="F338" s="134" t="s">
        <v>82</v>
      </c>
      <c r="G338" s="15">
        <v>10649.7</v>
      </c>
      <c r="H338" s="15">
        <v>6661.52</v>
      </c>
      <c r="I338" s="10">
        <v>252</v>
      </c>
      <c r="J338" s="15">
        <f>'Форма 2'!I1238</f>
        <v>2458756</v>
      </c>
      <c r="K338" s="15">
        <v>0</v>
      </c>
      <c r="L338" s="15">
        <v>0</v>
      </c>
      <c r="M338" s="15">
        <v>0</v>
      </c>
      <c r="N338" s="15">
        <f>J338-K338-L338-M338-O338</f>
        <v>2458756</v>
      </c>
      <c r="O338" s="15">
        <v>0</v>
      </c>
      <c r="P338" s="15">
        <f>J338/H338</f>
        <v>369.1</v>
      </c>
      <c r="Q338" s="15">
        <f>'Форма 2'!K1238</f>
        <v>377</v>
      </c>
      <c r="R338" s="18">
        <v>2021</v>
      </c>
      <c r="S338" s="153">
        <v>1</v>
      </c>
    </row>
    <row r="339" spans="1:19" s="41" customFormat="1" ht="31.5" customHeight="1" x14ac:dyDescent="0.25">
      <c r="A339" s="126">
        <f t="shared" si="117"/>
        <v>9</v>
      </c>
      <c r="B339" s="126">
        <v>6045</v>
      </c>
      <c r="C339" s="142" t="s">
        <v>580</v>
      </c>
      <c r="D339" s="134" t="s">
        <v>584</v>
      </c>
      <c r="E339" s="135" t="s">
        <v>86</v>
      </c>
      <c r="F339" s="134" t="s">
        <v>81</v>
      </c>
      <c r="G339" s="15">
        <v>39009.9</v>
      </c>
      <c r="H339" s="15">
        <v>34688.300000000003</v>
      </c>
      <c r="I339" s="10">
        <v>1375</v>
      </c>
      <c r="J339" s="15">
        <f>'Форма 2'!I1241</f>
        <v>32281</v>
      </c>
      <c r="K339" s="15">
        <v>0</v>
      </c>
      <c r="L339" s="15">
        <v>0</v>
      </c>
      <c r="M339" s="15">
        <v>0</v>
      </c>
      <c r="N339" s="15">
        <f>J339-K339-L339-M339-O339</f>
        <v>32281</v>
      </c>
      <c r="O339" s="15">
        <v>0</v>
      </c>
      <c r="P339" s="15">
        <f>J339/H339</f>
        <v>0.93</v>
      </c>
      <c r="Q339" s="15">
        <f>'Форма 2'!K1241</f>
        <v>0.93</v>
      </c>
      <c r="R339" s="18">
        <v>2021</v>
      </c>
      <c r="S339" s="153">
        <v>1</v>
      </c>
    </row>
    <row r="340" spans="1:19" s="41" customFormat="1" ht="47.25" customHeight="1" x14ac:dyDescent="0.25">
      <c r="A340" s="126">
        <f t="shared" si="117"/>
        <v>10</v>
      </c>
      <c r="B340" s="146">
        <v>6061</v>
      </c>
      <c r="C340" s="142" t="s">
        <v>466</v>
      </c>
      <c r="D340" s="134" t="s">
        <v>479</v>
      </c>
      <c r="E340" s="135" t="s">
        <v>86</v>
      </c>
      <c r="F340" s="134" t="s">
        <v>480</v>
      </c>
      <c r="G340" s="15">
        <v>46580.1</v>
      </c>
      <c r="H340" s="15">
        <v>43293.2</v>
      </c>
      <c r="I340" s="10">
        <v>1568</v>
      </c>
      <c r="J340" s="15">
        <f>'Форма 2'!I1243</f>
        <v>11369640</v>
      </c>
      <c r="K340" s="15">
        <v>0</v>
      </c>
      <c r="L340" s="15">
        <v>0</v>
      </c>
      <c r="M340" s="15">
        <v>0</v>
      </c>
      <c r="N340" s="15">
        <f>J340-K340-L340-M340-O340</f>
        <v>11369640</v>
      </c>
      <c r="O340" s="15">
        <v>0</v>
      </c>
      <c r="P340" s="15">
        <f>J340/H340</f>
        <v>262.62</v>
      </c>
      <c r="Q340" s="15">
        <f>'Форма 2'!K1243</f>
        <v>268.72000000000003</v>
      </c>
      <c r="R340" s="18">
        <v>2021</v>
      </c>
      <c r="S340" s="153">
        <v>1</v>
      </c>
    </row>
    <row r="341" spans="1:19" s="41" customFormat="1" ht="15.75" customHeight="1" x14ac:dyDescent="0.25">
      <c r="A341" s="126">
        <f>A340+1</f>
        <v>11</v>
      </c>
      <c r="B341" s="126">
        <v>5835</v>
      </c>
      <c r="C341" s="142" t="s">
        <v>398</v>
      </c>
      <c r="D341" s="134">
        <v>1960</v>
      </c>
      <c r="E341" s="134" t="s">
        <v>68</v>
      </c>
      <c r="F341" s="134" t="s">
        <v>83</v>
      </c>
      <c r="G341" s="15">
        <v>4087.2</v>
      </c>
      <c r="H341" s="15">
        <v>3133.1</v>
      </c>
      <c r="I341" s="10">
        <v>118</v>
      </c>
      <c r="J341" s="15">
        <f>'Форма 2'!I1259</f>
        <v>3999274.6</v>
      </c>
      <c r="K341" s="15">
        <v>0</v>
      </c>
      <c r="L341" s="15">
        <v>0</v>
      </c>
      <c r="M341" s="15">
        <v>0</v>
      </c>
      <c r="N341" s="15">
        <f t="shared" si="115"/>
        <v>3999274.6</v>
      </c>
      <c r="O341" s="15">
        <v>0</v>
      </c>
      <c r="P341" s="15">
        <f t="shared" si="116"/>
        <v>1276.46</v>
      </c>
      <c r="Q341" s="15">
        <f>'Форма 2'!K1259</f>
        <v>3966</v>
      </c>
      <c r="R341" s="18">
        <v>2022</v>
      </c>
      <c r="S341" s="153">
        <v>1</v>
      </c>
    </row>
    <row r="342" spans="1:19" s="41" customFormat="1" ht="15.75" customHeight="1" x14ac:dyDescent="0.25">
      <c r="A342" s="126">
        <f t="shared" si="117"/>
        <v>12</v>
      </c>
      <c r="B342" s="126">
        <v>5836</v>
      </c>
      <c r="C342" s="142" t="s">
        <v>399</v>
      </c>
      <c r="D342" s="134">
        <v>1959</v>
      </c>
      <c r="E342" s="134" t="s">
        <v>93</v>
      </c>
      <c r="F342" s="134" t="s">
        <v>83</v>
      </c>
      <c r="G342" s="15">
        <v>1657.2</v>
      </c>
      <c r="H342" s="15">
        <v>1222.0999999999999</v>
      </c>
      <c r="I342" s="10">
        <v>46</v>
      </c>
      <c r="J342" s="15">
        <f>'Форма 2'!I1262</f>
        <v>1692364.08</v>
      </c>
      <c r="K342" s="15">
        <v>0</v>
      </c>
      <c r="L342" s="15">
        <v>0</v>
      </c>
      <c r="M342" s="15">
        <v>0</v>
      </c>
      <c r="N342" s="15">
        <f t="shared" si="115"/>
        <v>1692364.08</v>
      </c>
      <c r="O342" s="15">
        <v>0</v>
      </c>
      <c r="P342" s="15">
        <f t="shared" si="116"/>
        <v>1384.8</v>
      </c>
      <c r="Q342" s="15">
        <f>'Форма 2'!K1262</f>
        <v>4161</v>
      </c>
      <c r="R342" s="18">
        <v>2022</v>
      </c>
      <c r="S342" s="153">
        <v>1</v>
      </c>
    </row>
    <row r="343" spans="1:19" s="41" customFormat="1" ht="15.75" customHeight="1" x14ac:dyDescent="0.25">
      <c r="A343" s="126">
        <f t="shared" si="117"/>
        <v>13</v>
      </c>
      <c r="B343" s="126">
        <v>5847</v>
      </c>
      <c r="C343" s="142" t="s">
        <v>400</v>
      </c>
      <c r="D343" s="134">
        <v>1969</v>
      </c>
      <c r="E343" s="135" t="s">
        <v>68</v>
      </c>
      <c r="F343" s="134" t="s">
        <v>83</v>
      </c>
      <c r="G343" s="15">
        <v>4420.6000000000004</v>
      </c>
      <c r="H343" s="15">
        <v>3433.2</v>
      </c>
      <c r="I343" s="10">
        <v>130</v>
      </c>
      <c r="J343" s="15">
        <f>'Форма 2'!I1269</f>
        <v>4353954.0199999996</v>
      </c>
      <c r="K343" s="15">
        <v>0</v>
      </c>
      <c r="L343" s="15">
        <v>0</v>
      </c>
      <c r="M343" s="15">
        <v>0</v>
      </c>
      <c r="N343" s="15">
        <f t="shared" si="115"/>
        <v>4353954.0199999996</v>
      </c>
      <c r="O343" s="15">
        <v>0</v>
      </c>
      <c r="P343" s="15">
        <f t="shared" si="116"/>
        <v>1268.19</v>
      </c>
      <c r="Q343" s="15">
        <f>'Форма 2'!K1269</f>
        <v>3966</v>
      </c>
      <c r="R343" s="18">
        <v>2022</v>
      </c>
      <c r="S343" s="153">
        <v>1</v>
      </c>
    </row>
    <row r="344" spans="1:19" s="41" customFormat="1" ht="15.75" customHeight="1" x14ac:dyDescent="0.25">
      <c r="A344" s="126">
        <f t="shared" si="117"/>
        <v>14</v>
      </c>
      <c r="B344" s="126">
        <v>5864</v>
      </c>
      <c r="C344" s="142" t="s">
        <v>388</v>
      </c>
      <c r="D344" s="134">
        <v>1959</v>
      </c>
      <c r="E344" s="134" t="s">
        <v>68</v>
      </c>
      <c r="F344" s="134" t="s">
        <v>114</v>
      </c>
      <c r="G344" s="15">
        <v>3876.9</v>
      </c>
      <c r="H344" s="15">
        <v>2829</v>
      </c>
      <c r="I344" s="10">
        <v>107</v>
      </c>
      <c r="J344" s="15">
        <f>'Форма 2'!I1272</f>
        <v>6279270.4699999997</v>
      </c>
      <c r="K344" s="15">
        <v>0</v>
      </c>
      <c r="L344" s="15">
        <v>0</v>
      </c>
      <c r="M344" s="15">
        <v>0</v>
      </c>
      <c r="N344" s="15">
        <f t="shared" si="115"/>
        <v>6279270.4699999997</v>
      </c>
      <c r="O344" s="15">
        <v>0</v>
      </c>
      <c r="P344" s="15">
        <f t="shared" si="116"/>
        <v>2219.61</v>
      </c>
      <c r="Q344" s="15">
        <f>'Форма 2'!K1272</f>
        <v>5144</v>
      </c>
      <c r="R344" s="18">
        <v>2021</v>
      </c>
      <c r="S344" s="153">
        <v>1</v>
      </c>
    </row>
    <row r="345" spans="1:19" s="41" customFormat="1" ht="15.75" customHeight="1" x14ac:dyDescent="0.25">
      <c r="A345" s="126">
        <f t="shared" si="117"/>
        <v>15</v>
      </c>
      <c r="B345" s="126">
        <v>5922</v>
      </c>
      <c r="C345" s="142" t="s">
        <v>401</v>
      </c>
      <c r="D345" s="134">
        <v>1968</v>
      </c>
      <c r="E345" s="135" t="s">
        <v>68</v>
      </c>
      <c r="F345" s="134" t="s">
        <v>87</v>
      </c>
      <c r="G345" s="15">
        <v>6820.4</v>
      </c>
      <c r="H345" s="15">
        <v>5449.1</v>
      </c>
      <c r="I345" s="10">
        <v>196</v>
      </c>
      <c r="J345" s="15">
        <f>'Форма 2'!I1275</f>
        <v>21274453.170000002</v>
      </c>
      <c r="K345" s="15">
        <v>0</v>
      </c>
      <c r="L345" s="15">
        <v>0</v>
      </c>
      <c r="M345" s="15">
        <v>0</v>
      </c>
      <c r="N345" s="15">
        <f t="shared" si="115"/>
        <v>21274453.170000002</v>
      </c>
      <c r="O345" s="15">
        <v>0</v>
      </c>
      <c r="P345" s="15">
        <f t="shared" si="116"/>
        <v>3904.21</v>
      </c>
      <c r="Q345" s="15">
        <f>'Форма 2'!K1275</f>
        <v>4047</v>
      </c>
      <c r="R345" s="18">
        <v>2021</v>
      </c>
      <c r="S345" s="153">
        <v>1</v>
      </c>
    </row>
    <row r="346" spans="1:19" s="41" customFormat="1" ht="15.75" customHeight="1" x14ac:dyDescent="0.25">
      <c r="A346" s="126">
        <f t="shared" si="117"/>
        <v>16</v>
      </c>
      <c r="B346" s="126">
        <v>5925</v>
      </c>
      <c r="C346" s="142" t="s">
        <v>402</v>
      </c>
      <c r="D346" s="134">
        <v>1969</v>
      </c>
      <c r="E346" s="135" t="s">
        <v>68</v>
      </c>
      <c r="F346" s="134" t="s">
        <v>83</v>
      </c>
      <c r="G346" s="15">
        <v>4607.8999999999996</v>
      </c>
      <c r="H346" s="15">
        <v>3413.9</v>
      </c>
      <c r="I346" s="10">
        <v>129</v>
      </c>
      <c r="J346" s="15">
        <f>'Форма 2'!I1279</f>
        <v>4325282.45</v>
      </c>
      <c r="K346" s="15">
        <v>0</v>
      </c>
      <c r="L346" s="15">
        <v>0</v>
      </c>
      <c r="M346" s="15">
        <v>0</v>
      </c>
      <c r="N346" s="15">
        <f t="shared" si="115"/>
        <v>4325282.45</v>
      </c>
      <c r="O346" s="15">
        <v>0</v>
      </c>
      <c r="P346" s="15">
        <f t="shared" si="116"/>
        <v>1266.96</v>
      </c>
      <c r="Q346" s="15">
        <f>'Форма 2'!K1279</f>
        <v>3966</v>
      </c>
      <c r="R346" s="18">
        <v>2022</v>
      </c>
      <c r="S346" s="153">
        <v>1</v>
      </c>
    </row>
    <row r="347" spans="1:19" s="41" customFormat="1" ht="15.75" customHeight="1" x14ac:dyDescent="0.25">
      <c r="A347" s="126">
        <f t="shared" si="117"/>
        <v>17</v>
      </c>
      <c r="B347" s="126">
        <v>5928</v>
      </c>
      <c r="C347" s="142" t="s">
        <v>403</v>
      </c>
      <c r="D347" s="134">
        <v>1968</v>
      </c>
      <c r="E347" s="135" t="s">
        <v>68</v>
      </c>
      <c r="F347" s="134" t="s">
        <v>83</v>
      </c>
      <c r="G347" s="15">
        <v>6751.7</v>
      </c>
      <c r="H347" s="15">
        <v>5262.7</v>
      </c>
      <c r="I347" s="10">
        <v>199</v>
      </c>
      <c r="J347" s="15">
        <f>'Форма 2'!I1282</f>
        <v>6566241.5199999996</v>
      </c>
      <c r="K347" s="15">
        <v>0</v>
      </c>
      <c r="L347" s="15">
        <v>0</v>
      </c>
      <c r="M347" s="15">
        <v>0</v>
      </c>
      <c r="N347" s="15">
        <f t="shared" si="115"/>
        <v>6566241.5199999996</v>
      </c>
      <c r="O347" s="15">
        <v>0</v>
      </c>
      <c r="P347" s="15">
        <f t="shared" si="116"/>
        <v>1247.69</v>
      </c>
      <c r="Q347" s="15">
        <f>'Форма 2'!K1282</f>
        <v>3966</v>
      </c>
      <c r="R347" s="18">
        <v>2022</v>
      </c>
      <c r="S347" s="153">
        <v>1</v>
      </c>
    </row>
    <row r="348" spans="1:19" s="41" customFormat="1" ht="15.75" customHeight="1" x14ac:dyDescent="0.25">
      <c r="A348" s="126">
        <f t="shared" si="117"/>
        <v>18</v>
      </c>
      <c r="B348" s="14">
        <v>6080</v>
      </c>
      <c r="C348" s="142" t="s">
        <v>404</v>
      </c>
      <c r="D348" s="134">
        <v>1961</v>
      </c>
      <c r="E348" s="134" t="s">
        <v>68</v>
      </c>
      <c r="F348" s="134" t="s">
        <v>81</v>
      </c>
      <c r="G348" s="15">
        <v>3234.2</v>
      </c>
      <c r="H348" s="15">
        <v>2511.4</v>
      </c>
      <c r="I348" s="10">
        <v>95</v>
      </c>
      <c r="J348" s="15">
        <f>'Форма 2'!I1285</f>
        <v>368651.08</v>
      </c>
      <c r="K348" s="15">
        <v>0</v>
      </c>
      <c r="L348" s="15">
        <v>0</v>
      </c>
      <c r="M348" s="15">
        <v>0</v>
      </c>
      <c r="N348" s="15">
        <f t="shared" si="115"/>
        <v>368651.08</v>
      </c>
      <c r="O348" s="15">
        <v>0</v>
      </c>
      <c r="P348" s="15">
        <f t="shared" si="116"/>
        <v>146.79</v>
      </c>
      <c r="Q348" s="15">
        <f>'Форма 2'!K1285</f>
        <v>169</v>
      </c>
      <c r="R348" s="18">
        <v>2021</v>
      </c>
      <c r="S348" s="153">
        <v>1</v>
      </c>
    </row>
    <row r="349" spans="1:19" s="41" customFormat="1" ht="15.75" customHeight="1" x14ac:dyDescent="0.25">
      <c r="A349" s="126">
        <f t="shared" si="117"/>
        <v>19</v>
      </c>
      <c r="B349" s="119">
        <v>6117</v>
      </c>
      <c r="C349" s="142" t="s">
        <v>421</v>
      </c>
      <c r="D349" s="134" t="s">
        <v>243</v>
      </c>
      <c r="E349" s="135" t="s">
        <v>68</v>
      </c>
      <c r="F349" s="134" t="s">
        <v>81</v>
      </c>
      <c r="G349" s="15">
        <v>5741</v>
      </c>
      <c r="H349" s="15">
        <v>4372.33</v>
      </c>
      <c r="I349" s="10">
        <v>165</v>
      </c>
      <c r="J349" s="15">
        <f>'Форма 2'!I1287</f>
        <v>484174.87</v>
      </c>
      <c r="K349" s="15">
        <v>0</v>
      </c>
      <c r="L349" s="15">
        <v>0</v>
      </c>
      <c r="M349" s="15">
        <v>0</v>
      </c>
      <c r="N349" s="15">
        <f t="shared" si="115"/>
        <v>484174.87</v>
      </c>
      <c r="O349" s="15">
        <v>0</v>
      </c>
      <c r="P349" s="15">
        <f t="shared" si="116"/>
        <v>110.74</v>
      </c>
      <c r="Q349" s="15">
        <f>'Форма 2'!K1287</f>
        <v>169</v>
      </c>
      <c r="R349" s="18">
        <v>2021</v>
      </c>
      <c r="S349" s="153">
        <v>1</v>
      </c>
    </row>
    <row r="350" spans="1:19" s="41" customFormat="1" ht="15.75" customHeight="1" x14ac:dyDescent="0.25">
      <c r="A350" s="126">
        <f t="shared" si="117"/>
        <v>20</v>
      </c>
      <c r="B350" s="126">
        <v>6120</v>
      </c>
      <c r="C350" s="142" t="s">
        <v>575</v>
      </c>
      <c r="D350" s="126">
        <v>1971</v>
      </c>
      <c r="E350" s="134" t="s">
        <v>86</v>
      </c>
      <c r="F350" s="134" t="s">
        <v>82</v>
      </c>
      <c r="G350" s="15">
        <v>3182.7</v>
      </c>
      <c r="H350" s="15">
        <v>2259.1</v>
      </c>
      <c r="I350" s="10">
        <v>85</v>
      </c>
      <c r="J350" s="15">
        <f>'Форма 2'!I1289</f>
        <v>2241647</v>
      </c>
      <c r="K350" s="19">
        <v>0</v>
      </c>
      <c r="L350" s="19">
        <v>0</v>
      </c>
      <c r="M350" s="19">
        <v>0</v>
      </c>
      <c r="N350" s="15">
        <f t="shared" si="115"/>
        <v>2241647</v>
      </c>
      <c r="O350" s="15">
        <v>0</v>
      </c>
      <c r="P350" s="15">
        <f t="shared" si="116"/>
        <v>992.27</v>
      </c>
      <c r="Q350" s="15">
        <f>'Форма 2'!K1289</f>
        <v>1013.5</v>
      </c>
      <c r="R350" s="18">
        <v>2021</v>
      </c>
      <c r="S350" s="153">
        <v>1</v>
      </c>
    </row>
    <row r="351" spans="1:19" s="41" customFormat="1" ht="15.75" customHeight="1" x14ac:dyDescent="0.25">
      <c r="A351" s="126">
        <f>A350+1</f>
        <v>21</v>
      </c>
      <c r="B351" s="126">
        <v>6145</v>
      </c>
      <c r="C351" s="142" t="s">
        <v>405</v>
      </c>
      <c r="D351" s="134">
        <v>1954</v>
      </c>
      <c r="E351" s="134" t="s">
        <v>93</v>
      </c>
      <c r="F351" s="134" t="s">
        <v>81</v>
      </c>
      <c r="G351" s="15">
        <v>1799.8</v>
      </c>
      <c r="H351" s="15">
        <v>1653.94</v>
      </c>
      <c r="I351" s="10">
        <v>68</v>
      </c>
      <c r="J351" s="15">
        <f>'Форма 2'!I1292</f>
        <v>322518.3</v>
      </c>
      <c r="K351" s="15">
        <v>0</v>
      </c>
      <c r="L351" s="15">
        <v>0</v>
      </c>
      <c r="M351" s="15">
        <v>0</v>
      </c>
      <c r="N351" s="15">
        <f t="shared" si="115"/>
        <v>322518.3</v>
      </c>
      <c r="O351" s="15">
        <v>0</v>
      </c>
      <c r="P351" s="15">
        <f t="shared" si="116"/>
        <v>195</v>
      </c>
      <c r="Q351" s="15">
        <f>'Форма 2'!K1292</f>
        <v>195</v>
      </c>
      <c r="R351" s="18">
        <v>2021</v>
      </c>
      <c r="S351" s="153">
        <v>1</v>
      </c>
    </row>
    <row r="352" spans="1:19" s="41" customFormat="1" ht="15.75" customHeight="1" x14ac:dyDescent="0.25">
      <c r="A352" s="126">
        <f t="shared" si="117"/>
        <v>22</v>
      </c>
      <c r="B352" s="14">
        <v>6163</v>
      </c>
      <c r="C352" s="142" t="s">
        <v>406</v>
      </c>
      <c r="D352" s="134">
        <v>1961</v>
      </c>
      <c r="E352" s="134" t="s">
        <v>68</v>
      </c>
      <c r="F352" s="134" t="s">
        <v>81</v>
      </c>
      <c r="G352" s="15">
        <v>3173.8</v>
      </c>
      <c r="H352" s="15">
        <v>2467.5</v>
      </c>
      <c r="I352" s="10">
        <v>93</v>
      </c>
      <c r="J352" s="15">
        <f>'Форма 2'!I1296</f>
        <v>379767.71</v>
      </c>
      <c r="K352" s="15">
        <v>0</v>
      </c>
      <c r="L352" s="15">
        <v>0</v>
      </c>
      <c r="M352" s="15">
        <v>0</v>
      </c>
      <c r="N352" s="15">
        <f t="shared" si="115"/>
        <v>379767.71</v>
      </c>
      <c r="O352" s="15">
        <v>0</v>
      </c>
      <c r="P352" s="15">
        <f t="shared" si="116"/>
        <v>153.91</v>
      </c>
      <c r="Q352" s="15">
        <f>'Форма 2'!K1296</f>
        <v>169</v>
      </c>
      <c r="R352" s="18">
        <v>2021</v>
      </c>
      <c r="S352" s="153">
        <v>1</v>
      </c>
    </row>
    <row r="353" spans="1:19" s="41" customFormat="1" ht="15.75" customHeight="1" x14ac:dyDescent="0.25">
      <c r="A353" s="126">
        <f t="shared" si="117"/>
        <v>23</v>
      </c>
      <c r="B353" s="14">
        <v>6183</v>
      </c>
      <c r="C353" s="142" t="s">
        <v>390</v>
      </c>
      <c r="D353" s="134">
        <v>2009</v>
      </c>
      <c r="E353" s="135" t="s">
        <v>68</v>
      </c>
      <c r="F353" s="134" t="s">
        <v>114</v>
      </c>
      <c r="G353" s="15">
        <v>13239.2</v>
      </c>
      <c r="H353" s="15">
        <v>9992</v>
      </c>
      <c r="I353" s="10">
        <v>378</v>
      </c>
      <c r="J353" s="15">
        <f>'Форма 2'!I1298</f>
        <v>12500227.42</v>
      </c>
      <c r="K353" s="15">
        <v>0</v>
      </c>
      <c r="L353" s="15">
        <v>0</v>
      </c>
      <c r="M353" s="15">
        <v>0</v>
      </c>
      <c r="N353" s="15">
        <f>J353-K353-L353-M353-O353</f>
        <v>12500227.42</v>
      </c>
      <c r="O353" s="15">
        <v>0</v>
      </c>
      <c r="P353" s="15">
        <f t="shared" si="116"/>
        <v>1251.02</v>
      </c>
      <c r="Q353" s="15">
        <f>'Форма 2'!K1298</f>
        <v>2492</v>
      </c>
      <c r="R353" s="18">
        <v>2021</v>
      </c>
      <c r="S353" s="153">
        <v>1</v>
      </c>
    </row>
    <row r="354" spans="1:19" s="41" customFormat="1" ht="15.75" customHeight="1" x14ac:dyDescent="0.25">
      <c r="A354" s="126">
        <f t="shared" si="117"/>
        <v>24</v>
      </c>
      <c r="B354" s="126">
        <v>6184</v>
      </c>
      <c r="C354" s="142" t="s">
        <v>391</v>
      </c>
      <c r="D354" s="134">
        <v>2008</v>
      </c>
      <c r="E354" s="135" t="s">
        <v>68</v>
      </c>
      <c r="F354" s="134" t="s">
        <v>114</v>
      </c>
      <c r="G354" s="15">
        <v>13239.2</v>
      </c>
      <c r="H354" s="15">
        <v>10125.5</v>
      </c>
      <c r="I354" s="10">
        <v>378</v>
      </c>
      <c r="J354" s="15">
        <f>'Форма 2'!I1301</f>
        <v>12812071.470000001</v>
      </c>
      <c r="K354" s="15">
        <v>0</v>
      </c>
      <c r="L354" s="15">
        <v>0</v>
      </c>
      <c r="M354" s="15">
        <v>0</v>
      </c>
      <c r="N354" s="15">
        <f>J354-K354-L354-M354-O354</f>
        <v>12812071.470000001</v>
      </c>
      <c r="O354" s="15">
        <v>0</v>
      </c>
      <c r="P354" s="15">
        <f t="shared" si="116"/>
        <v>1265.33</v>
      </c>
      <c r="Q354" s="15">
        <f>'Форма 2'!K1301</f>
        <v>2492</v>
      </c>
      <c r="R354" s="18">
        <v>2021</v>
      </c>
      <c r="S354" s="153">
        <v>1</v>
      </c>
    </row>
    <row r="355" spans="1:19" s="41" customFormat="1" ht="15.75" customHeight="1" x14ac:dyDescent="0.25">
      <c r="A355" s="126">
        <f t="shared" si="117"/>
        <v>25</v>
      </c>
      <c r="B355" s="126">
        <v>6193</v>
      </c>
      <c r="C355" s="142" t="s">
        <v>576</v>
      </c>
      <c r="D355" s="126">
        <v>1990</v>
      </c>
      <c r="E355" s="135" t="s">
        <v>86</v>
      </c>
      <c r="F355" s="134" t="s">
        <v>296</v>
      </c>
      <c r="G355" s="15">
        <v>12387.7</v>
      </c>
      <c r="H355" s="15">
        <v>11067.6</v>
      </c>
      <c r="I355" s="10">
        <v>418</v>
      </c>
      <c r="J355" s="15">
        <f>'Форма 2'!I1304</f>
        <v>2241647</v>
      </c>
      <c r="K355" s="15">
        <v>0</v>
      </c>
      <c r="L355" s="15">
        <v>0</v>
      </c>
      <c r="M355" s="15">
        <v>0</v>
      </c>
      <c r="N355" s="15">
        <f t="shared" ref="N355" si="119">J355-K355-L355-M355-O355</f>
        <v>2241647</v>
      </c>
      <c r="O355" s="15">
        <v>0</v>
      </c>
      <c r="P355" s="15">
        <f>J355/H355</f>
        <v>202.54</v>
      </c>
      <c r="Q355" s="15">
        <f>'Форма 2'!K1304</f>
        <v>206.87</v>
      </c>
      <c r="R355" s="18">
        <v>2021</v>
      </c>
      <c r="S355" s="153">
        <v>1</v>
      </c>
    </row>
    <row r="356" spans="1:19" s="41" customFormat="1" ht="15.75" customHeight="1" x14ac:dyDescent="0.25">
      <c r="A356" s="126">
        <f>A355+1</f>
        <v>26</v>
      </c>
      <c r="B356" s="126">
        <v>6304</v>
      </c>
      <c r="C356" s="142" t="s">
        <v>407</v>
      </c>
      <c r="D356" s="134">
        <v>1969</v>
      </c>
      <c r="E356" s="135" t="s">
        <v>68</v>
      </c>
      <c r="F356" s="134" t="s">
        <v>81</v>
      </c>
      <c r="G356" s="15">
        <v>4221.4799999999996</v>
      </c>
      <c r="H356" s="15">
        <v>3493.48</v>
      </c>
      <c r="I356" s="10">
        <v>132</v>
      </c>
      <c r="J356" s="15">
        <f>'Форма 2'!I1307</f>
        <v>444118.28</v>
      </c>
      <c r="K356" s="15">
        <v>0</v>
      </c>
      <c r="L356" s="15">
        <v>0</v>
      </c>
      <c r="M356" s="15">
        <v>0</v>
      </c>
      <c r="N356" s="15">
        <f>J356-K356-L356-M356-O356</f>
        <v>444118.28</v>
      </c>
      <c r="O356" s="15">
        <v>0</v>
      </c>
      <c r="P356" s="15">
        <f t="shared" si="116"/>
        <v>127.13</v>
      </c>
      <c r="Q356" s="15">
        <f>'Форма 2'!K1307</f>
        <v>169</v>
      </c>
      <c r="R356" s="18">
        <v>2021</v>
      </c>
      <c r="S356" s="153">
        <v>1</v>
      </c>
    </row>
    <row r="357" spans="1:19" s="41" customFormat="1" ht="15.75" customHeight="1" x14ac:dyDescent="0.25">
      <c r="A357" s="126">
        <f t="shared" si="117"/>
        <v>27</v>
      </c>
      <c r="B357" s="126">
        <v>6320</v>
      </c>
      <c r="C357" s="142" t="s">
        <v>583</v>
      </c>
      <c r="D357" s="126">
        <v>1995</v>
      </c>
      <c r="E357" s="134" t="s">
        <v>86</v>
      </c>
      <c r="F357" s="134" t="s">
        <v>81</v>
      </c>
      <c r="G357" s="15">
        <v>7526</v>
      </c>
      <c r="H357" s="15">
        <v>6684.9</v>
      </c>
      <c r="I357" s="10">
        <v>253</v>
      </c>
      <c r="J357" s="15">
        <f>'Форма 2'!I1309</f>
        <v>96843</v>
      </c>
      <c r="K357" s="15">
        <v>0</v>
      </c>
      <c r="L357" s="15">
        <v>0</v>
      </c>
      <c r="M357" s="15">
        <v>0</v>
      </c>
      <c r="N357" s="15">
        <f t="shared" ref="N357:N358" si="120">J357-K357-L357-M357-O357</f>
        <v>96843</v>
      </c>
      <c r="O357" s="15">
        <v>0</v>
      </c>
      <c r="P357" s="15">
        <f t="shared" si="116"/>
        <v>14.49</v>
      </c>
      <c r="Q357" s="15">
        <f>'Форма 2'!K1309</f>
        <v>14.49</v>
      </c>
      <c r="R357" s="18">
        <v>2021</v>
      </c>
      <c r="S357" s="153">
        <v>1</v>
      </c>
    </row>
    <row r="358" spans="1:19" s="41" customFormat="1" ht="15.75" customHeight="1" x14ac:dyDescent="0.25">
      <c r="A358" s="126">
        <f t="shared" si="117"/>
        <v>28</v>
      </c>
      <c r="B358" s="126">
        <v>6330</v>
      </c>
      <c r="C358" s="142" t="s">
        <v>577</v>
      </c>
      <c r="D358" s="126">
        <v>1996</v>
      </c>
      <c r="E358" s="134" t="s">
        <v>86</v>
      </c>
      <c r="F358" s="134" t="s">
        <v>87</v>
      </c>
      <c r="G358" s="15">
        <v>11732.1</v>
      </c>
      <c r="H358" s="15">
        <v>10514.2</v>
      </c>
      <c r="I358" s="10">
        <v>397</v>
      </c>
      <c r="J358" s="15">
        <f>'Форма 2'!I1313</f>
        <v>4580137</v>
      </c>
      <c r="K358" s="15">
        <v>0</v>
      </c>
      <c r="L358" s="15">
        <v>0</v>
      </c>
      <c r="M358" s="15">
        <v>0</v>
      </c>
      <c r="N358" s="15">
        <f t="shared" si="120"/>
        <v>4580137</v>
      </c>
      <c r="O358" s="15">
        <v>0</v>
      </c>
      <c r="P358" s="15">
        <f t="shared" si="116"/>
        <v>435.61</v>
      </c>
      <c r="Q358" s="15">
        <f>'Форма 2'!K1313</f>
        <v>445.61</v>
      </c>
      <c r="R358" s="18">
        <v>2021</v>
      </c>
      <c r="S358" s="153">
        <v>1</v>
      </c>
    </row>
    <row r="359" spans="1:19" s="41" customFormat="1" ht="15.75" customHeight="1" x14ac:dyDescent="0.25">
      <c r="A359" s="126">
        <f>A358+1</f>
        <v>29</v>
      </c>
      <c r="B359" s="126">
        <v>6359</v>
      </c>
      <c r="C359" s="142" t="s">
        <v>408</v>
      </c>
      <c r="D359" s="134">
        <v>1959</v>
      </c>
      <c r="E359" s="134" t="s">
        <v>68</v>
      </c>
      <c r="F359" s="134" t="s">
        <v>87</v>
      </c>
      <c r="G359" s="15">
        <v>4856</v>
      </c>
      <c r="H359" s="15">
        <v>3142.8</v>
      </c>
      <c r="I359" s="10">
        <v>119</v>
      </c>
      <c r="J359" s="15">
        <f>'Форма 2'!I1321</f>
        <v>14118727.6</v>
      </c>
      <c r="K359" s="15">
        <v>0</v>
      </c>
      <c r="L359" s="15">
        <v>0</v>
      </c>
      <c r="M359" s="15">
        <v>0</v>
      </c>
      <c r="N359" s="15">
        <f t="shared" si="115"/>
        <v>14118727.6</v>
      </c>
      <c r="O359" s="15">
        <v>0</v>
      </c>
      <c r="P359" s="15">
        <f t="shared" si="116"/>
        <v>4492.3999999999996</v>
      </c>
      <c r="Q359" s="15">
        <f>'Форма 2'!K1321</f>
        <v>4617</v>
      </c>
      <c r="R359" s="18">
        <v>2021</v>
      </c>
      <c r="S359" s="153">
        <v>1</v>
      </c>
    </row>
    <row r="360" spans="1:19" s="41" customFormat="1" ht="15.75" customHeight="1" x14ac:dyDescent="0.25">
      <c r="A360" s="126">
        <f t="shared" si="117"/>
        <v>30</v>
      </c>
      <c r="B360" s="126">
        <v>6360</v>
      </c>
      <c r="C360" s="142" t="s">
        <v>409</v>
      </c>
      <c r="D360" s="134">
        <v>1959</v>
      </c>
      <c r="E360" s="134" t="s">
        <v>68</v>
      </c>
      <c r="F360" s="134" t="s">
        <v>87</v>
      </c>
      <c r="G360" s="15">
        <v>3876</v>
      </c>
      <c r="H360" s="15">
        <v>2816.3</v>
      </c>
      <c r="I360" s="10">
        <v>106</v>
      </c>
      <c r="J360" s="15">
        <f>'Форма 2'!I1325</f>
        <v>14782891.41</v>
      </c>
      <c r="K360" s="15">
        <v>0</v>
      </c>
      <c r="L360" s="15">
        <v>0</v>
      </c>
      <c r="M360" s="15">
        <v>0</v>
      </c>
      <c r="N360" s="15">
        <f t="shared" si="115"/>
        <v>14782891.41</v>
      </c>
      <c r="O360" s="15">
        <v>0</v>
      </c>
      <c r="P360" s="15">
        <f t="shared" si="116"/>
        <v>5249.05</v>
      </c>
      <c r="Q360" s="15">
        <f>'Форма 2'!K1325</f>
        <v>5383</v>
      </c>
      <c r="R360" s="18">
        <v>2021</v>
      </c>
      <c r="S360" s="153">
        <v>1</v>
      </c>
    </row>
    <row r="361" spans="1:19" s="41" customFormat="1" ht="15.75" customHeight="1" x14ac:dyDescent="0.25">
      <c r="A361" s="126">
        <f t="shared" si="117"/>
        <v>31</v>
      </c>
      <c r="B361" s="126">
        <v>6363</v>
      </c>
      <c r="C361" s="142" t="s">
        <v>410</v>
      </c>
      <c r="D361" s="134">
        <v>1967</v>
      </c>
      <c r="E361" s="135" t="s">
        <v>68</v>
      </c>
      <c r="F361" s="134" t="s">
        <v>87</v>
      </c>
      <c r="G361" s="15">
        <v>2695.4</v>
      </c>
      <c r="H361" s="15">
        <v>2513.9</v>
      </c>
      <c r="I361" s="10">
        <v>95</v>
      </c>
      <c r="J361" s="15">
        <f>'Форма 2'!I1329</f>
        <v>9917545.9199999999</v>
      </c>
      <c r="K361" s="15">
        <v>0</v>
      </c>
      <c r="L361" s="15">
        <v>0</v>
      </c>
      <c r="M361" s="15">
        <v>0</v>
      </c>
      <c r="N361" s="15">
        <f t="shared" si="115"/>
        <v>9917545.9199999999</v>
      </c>
      <c r="O361" s="15">
        <v>0</v>
      </c>
      <c r="P361" s="15">
        <f t="shared" si="116"/>
        <v>3945.08</v>
      </c>
      <c r="Q361" s="15">
        <f>'Форма 2'!K1329</f>
        <v>4047</v>
      </c>
      <c r="R361" s="18">
        <v>2021</v>
      </c>
      <c r="S361" s="153">
        <v>1</v>
      </c>
    </row>
    <row r="362" spans="1:19" s="41" customFormat="1" ht="15.75" customHeight="1" x14ac:dyDescent="0.25">
      <c r="A362" s="126">
        <f t="shared" si="117"/>
        <v>32</v>
      </c>
      <c r="B362" s="126">
        <v>6364</v>
      </c>
      <c r="C362" s="142" t="s">
        <v>392</v>
      </c>
      <c r="D362" s="134">
        <v>1967</v>
      </c>
      <c r="E362" s="135" t="s">
        <v>68</v>
      </c>
      <c r="F362" s="134" t="s">
        <v>114</v>
      </c>
      <c r="G362" s="15">
        <v>3412.3</v>
      </c>
      <c r="H362" s="15">
        <v>2466.5</v>
      </c>
      <c r="I362" s="10">
        <v>93</v>
      </c>
      <c r="J362" s="15">
        <f>'Форма 2'!I1333</f>
        <v>5763114.8899999997</v>
      </c>
      <c r="K362" s="15">
        <v>0</v>
      </c>
      <c r="L362" s="15">
        <v>0</v>
      </c>
      <c r="M362" s="15">
        <v>0</v>
      </c>
      <c r="N362" s="15">
        <f t="shared" si="115"/>
        <v>5763114.8899999997</v>
      </c>
      <c r="O362" s="15">
        <v>0</v>
      </c>
      <c r="P362" s="15">
        <f t="shared" si="116"/>
        <v>2336.56</v>
      </c>
      <c r="Q362" s="15">
        <f>'Форма 2'!K1333</f>
        <v>3878</v>
      </c>
      <c r="R362" s="18">
        <v>2021</v>
      </c>
      <c r="S362" s="153">
        <v>1</v>
      </c>
    </row>
    <row r="363" spans="1:19" s="41" customFormat="1" ht="15.75" customHeight="1" x14ac:dyDescent="0.25">
      <c r="A363" s="126">
        <f t="shared" si="117"/>
        <v>33</v>
      </c>
      <c r="B363" s="126">
        <v>6365</v>
      </c>
      <c r="C363" s="142" t="s">
        <v>411</v>
      </c>
      <c r="D363" s="134">
        <v>1967</v>
      </c>
      <c r="E363" s="135" t="s">
        <v>68</v>
      </c>
      <c r="F363" s="134" t="s">
        <v>87</v>
      </c>
      <c r="G363" s="15">
        <v>3334.2</v>
      </c>
      <c r="H363" s="15">
        <v>2488.5</v>
      </c>
      <c r="I363" s="10">
        <v>94</v>
      </c>
      <c r="J363" s="15">
        <f>'Форма 2'!I1336</f>
        <v>9824585.4600000009</v>
      </c>
      <c r="K363" s="15">
        <v>0</v>
      </c>
      <c r="L363" s="15">
        <v>0</v>
      </c>
      <c r="M363" s="15">
        <v>0</v>
      </c>
      <c r="N363" s="15">
        <f t="shared" si="115"/>
        <v>9824585.4600000009</v>
      </c>
      <c r="O363" s="15">
        <v>0</v>
      </c>
      <c r="P363" s="15">
        <f t="shared" si="116"/>
        <v>3947.99</v>
      </c>
      <c r="Q363" s="15">
        <f>'Форма 2'!K1336</f>
        <v>4047</v>
      </c>
      <c r="R363" s="18">
        <v>2021</v>
      </c>
      <c r="S363" s="153">
        <v>1</v>
      </c>
    </row>
    <row r="364" spans="1:19" s="41" customFormat="1" ht="15.75" customHeight="1" x14ac:dyDescent="0.25">
      <c r="A364" s="126">
        <f t="shared" si="117"/>
        <v>34</v>
      </c>
      <c r="B364" s="126">
        <v>6373</v>
      </c>
      <c r="C364" s="142" t="s">
        <v>578</v>
      </c>
      <c r="D364" s="126">
        <v>1990</v>
      </c>
      <c r="E364" s="135" t="s">
        <v>86</v>
      </c>
      <c r="F364" s="134" t="s">
        <v>82</v>
      </c>
      <c r="G364" s="15">
        <v>11155.32</v>
      </c>
      <c r="H364" s="15">
        <v>8155.3</v>
      </c>
      <c r="I364" s="10">
        <v>308</v>
      </c>
      <c r="J364" s="15">
        <f>'Форма 2'!I1340</f>
        <v>8966588</v>
      </c>
      <c r="K364" s="15">
        <v>0</v>
      </c>
      <c r="L364" s="15">
        <v>0</v>
      </c>
      <c r="M364" s="15">
        <v>0</v>
      </c>
      <c r="N364" s="15">
        <f>J364-K364-L364-M364-O364</f>
        <v>8966588</v>
      </c>
      <c r="O364" s="15">
        <v>0</v>
      </c>
      <c r="P364" s="15">
        <f>J364/H364</f>
        <v>1099.48</v>
      </c>
      <c r="Q364" s="15">
        <f>'Форма 2'!K1340</f>
        <v>1125.28</v>
      </c>
      <c r="R364" s="18">
        <v>2021</v>
      </c>
      <c r="S364" s="153">
        <v>1</v>
      </c>
    </row>
    <row r="365" spans="1:19" s="41" customFormat="1" ht="15.75" customHeight="1" x14ac:dyDescent="0.25">
      <c r="A365" s="126">
        <f t="shared" si="117"/>
        <v>35</v>
      </c>
      <c r="B365" s="126">
        <v>6374</v>
      </c>
      <c r="C365" s="142" t="s">
        <v>475</v>
      </c>
      <c r="D365" s="126" t="s">
        <v>483</v>
      </c>
      <c r="E365" s="135" t="s">
        <v>86</v>
      </c>
      <c r="F365" s="134" t="s">
        <v>589</v>
      </c>
      <c r="G365" s="15">
        <v>12629.25</v>
      </c>
      <c r="H365" s="15">
        <v>9480</v>
      </c>
      <c r="I365" s="10">
        <v>358</v>
      </c>
      <c r="J365" s="15">
        <f>'Форма 2'!I1349</f>
        <v>7845764.5</v>
      </c>
      <c r="K365" s="15">
        <v>0</v>
      </c>
      <c r="L365" s="15">
        <v>0</v>
      </c>
      <c r="M365" s="15">
        <v>0</v>
      </c>
      <c r="N365" s="15">
        <f>J365-K365-L365-M365-O365</f>
        <v>7845764.5</v>
      </c>
      <c r="O365" s="15">
        <v>0</v>
      </c>
      <c r="P365" s="15">
        <f>J365/H365</f>
        <v>827.61</v>
      </c>
      <c r="Q365" s="15">
        <f>'Форма 2'!K1349</f>
        <v>1207.6099999999999</v>
      </c>
      <c r="R365" s="18">
        <v>2021</v>
      </c>
      <c r="S365" s="153">
        <v>1</v>
      </c>
    </row>
    <row r="366" spans="1:19" s="41" customFormat="1" ht="15.75" customHeight="1" x14ac:dyDescent="0.25">
      <c r="A366" s="126">
        <f>A365+1</f>
        <v>36</v>
      </c>
      <c r="B366" s="126">
        <v>6387</v>
      </c>
      <c r="C366" s="142" t="s">
        <v>476</v>
      </c>
      <c r="D366" s="126">
        <v>1955</v>
      </c>
      <c r="E366" s="135" t="s">
        <v>68</v>
      </c>
      <c r="F366" s="134" t="s">
        <v>114</v>
      </c>
      <c r="G366" s="15">
        <v>1507</v>
      </c>
      <c r="H366" s="15">
        <v>880</v>
      </c>
      <c r="I366" s="10">
        <v>33</v>
      </c>
      <c r="J366" s="15">
        <f>'Форма 2'!I1360</f>
        <v>3802698.8</v>
      </c>
      <c r="K366" s="15">
        <v>0</v>
      </c>
      <c r="L366" s="15">
        <v>0</v>
      </c>
      <c r="M366" s="15">
        <v>0</v>
      </c>
      <c r="N366" s="15">
        <f>J366-K366-L366-M366-O366</f>
        <v>3802698.8</v>
      </c>
      <c r="O366" s="15">
        <v>0</v>
      </c>
      <c r="P366" s="15">
        <f t="shared" si="116"/>
        <v>4321.25</v>
      </c>
      <c r="Q366" s="15">
        <f>'Форма 2'!K1360</f>
        <v>7688</v>
      </c>
      <c r="R366" s="18">
        <v>2021</v>
      </c>
      <c r="S366" s="153">
        <v>1</v>
      </c>
    </row>
    <row r="367" spans="1:19" s="41" customFormat="1" ht="15.75" customHeight="1" x14ac:dyDescent="0.25">
      <c r="A367" s="126">
        <f>A366+1</f>
        <v>37</v>
      </c>
      <c r="B367" s="126">
        <v>6395</v>
      </c>
      <c r="C367" s="142" t="s">
        <v>412</v>
      </c>
      <c r="D367" s="134">
        <v>1959</v>
      </c>
      <c r="E367" s="135" t="s">
        <v>68</v>
      </c>
      <c r="F367" s="134" t="s">
        <v>87</v>
      </c>
      <c r="G367" s="15">
        <v>3874.4</v>
      </c>
      <c r="H367" s="15">
        <v>2820.2</v>
      </c>
      <c r="I367" s="10">
        <v>107</v>
      </c>
      <c r="J367" s="15">
        <f>'Форма 2'!I1363</f>
        <v>14811096.710000001</v>
      </c>
      <c r="K367" s="15">
        <v>0</v>
      </c>
      <c r="L367" s="15">
        <v>0</v>
      </c>
      <c r="M367" s="15">
        <v>0</v>
      </c>
      <c r="N367" s="15">
        <f t="shared" si="115"/>
        <v>14811096.710000001</v>
      </c>
      <c r="O367" s="15">
        <v>0</v>
      </c>
      <c r="P367" s="15">
        <f t="shared" si="116"/>
        <v>5251.79</v>
      </c>
      <c r="Q367" s="15">
        <f>'Форма 2'!K1363</f>
        <v>5383</v>
      </c>
      <c r="R367" s="18">
        <v>2021</v>
      </c>
      <c r="S367" s="153">
        <v>1</v>
      </c>
    </row>
    <row r="368" spans="1:19" s="41" customFormat="1" ht="15.75" customHeight="1" x14ac:dyDescent="0.25">
      <c r="A368" s="126">
        <f t="shared" si="117"/>
        <v>38</v>
      </c>
      <c r="B368" s="126">
        <v>6399</v>
      </c>
      <c r="C368" s="142" t="s">
        <v>413</v>
      </c>
      <c r="D368" s="134">
        <v>1959</v>
      </c>
      <c r="E368" s="134" t="s">
        <v>93</v>
      </c>
      <c r="F368" s="134" t="s">
        <v>83</v>
      </c>
      <c r="G368" s="15">
        <v>4252.8999999999996</v>
      </c>
      <c r="H368" s="15">
        <v>3130.7</v>
      </c>
      <c r="I368" s="10">
        <v>118</v>
      </c>
      <c r="J368" s="15">
        <f>'Форма 2'!I1367</f>
        <v>3631925.07</v>
      </c>
      <c r="K368" s="15">
        <v>0</v>
      </c>
      <c r="L368" s="15">
        <v>0</v>
      </c>
      <c r="M368" s="15">
        <v>0</v>
      </c>
      <c r="N368" s="15">
        <f t="shared" si="115"/>
        <v>3631925.07</v>
      </c>
      <c r="O368" s="15">
        <v>0</v>
      </c>
      <c r="P368" s="15">
        <f t="shared" si="116"/>
        <v>1160.0999999999999</v>
      </c>
      <c r="Q368" s="15">
        <f>'Форма 2'!K1367</f>
        <v>3503</v>
      </c>
      <c r="R368" s="18">
        <v>2022</v>
      </c>
      <c r="S368" s="153">
        <v>1</v>
      </c>
    </row>
    <row r="369" spans="1:19" s="41" customFormat="1" ht="15.75" customHeight="1" x14ac:dyDescent="0.25">
      <c r="A369" s="126">
        <f t="shared" si="117"/>
        <v>39</v>
      </c>
      <c r="B369" s="126">
        <v>6400</v>
      </c>
      <c r="C369" s="142" t="s">
        <v>414</v>
      </c>
      <c r="D369" s="134">
        <v>1960</v>
      </c>
      <c r="E369" s="134" t="s">
        <v>93</v>
      </c>
      <c r="F369" s="134" t="s">
        <v>83</v>
      </c>
      <c r="G369" s="15">
        <v>3898.9</v>
      </c>
      <c r="H369" s="15">
        <v>2810.7</v>
      </c>
      <c r="I369" s="10">
        <v>106</v>
      </c>
      <c r="J369" s="15">
        <f>'Форма 2'!I1374</f>
        <v>3892257.36</v>
      </c>
      <c r="K369" s="15">
        <v>0</v>
      </c>
      <c r="L369" s="15">
        <v>0</v>
      </c>
      <c r="M369" s="15">
        <v>0</v>
      </c>
      <c r="N369" s="15">
        <f t="shared" si="115"/>
        <v>3892257.36</v>
      </c>
      <c r="O369" s="15">
        <v>0</v>
      </c>
      <c r="P369" s="15">
        <f t="shared" si="116"/>
        <v>1384.8</v>
      </c>
      <c r="Q369" s="15">
        <f>'Форма 2'!K1374</f>
        <v>4161</v>
      </c>
      <c r="R369" s="18">
        <v>2022</v>
      </c>
      <c r="S369" s="153">
        <v>1</v>
      </c>
    </row>
    <row r="370" spans="1:19" s="41" customFormat="1" ht="15.75" customHeight="1" x14ac:dyDescent="0.25">
      <c r="A370" s="126">
        <f t="shared" si="117"/>
        <v>40</v>
      </c>
      <c r="B370" s="126">
        <v>6408</v>
      </c>
      <c r="C370" s="142" t="s">
        <v>579</v>
      </c>
      <c r="D370" s="126">
        <v>1994</v>
      </c>
      <c r="E370" s="134" t="s">
        <v>86</v>
      </c>
      <c r="F370" s="134" t="s">
        <v>385</v>
      </c>
      <c r="G370" s="15">
        <v>4545.7</v>
      </c>
      <c r="H370" s="15">
        <v>3930.3</v>
      </c>
      <c r="I370" s="10">
        <v>102</v>
      </c>
      <c r="J370" s="15">
        <f>'Форма 2'!I1381</f>
        <v>5530360</v>
      </c>
      <c r="K370" s="15">
        <v>0</v>
      </c>
      <c r="L370" s="15">
        <v>0</v>
      </c>
      <c r="M370" s="15">
        <v>0</v>
      </c>
      <c r="N370" s="15">
        <f t="shared" si="115"/>
        <v>5530360</v>
      </c>
      <c r="O370" s="15">
        <v>0</v>
      </c>
      <c r="P370" s="15">
        <f>J370/H370</f>
        <v>1407.11</v>
      </c>
      <c r="Q370" s="15">
        <f>'Форма 2'!K1381</f>
        <v>1437.22</v>
      </c>
      <c r="R370" s="18">
        <v>2021</v>
      </c>
      <c r="S370" s="153">
        <v>1</v>
      </c>
    </row>
    <row r="371" spans="1:19" s="41" customFormat="1" ht="15.75" customHeight="1" x14ac:dyDescent="0.25">
      <c r="A371" s="126">
        <f>A370+1</f>
        <v>41</v>
      </c>
      <c r="B371" s="14">
        <v>6430</v>
      </c>
      <c r="C371" s="142" t="s">
        <v>415</v>
      </c>
      <c r="D371" s="134">
        <v>1961</v>
      </c>
      <c r="E371" s="135" t="s">
        <v>68</v>
      </c>
      <c r="F371" s="134" t="s">
        <v>81</v>
      </c>
      <c r="G371" s="15">
        <v>3270.4</v>
      </c>
      <c r="H371" s="15">
        <v>2506.4</v>
      </c>
      <c r="I371" s="10">
        <v>95</v>
      </c>
      <c r="J371" s="15">
        <f>'Форма 2'!I1386</f>
        <v>370700.32</v>
      </c>
      <c r="K371" s="15">
        <v>0</v>
      </c>
      <c r="L371" s="15">
        <v>0</v>
      </c>
      <c r="M371" s="15">
        <v>0</v>
      </c>
      <c r="N371" s="15">
        <f t="shared" si="115"/>
        <v>370700.32</v>
      </c>
      <c r="O371" s="15">
        <v>0</v>
      </c>
      <c r="P371" s="15">
        <f t="shared" si="116"/>
        <v>147.9</v>
      </c>
      <c r="Q371" s="15">
        <f>'Форма 2'!K1386</f>
        <v>169</v>
      </c>
      <c r="R371" s="18">
        <v>2021</v>
      </c>
      <c r="S371" s="153">
        <v>1</v>
      </c>
    </row>
    <row r="372" spans="1:19" s="41" customFormat="1" ht="15.75" customHeight="1" x14ac:dyDescent="0.25">
      <c r="A372" s="126">
        <f t="shared" si="117"/>
        <v>42</v>
      </c>
      <c r="B372" s="126">
        <v>6433</v>
      </c>
      <c r="C372" s="142" t="s">
        <v>416</v>
      </c>
      <c r="D372" s="134">
        <v>1960</v>
      </c>
      <c r="E372" s="135" t="s">
        <v>68</v>
      </c>
      <c r="F372" s="134" t="s">
        <v>83</v>
      </c>
      <c r="G372" s="15">
        <v>3979.8</v>
      </c>
      <c r="H372" s="15">
        <v>3100.3</v>
      </c>
      <c r="I372" s="10">
        <v>114</v>
      </c>
      <c r="J372" s="15">
        <f>'Форма 2'!I1388</f>
        <v>3957286.96</v>
      </c>
      <c r="K372" s="15">
        <v>0</v>
      </c>
      <c r="L372" s="15">
        <v>0</v>
      </c>
      <c r="M372" s="15">
        <v>0</v>
      </c>
      <c r="N372" s="15">
        <f t="shared" si="115"/>
        <v>3957286.96</v>
      </c>
      <c r="O372" s="15">
        <v>0</v>
      </c>
      <c r="P372" s="15">
        <f t="shared" si="116"/>
        <v>1276.42</v>
      </c>
      <c r="Q372" s="15">
        <f>'Форма 2'!K1388</f>
        <v>3966</v>
      </c>
      <c r="R372" s="18">
        <v>2022</v>
      </c>
      <c r="S372" s="153">
        <v>1</v>
      </c>
    </row>
    <row r="373" spans="1:19" s="41" customFormat="1" ht="15.75" customHeight="1" x14ac:dyDescent="0.25">
      <c r="A373" s="126">
        <f t="shared" si="117"/>
        <v>43</v>
      </c>
      <c r="B373" s="126">
        <v>6436</v>
      </c>
      <c r="C373" s="142" t="s">
        <v>417</v>
      </c>
      <c r="D373" s="134">
        <v>1960</v>
      </c>
      <c r="E373" s="134" t="s">
        <v>93</v>
      </c>
      <c r="F373" s="134" t="s">
        <v>83</v>
      </c>
      <c r="G373" s="15">
        <v>3245</v>
      </c>
      <c r="H373" s="15">
        <v>3038.5</v>
      </c>
      <c r="I373" s="10">
        <v>115</v>
      </c>
      <c r="J373" s="15">
        <f>'Форма 2'!I1391</f>
        <v>3524963.85</v>
      </c>
      <c r="K373" s="15">
        <v>0</v>
      </c>
      <c r="L373" s="15">
        <v>0</v>
      </c>
      <c r="M373" s="15">
        <v>0</v>
      </c>
      <c r="N373" s="15">
        <f t="shared" si="115"/>
        <v>3524963.85</v>
      </c>
      <c r="O373" s="15">
        <v>0</v>
      </c>
      <c r="P373" s="15">
        <f t="shared" si="116"/>
        <v>1160.0999999999999</v>
      </c>
      <c r="Q373" s="15">
        <f>'Форма 2'!K1391</f>
        <v>3503</v>
      </c>
      <c r="R373" s="18">
        <v>2022</v>
      </c>
      <c r="S373" s="153">
        <v>1</v>
      </c>
    </row>
    <row r="374" spans="1:19" s="41" customFormat="1" ht="15.75" customHeight="1" x14ac:dyDescent="0.25">
      <c r="A374" s="126">
        <f t="shared" si="117"/>
        <v>44</v>
      </c>
      <c r="B374" s="126">
        <v>6439</v>
      </c>
      <c r="C374" s="142" t="s">
        <v>418</v>
      </c>
      <c r="D374" s="134">
        <v>1961</v>
      </c>
      <c r="E374" s="135" t="s">
        <v>68</v>
      </c>
      <c r="F374" s="134" t="s">
        <v>81</v>
      </c>
      <c r="G374" s="15">
        <v>4438.3999999999996</v>
      </c>
      <c r="H374" s="15">
        <v>3449.6</v>
      </c>
      <c r="I374" s="10">
        <v>130</v>
      </c>
      <c r="J374" s="15">
        <f>'Форма 2'!I1398</f>
        <v>487226.32</v>
      </c>
      <c r="K374" s="15">
        <v>0</v>
      </c>
      <c r="L374" s="15">
        <v>0</v>
      </c>
      <c r="M374" s="15">
        <v>0</v>
      </c>
      <c r="N374" s="15">
        <f t="shared" si="115"/>
        <v>487226.32</v>
      </c>
      <c r="O374" s="15">
        <v>0</v>
      </c>
      <c r="P374" s="15">
        <f t="shared" si="116"/>
        <v>141.24</v>
      </c>
      <c r="Q374" s="15">
        <f>'Форма 2'!K1398</f>
        <v>169</v>
      </c>
      <c r="R374" s="18">
        <v>2021</v>
      </c>
      <c r="S374" s="153">
        <v>1</v>
      </c>
    </row>
    <row r="375" spans="1:19" s="41" customFormat="1" ht="15.75" customHeight="1" x14ac:dyDescent="0.25">
      <c r="A375" s="126">
        <f t="shared" si="117"/>
        <v>45</v>
      </c>
      <c r="B375" s="126">
        <v>6538</v>
      </c>
      <c r="C375" s="142" t="s">
        <v>419</v>
      </c>
      <c r="D375" s="134">
        <v>1926</v>
      </c>
      <c r="E375" s="134" t="s">
        <v>158</v>
      </c>
      <c r="F375" s="134" t="s">
        <v>83</v>
      </c>
      <c r="G375" s="15">
        <v>465.45</v>
      </c>
      <c r="H375" s="15">
        <v>412</v>
      </c>
      <c r="I375" s="10">
        <v>16</v>
      </c>
      <c r="J375" s="15">
        <f>'Форма 2'!I1400</f>
        <v>496954.4</v>
      </c>
      <c r="K375" s="15">
        <v>0</v>
      </c>
      <c r="L375" s="15">
        <v>0</v>
      </c>
      <c r="M375" s="15">
        <v>0</v>
      </c>
      <c r="N375" s="15">
        <f t="shared" si="115"/>
        <v>496954.4</v>
      </c>
      <c r="O375" s="15">
        <v>0</v>
      </c>
      <c r="P375" s="15">
        <f t="shared" si="116"/>
        <v>1206.2</v>
      </c>
      <c r="Q375" s="15">
        <f>'Форма 2'!K1400</f>
        <v>3603</v>
      </c>
      <c r="R375" s="18">
        <v>2022</v>
      </c>
      <c r="S375" s="153">
        <v>1</v>
      </c>
    </row>
    <row r="376" spans="1:19" s="41" customFormat="1" ht="15.75" customHeight="1" x14ac:dyDescent="0.25">
      <c r="A376" s="126">
        <f>A375+1</f>
        <v>46</v>
      </c>
      <c r="B376" s="126">
        <v>6510</v>
      </c>
      <c r="C376" s="142" t="s">
        <v>393</v>
      </c>
      <c r="D376" s="134">
        <v>1930</v>
      </c>
      <c r="E376" s="134" t="s">
        <v>158</v>
      </c>
      <c r="F376" s="134" t="s">
        <v>114</v>
      </c>
      <c r="G376" s="15">
        <v>502.9</v>
      </c>
      <c r="H376" s="15">
        <v>461.9</v>
      </c>
      <c r="I376" s="10">
        <v>17</v>
      </c>
      <c r="J376" s="15">
        <f>'Форма 2'!I1405</f>
        <v>490207.83</v>
      </c>
      <c r="K376" s="15">
        <v>0</v>
      </c>
      <c r="L376" s="15">
        <v>0</v>
      </c>
      <c r="M376" s="15">
        <v>0</v>
      </c>
      <c r="N376" s="15">
        <f>J376-K376-L376-M376-O376</f>
        <v>490207.83</v>
      </c>
      <c r="O376" s="15">
        <v>0</v>
      </c>
      <c r="P376" s="15">
        <f t="shared" si="116"/>
        <v>1061.29</v>
      </c>
      <c r="Q376" s="15">
        <f>'Форма 2'!K1405</f>
        <v>3497</v>
      </c>
      <c r="R376" s="18">
        <v>2021</v>
      </c>
      <c r="S376" s="153">
        <v>1</v>
      </c>
    </row>
    <row r="377" spans="1:19" ht="15.75" customHeight="1" x14ac:dyDescent="0.25">
      <c r="A377" s="183" t="s">
        <v>41</v>
      </c>
      <c r="B377" s="183"/>
      <c r="C377" s="183"/>
      <c r="D377" s="5" t="s">
        <v>13</v>
      </c>
      <c r="E377" s="15" t="s">
        <v>13</v>
      </c>
      <c r="F377" s="15" t="s">
        <v>13</v>
      </c>
      <c r="G377" s="15">
        <f t="shared" ref="G377:O377" si="121">SUM(G378:G394)</f>
        <v>82076.3</v>
      </c>
      <c r="H377" s="15">
        <f t="shared" si="121"/>
        <v>68548.710000000006</v>
      </c>
      <c r="I377" s="10">
        <f t="shared" si="121"/>
        <v>2787</v>
      </c>
      <c r="J377" s="15">
        <f t="shared" si="121"/>
        <v>66209467.829999998</v>
      </c>
      <c r="K377" s="15">
        <f t="shared" si="121"/>
        <v>0</v>
      </c>
      <c r="L377" s="15">
        <f t="shared" si="121"/>
        <v>0</v>
      </c>
      <c r="M377" s="15">
        <f t="shared" si="121"/>
        <v>0</v>
      </c>
      <c r="N377" s="15">
        <f t="shared" si="121"/>
        <v>66209467.829999998</v>
      </c>
      <c r="O377" s="15">
        <f t="shared" si="121"/>
        <v>0</v>
      </c>
      <c r="P377" s="15" t="s">
        <v>13</v>
      </c>
      <c r="Q377" s="15" t="s">
        <v>13</v>
      </c>
      <c r="R377" s="15" t="s">
        <v>13</v>
      </c>
      <c r="S377" s="10" t="s">
        <v>13</v>
      </c>
    </row>
    <row r="378" spans="1:19" s="41" customFormat="1" ht="15.75" customHeight="1" x14ac:dyDescent="0.25">
      <c r="A378" s="20">
        <v>1</v>
      </c>
      <c r="B378" s="133">
        <v>5072</v>
      </c>
      <c r="C378" s="150" t="s">
        <v>233</v>
      </c>
      <c r="D378" s="137">
        <v>1979</v>
      </c>
      <c r="E378" s="137" t="s">
        <v>107</v>
      </c>
      <c r="F378" s="137" t="s">
        <v>82</v>
      </c>
      <c r="G378" s="25">
        <v>3478.9</v>
      </c>
      <c r="H378" s="25">
        <v>3100.9</v>
      </c>
      <c r="I378" s="33">
        <v>117</v>
      </c>
      <c r="J378" s="15">
        <f>'Форма 2'!I1411</f>
        <v>8558119.0299999993</v>
      </c>
      <c r="K378" s="15">
        <v>0</v>
      </c>
      <c r="L378" s="350">
        <v>0</v>
      </c>
      <c r="M378" s="350">
        <v>0</v>
      </c>
      <c r="N378" s="15">
        <f t="shared" ref="N378:N391" si="122">J378-K378-L378-M378-O378</f>
        <v>8558119.0299999993</v>
      </c>
      <c r="O378" s="15">
        <v>0</v>
      </c>
      <c r="P378" s="15">
        <f t="shared" ref="P378:P391" si="123">J378/H378</f>
        <v>2759.88</v>
      </c>
      <c r="Q378" s="15">
        <f>'Форма 2'!K1411</f>
        <v>4160</v>
      </c>
      <c r="R378" s="18" t="s">
        <v>379</v>
      </c>
      <c r="S378" s="10">
        <v>1</v>
      </c>
    </row>
    <row r="379" spans="1:19" s="41" customFormat="1" ht="15.75" customHeight="1" x14ac:dyDescent="0.25">
      <c r="A379" s="20">
        <f>A378+1</f>
        <v>2</v>
      </c>
      <c r="B379" s="133">
        <v>5079</v>
      </c>
      <c r="C379" s="150" t="s">
        <v>337</v>
      </c>
      <c r="D379" s="137">
        <v>1971</v>
      </c>
      <c r="E379" s="137" t="s">
        <v>93</v>
      </c>
      <c r="F379" s="137" t="s">
        <v>81</v>
      </c>
      <c r="G379" s="25">
        <v>772.9</v>
      </c>
      <c r="H379" s="25">
        <v>712.3</v>
      </c>
      <c r="I379" s="33">
        <v>27</v>
      </c>
      <c r="J379" s="15">
        <f>'Форма 2'!I1420</f>
        <v>163116.70000000001</v>
      </c>
      <c r="K379" s="15">
        <v>0</v>
      </c>
      <c r="L379" s="350">
        <v>0</v>
      </c>
      <c r="M379" s="350">
        <v>0</v>
      </c>
      <c r="N379" s="15">
        <f t="shared" si="122"/>
        <v>163116.70000000001</v>
      </c>
      <c r="O379" s="15">
        <v>0</v>
      </c>
      <c r="P379" s="15">
        <f t="shared" si="123"/>
        <v>229</v>
      </c>
      <c r="Q379" s="15">
        <f>'Форма 2'!K1420</f>
        <v>229</v>
      </c>
      <c r="R379" s="18" t="s">
        <v>379</v>
      </c>
      <c r="S379" s="10">
        <v>1</v>
      </c>
    </row>
    <row r="380" spans="1:19" s="41" customFormat="1" ht="15.75" customHeight="1" x14ac:dyDescent="0.25">
      <c r="A380" s="20">
        <f t="shared" ref="A380:A393" si="124">A379+1</f>
        <v>3</v>
      </c>
      <c r="B380" s="133">
        <v>5080</v>
      </c>
      <c r="C380" s="150" t="s">
        <v>338</v>
      </c>
      <c r="D380" s="137">
        <v>1972</v>
      </c>
      <c r="E380" s="137" t="s">
        <v>93</v>
      </c>
      <c r="F380" s="137" t="s">
        <v>81</v>
      </c>
      <c r="G380" s="25">
        <v>761.2</v>
      </c>
      <c r="H380" s="25">
        <v>704</v>
      </c>
      <c r="I380" s="33">
        <v>27</v>
      </c>
      <c r="J380" s="15">
        <f>'Форма 2'!I1424</f>
        <v>161216</v>
      </c>
      <c r="K380" s="15">
        <v>0</v>
      </c>
      <c r="L380" s="350">
        <v>0</v>
      </c>
      <c r="M380" s="350">
        <v>0</v>
      </c>
      <c r="N380" s="15">
        <f t="shared" si="122"/>
        <v>161216</v>
      </c>
      <c r="O380" s="15">
        <v>0</v>
      </c>
      <c r="P380" s="15">
        <f t="shared" si="123"/>
        <v>229</v>
      </c>
      <c r="Q380" s="15">
        <f>'Форма 2'!K1424</f>
        <v>229</v>
      </c>
      <c r="R380" s="18" t="s">
        <v>379</v>
      </c>
      <c r="S380" s="10">
        <v>1</v>
      </c>
    </row>
    <row r="381" spans="1:19" s="41" customFormat="1" ht="15.75" customHeight="1" x14ac:dyDescent="0.25">
      <c r="A381" s="20">
        <f t="shared" si="124"/>
        <v>4</v>
      </c>
      <c r="B381" s="133">
        <v>5086</v>
      </c>
      <c r="C381" s="150" t="s">
        <v>239</v>
      </c>
      <c r="D381" s="137">
        <v>1981</v>
      </c>
      <c r="E381" s="137" t="s">
        <v>107</v>
      </c>
      <c r="F381" s="137" t="s">
        <v>82</v>
      </c>
      <c r="G381" s="25">
        <v>3753.6</v>
      </c>
      <c r="H381" s="25">
        <v>3129.5</v>
      </c>
      <c r="I381" s="33">
        <v>118</v>
      </c>
      <c r="J381" s="15">
        <f>'Форма 2'!I1428</f>
        <v>11193817.49</v>
      </c>
      <c r="K381" s="15">
        <v>0</v>
      </c>
      <c r="L381" s="350">
        <v>0</v>
      </c>
      <c r="M381" s="350">
        <v>0</v>
      </c>
      <c r="N381" s="15">
        <f t="shared" si="122"/>
        <v>11193817.49</v>
      </c>
      <c r="O381" s="15">
        <v>0</v>
      </c>
      <c r="P381" s="15">
        <f t="shared" si="123"/>
        <v>3576.87</v>
      </c>
      <c r="Q381" s="15">
        <f>'Форма 2'!K1428</f>
        <v>4160</v>
      </c>
      <c r="R381" s="18" t="s">
        <v>379</v>
      </c>
      <c r="S381" s="10">
        <v>1</v>
      </c>
    </row>
    <row r="382" spans="1:19" s="41" customFormat="1" ht="15.75" customHeight="1" x14ac:dyDescent="0.25">
      <c r="A382" s="20">
        <f t="shared" si="124"/>
        <v>5</v>
      </c>
      <c r="B382" s="133">
        <v>5087</v>
      </c>
      <c r="C382" s="150" t="s">
        <v>240</v>
      </c>
      <c r="D382" s="134">
        <v>1978</v>
      </c>
      <c r="E382" s="137" t="s">
        <v>107</v>
      </c>
      <c r="F382" s="137" t="s">
        <v>82</v>
      </c>
      <c r="G382" s="25">
        <v>3043.3</v>
      </c>
      <c r="H382" s="15">
        <v>2620.1999999999998</v>
      </c>
      <c r="I382" s="349">
        <v>179</v>
      </c>
      <c r="J382" s="15">
        <f>'Форма 2'!I1437</f>
        <v>8911964.4000000004</v>
      </c>
      <c r="K382" s="15">
        <v>0</v>
      </c>
      <c r="L382" s="350">
        <v>0</v>
      </c>
      <c r="M382" s="350">
        <v>0</v>
      </c>
      <c r="N382" s="15">
        <f t="shared" si="122"/>
        <v>8911964.4000000004</v>
      </c>
      <c r="O382" s="15">
        <v>0</v>
      </c>
      <c r="P382" s="15">
        <f t="shared" si="123"/>
        <v>3401.25</v>
      </c>
      <c r="Q382" s="15">
        <f>'Форма 2'!K1437</f>
        <v>4813</v>
      </c>
      <c r="R382" s="18" t="s">
        <v>379</v>
      </c>
      <c r="S382" s="126">
        <v>1</v>
      </c>
    </row>
    <row r="383" spans="1:19" s="41" customFormat="1" ht="15.75" customHeight="1" x14ac:dyDescent="0.25">
      <c r="A383" s="20">
        <f t="shared" si="124"/>
        <v>6</v>
      </c>
      <c r="B383" s="133">
        <v>5091</v>
      </c>
      <c r="C383" s="150" t="s">
        <v>339</v>
      </c>
      <c r="D383" s="134">
        <v>1978</v>
      </c>
      <c r="E383" s="137" t="s">
        <v>68</v>
      </c>
      <c r="F383" s="137" t="s">
        <v>81</v>
      </c>
      <c r="G383" s="25">
        <v>2829.6</v>
      </c>
      <c r="H383" s="15">
        <v>2295.21</v>
      </c>
      <c r="I383" s="349">
        <v>87</v>
      </c>
      <c r="J383" s="15">
        <f>'Форма 2'!I1446</f>
        <v>382020.2</v>
      </c>
      <c r="K383" s="15">
        <v>0</v>
      </c>
      <c r="L383" s="350">
        <v>0</v>
      </c>
      <c r="M383" s="350">
        <v>0</v>
      </c>
      <c r="N383" s="15">
        <f t="shared" si="122"/>
        <v>382020.2</v>
      </c>
      <c r="O383" s="15">
        <v>0</v>
      </c>
      <c r="P383" s="15">
        <f t="shared" si="123"/>
        <v>166.44</v>
      </c>
      <c r="Q383" s="15">
        <f>'Форма 2'!K1446</f>
        <v>167</v>
      </c>
      <c r="R383" s="18" t="s">
        <v>379</v>
      </c>
      <c r="S383" s="126">
        <v>1</v>
      </c>
    </row>
    <row r="384" spans="1:19" s="41" customFormat="1" ht="15.75" customHeight="1" x14ac:dyDescent="0.25">
      <c r="A384" s="20">
        <f t="shared" si="124"/>
        <v>7</v>
      </c>
      <c r="B384" s="133">
        <v>5097</v>
      </c>
      <c r="C384" s="150" t="s">
        <v>340</v>
      </c>
      <c r="D384" s="134">
        <v>1972</v>
      </c>
      <c r="E384" s="137" t="s">
        <v>93</v>
      </c>
      <c r="F384" s="137" t="s">
        <v>81</v>
      </c>
      <c r="G384" s="25">
        <v>395.6</v>
      </c>
      <c r="H384" s="15">
        <v>371</v>
      </c>
      <c r="I384" s="349">
        <v>34</v>
      </c>
      <c r="J384" s="15">
        <f>'Форма 2'!I1448</f>
        <v>84959</v>
      </c>
      <c r="K384" s="15">
        <v>0</v>
      </c>
      <c r="L384" s="350">
        <v>0</v>
      </c>
      <c r="M384" s="350">
        <v>0</v>
      </c>
      <c r="N384" s="15">
        <f t="shared" si="122"/>
        <v>84959</v>
      </c>
      <c r="O384" s="15">
        <v>0</v>
      </c>
      <c r="P384" s="15">
        <f t="shared" si="123"/>
        <v>229</v>
      </c>
      <c r="Q384" s="15">
        <f>'Форма 2'!K1448</f>
        <v>229</v>
      </c>
      <c r="R384" s="18" t="s">
        <v>379</v>
      </c>
      <c r="S384" s="126">
        <v>1</v>
      </c>
    </row>
    <row r="385" spans="1:19" s="41" customFormat="1" ht="15.75" customHeight="1" x14ac:dyDescent="0.25">
      <c r="A385" s="20">
        <f t="shared" si="124"/>
        <v>8</v>
      </c>
      <c r="B385" s="133">
        <v>5107</v>
      </c>
      <c r="C385" s="150" t="s">
        <v>234</v>
      </c>
      <c r="D385" s="134">
        <v>1972</v>
      </c>
      <c r="E385" s="137" t="s">
        <v>93</v>
      </c>
      <c r="F385" s="137" t="s">
        <v>81</v>
      </c>
      <c r="G385" s="25">
        <v>804.2</v>
      </c>
      <c r="H385" s="15">
        <v>743</v>
      </c>
      <c r="I385" s="349">
        <v>43</v>
      </c>
      <c r="J385" s="15">
        <f>'Форма 2'!I1452</f>
        <v>170147</v>
      </c>
      <c r="K385" s="15">
        <v>0</v>
      </c>
      <c r="L385" s="350">
        <v>0</v>
      </c>
      <c r="M385" s="350">
        <v>0</v>
      </c>
      <c r="N385" s="15">
        <f t="shared" si="122"/>
        <v>170147</v>
      </c>
      <c r="O385" s="15">
        <v>0</v>
      </c>
      <c r="P385" s="15">
        <f t="shared" si="123"/>
        <v>229</v>
      </c>
      <c r="Q385" s="15">
        <f>'Форма 2'!K1452</f>
        <v>229</v>
      </c>
      <c r="R385" s="18" t="s">
        <v>379</v>
      </c>
      <c r="S385" s="126">
        <v>1</v>
      </c>
    </row>
    <row r="386" spans="1:19" s="41" customFormat="1" ht="15.75" customHeight="1" x14ac:dyDescent="0.25">
      <c r="A386" s="20">
        <f t="shared" si="124"/>
        <v>9</v>
      </c>
      <c r="B386" s="133">
        <v>5111</v>
      </c>
      <c r="C386" s="150" t="s">
        <v>341</v>
      </c>
      <c r="D386" s="134">
        <v>1975</v>
      </c>
      <c r="E386" s="137" t="s">
        <v>93</v>
      </c>
      <c r="F386" s="137" t="s">
        <v>81</v>
      </c>
      <c r="G386" s="25">
        <v>4436.5</v>
      </c>
      <c r="H386" s="15">
        <v>4156.3999999999996</v>
      </c>
      <c r="I386" s="349">
        <v>157</v>
      </c>
      <c r="J386" s="15">
        <f>'Форма 2'!I1456</f>
        <v>369973.3</v>
      </c>
      <c r="K386" s="15">
        <v>0</v>
      </c>
      <c r="L386" s="350">
        <v>0</v>
      </c>
      <c r="M386" s="350">
        <v>0</v>
      </c>
      <c r="N386" s="15">
        <f t="shared" si="122"/>
        <v>369973.3</v>
      </c>
      <c r="O386" s="15">
        <v>0</v>
      </c>
      <c r="P386" s="15">
        <f t="shared" si="123"/>
        <v>89.01</v>
      </c>
      <c r="Q386" s="15">
        <f>'Форма 2'!K1456</f>
        <v>163</v>
      </c>
      <c r="R386" s="18" t="s">
        <v>379</v>
      </c>
      <c r="S386" s="126">
        <v>1</v>
      </c>
    </row>
    <row r="387" spans="1:19" s="41" customFormat="1" ht="15.75" customHeight="1" x14ac:dyDescent="0.25">
      <c r="A387" s="20">
        <f t="shared" si="124"/>
        <v>10</v>
      </c>
      <c r="B387" s="133">
        <v>5112</v>
      </c>
      <c r="C387" s="150" t="s">
        <v>342</v>
      </c>
      <c r="D387" s="134">
        <v>1973</v>
      </c>
      <c r="E387" s="137" t="s">
        <v>93</v>
      </c>
      <c r="F387" s="137" t="s">
        <v>81</v>
      </c>
      <c r="G387" s="25">
        <v>806.9</v>
      </c>
      <c r="H387" s="15">
        <v>745.9</v>
      </c>
      <c r="I387" s="349">
        <v>48</v>
      </c>
      <c r="J387" s="15">
        <f>'Форма 2'!I1460</f>
        <v>170811.1</v>
      </c>
      <c r="K387" s="15">
        <v>0</v>
      </c>
      <c r="L387" s="350">
        <v>0</v>
      </c>
      <c r="M387" s="350">
        <v>0</v>
      </c>
      <c r="N387" s="15">
        <f t="shared" si="122"/>
        <v>170811.1</v>
      </c>
      <c r="O387" s="15">
        <v>0</v>
      </c>
      <c r="P387" s="15">
        <f t="shared" si="123"/>
        <v>229</v>
      </c>
      <c r="Q387" s="15">
        <f>'Форма 2'!K1460</f>
        <v>229</v>
      </c>
      <c r="R387" s="18" t="s">
        <v>379</v>
      </c>
      <c r="S387" s="126">
        <v>1</v>
      </c>
    </row>
    <row r="388" spans="1:19" s="41" customFormat="1" ht="15.75" customHeight="1" x14ac:dyDescent="0.25">
      <c r="A388" s="20">
        <f t="shared" si="124"/>
        <v>11</v>
      </c>
      <c r="B388" s="133">
        <v>5115</v>
      </c>
      <c r="C388" s="150" t="s">
        <v>343</v>
      </c>
      <c r="D388" s="134">
        <v>1974</v>
      </c>
      <c r="E388" s="137" t="s">
        <v>93</v>
      </c>
      <c r="F388" s="137" t="s">
        <v>81</v>
      </c>
      <c r="G388" s="25">
        <v>941.4</v>
      </c>
      <c r="H388" s="15">
        <v>860.4</v>
      </c>
      <c r="I388" s="349">
        <v>57</v>
      </c>
      <c r="J388" s="15">
        <f>'Форма 2'!I1464</f>
        <v>193220.29</v>
      </c>
      <c r="K388" s="15">
        <v>0</v>
      </c>
      <c r="L388" s="350">
        <v>0</v>
      </c>
      <c r="M388" s="350">
        <v>0</v>
      </c>
      <c r="N388" s="15">
        <f t="shared" si="122"/>
        <v>193220.29</v>
      </c>
      <c r="O388" s="15">
        <v>0</v>
      </c>
      <c r="P388" s="15">
        <f t="shared" si="123"/>
        <v>224.57</v>
      </c>
      <c r="Q388" s="15">
        <f>'Форма 2'!K1464</f>
        <v>229</v>
      </c>
      <c r="R388" s="18" t="s">
        <v>379</v>
      </c>
      <c r="S388" s="126">
        <v>1</v>
      </c>
    </row>
    <row r="389" spans="1:19" s="41" customFormat="1" ht="15.75" customHeight="1" x14ac:dyDescent="0.25">
      <c r="A389" s="20">
        <f t="shared" si="124"/>
        <v>12</v>
      </c>
      <c r="B389" s="133">
        <v>5117</v>
      </c>
      <c r="C389" s="150" t="s">
        <v>344</v>
      </c>
      <c r="D389" s="137">
        <v>1976</v>
      </c>
      <c r="E389" s="137" t="s">
        <v>68</v>
      </c>
      <c r="F389" s="137" t="s">
        <v>82</v>
      </c>
      <c r="G389" s="25">
        <v>2810.3</v>
      </c>
      <c r="H389" s="15">
        <v>2307.3000000000002</v>
      </c>
      <c r="I389" s="349">
        <v>87</v>
      </c>
      <c r="J389" s="15">
        <f>'Форма 2'!I1468</f>
        <v>6411380.4000000004</v>
      </c>
      <c r="K389" s="350">
        <v>0</v>
      </c>
      <c r="L389" s="350">
        <v>0</v>
      </c>
      <c r="M389" s="350">
        <v>0</v>
      </c>
      <c r="N389" s="15">
        <f t="shared" si="122"/>
        <v>6411380.4000000004</v>
      </c>
      <c r="O389" s="15">
        <v>0</v>
      </c>
      <c r="P389" s="15">
        <f t="shared" si="123"/>
        <v>2778.74</v>
      </c>
      <c r="Q389" s="15">
        <f>'Форма 2'!K1468</f>
        <v>2914</v>
      </c>
      <c r="R389" s="18" t="s">
        <v>379</v>
      </c>
      <c r="S389" s="10">
        <v>1</v>
      </c>
    </row>
    <row r="390" spans="1:19" s="41" customFormat="1" ht="15.75" customHeight="1" x14ac:dyDescent="0.25">
      <c r="A390" s="20">
        <f t="shared" si="124"/>
        <v>13</v>
      </c>
      <c r="B390" s="133">
        <v>5123</v>
      </c>
      <c r="C390" s="150" t="s">
        <v>345</v>
      </c>
      <c r="D390" s="137">
        <v>1975</v>
      </c>
      <c r="E390" s="137" t="s">
        <v>93</v>
      </c>
      <c r="F390" s="137" t="s">
        <v>81</v>
      </c>
      <c r="G390" s="25">
        <v>2906.9</v>
      </c>
      <c r="H390" s="15">
        <v>2573.4</v>
      </c>
      <c r="I390" s="349">
        <v>97</v>
      </c>
      <c r="J390" s="15">
        <f>'Форма 2'!I1471</f>
        <v>321917.02</v>
      </c>
      <c r="K390" s="350">
        <v>0</v>
      </c>
      <c r="L390" s="350">
        <v>0</v>
      </c>
      <c r="M390" s="350">
        <v>0</v>
      </c>
      <c r="N390" s="15">
        <f t="shared" si="122"/>
        <v>321917.02</v>
      </c>
      <c r="O390" s="15">
        <v>0</v>
      </c>
      <c r="P390" s="15">
        <f t="shared" si="123"/>
        <v>125.09</v>
      </c>
      <c r="Q390" s="15">
        <f>'Форма 2'!K1471</f>
        <v>204</v>
      </c>
      <c r="R390" s="18" t="s">
        <v>379</v>
      </c>
      <c r="S390" s="10">
        <v>1</v>
      </c>
    </row>
    <row r="391" spans="1:19" s="41" customFormat="1" ht="15.75" customHeight="1" x14ac:dyDescent="0.25">
      <c r="A391" s="20">
        <f t="shared" si="124"/>
        <v>14</v>
      </c>
      <c r="B391" s="134">
        <v>5134</v>
      </c>
      <c r="C391" s="150" t="s">
        <v>241</v>
      </c>
      <c r="D391" s="134">
        <v>1981</v>
      </c>
      <c r="E391" s="137" t="s">
        <v>68</v>
      </c>
      <c r="F391" s="137" t="s">
        <v>385</v>
      </c>
      <c r="G391" s="25">
        <v>9374.2999999999993</v>
      </c>
      <c r="H391" s="15">
        <v>7548.1</v>
      </c>
      <c r="I391" s="349">
        <v>323</v>
      </c>
      <c r="J391" s="15">
        <f>'Форма 2'!I1475</f>
        <v>21957422.899999999</v>
      </c>
      <c r="K391" s="15">
        <v>0</v>
      </c>
      <c r="L391" s="350">
        <v>0</v>
      </c>
      <c r="M391" s="350">
        <v>0</v>
      </c>
      <c r="N391" s="15">
        <f t="shared" si="122"/>
        <v>21957422.899999999</v>
      </c>
      <c r="O391" s="15">
        <v>0</v>
      </c>
      <c r="P391" s="15">
        <f t="shared" si="123"/>
        <v>2909</v>
      </c>
      <c r="Q391" s="15">
        <f>'Форма 2'!K1475</f>
        <v>2914</v>
      </c>
      <c r="R391" s="18" t="s">
        <v>379</v>
      </c>
      <c r="S391" s="10">
        <v>1</v>
      </c>
    </row>
    <row r="392" spans="1:19" s="41" customFormat="1" ht="15.75" customHeight="1" x14ac:dyDescent="0.25">
      <c r="A392" s="20">
        <f t="shared" si="124"/>
        <v>15</v>
      </c>
      <c r="B392" s="130">
        <v>5187</v>
      </c>
      <c r="C392" s="150" t="s">
        <v>586</v>
      </c>
      <c r="D392" s="22">
        <v>1992</v>
      </c>
      <c r="E392" s="137" t="s">
        <v>86</v>
      </c>
      <c r="F392" s="22" t="s">
        <v>81</v>
      </c>
      <c r="G392" s="25">
        <v>17524.400000000001</v>
      </c>
      <c r="H392" s="25">
        <v>13834.8</v>
      </c>
      <c r="I392" s="33">
        <v>523</v>
      </c>
      <c r="J392" s="15">
        <f>'[1]форма 2'!$I$173</f>
        <v>64562</v>
      </c>
      <c r="K392" s="15">
        <v>0</v>
      </c>
      <c r="L392" s="350">
        <v>0</v>
      </c>
      <c r="M392" s="350">
        <v>0</v>
      </c>
      <c r="N392" s="15">
        <f>J392-K392-L392-M392-O392</f>
        <v>64562</v>
      </c>
      <c r="O392" s="15">
        <v>0</v>
      </c>
      <c r="P392" s="15">
        <f>J392/H392</f>
        <v>4.67</v>
      </c>
      <c r="Q392" s="15">
        <f>'Форма 2'!K1478</f>
        <v>4.67</v>
      </c>
      <c r="R392" s="351" t="s">
        <v>379</v>
      </c>
      <c r="S392" s="10">
        <v>1</v>
      </c>
    </row>
    <row r="393" spans="1:19" s="41" customFormat="1" ht="15.75" customHeight="1" x14ac:dyDescent="0.25">
      <c r="A393" s="20">
        <f t="shared" si="124"/>
        <v>16</v>
      </c>
      <c r="B393" s="130">
        <v>5195</v>
      </c>
      <c r="C393" s="150" t="s">
        <v>585</v>
      </c>
      <c r="D393" s="22">
        <v>1990</v>
      </c>
      <c r="E393" s="137" t="s">
        <v>86</v>
      </c>
      <c r="F393" s="22" t="s">
        <v>82</v>
      </c>
      <c r="G393" s="25">
        <v>6814.4</v>
      </c>
      <c r="H393" s="25">
        <v>6541.2</v>
      </c>
      <c r="I393" s="33">
        <v>247</v>
      </c>
      <c r="J393" s="15">
        <f>'Форма 2'!I1481</f>
        <v>6868854</v>
      </c>
      <c r="K393" s="15">
        <v>0</v>
      </c>
      <c r="L393" s="350">
        <v>0</v>
      </c>
      <c r="M393" s="350">
        <v>0</v>
      </c>
      <c r="N393" s="15">
        <f>J393-K393-L393-M393-O393</f>
        <v>6868854</v>
      </c>
      <c r="O393" s="15">
        <v>0</v>
      </c>
      <c r="P393" s="15">
        <f>J393/H393</f>
        <v>1050.0899999999999</v>
      </c>
      <c r="Q393" s="15">
        <f>'Форма 2'!K1481</f>
        <v>1050.0899999999999</v>
      </c>
      <c r="R393" s="351" t="s">
        <v>379</v>
      </c>
      <c r="S393" s="10">
        <v>1</v>
      </c>
    </row>
    <row r="394" spans="1:19" s="41" customFormat="1" ht="15.75" customHeight="1" x14ac:dyDescent="0.25">
      <c r="A394" s="20">
        <f>A393+1</f>
        <v>17</v>
      </c>
      <c r="B394" s="130">
        <v>5291</v>
      </c>
      <c r="C394" s="150" t="s">
        <v>587</v>
      </c>
      <c r="D394" s="22">
        <v>1991</v>
      </c>
      <c r="E394" s="137" t="s">
        <v>86</v>
      </c>
      <c r="F394" s="22" t="s">
        <v>81</v>
      </c>
      <c r="G394" s="25">
        <v>20621.900000000001</v>
      </c>
      <c r="H394" s="25">
        <v>16305.1</v>
      </c>
      <c r="I394" s="33">
        <v>616</v>
      </c>
      <c r="J394" s="15">
        <f>'Форма 2'!I1488</f>
        <v>225967</v>
      </c>
      <c r="K394" s="15">
        <v>0</v>
      </c>
      <c r="L394" s="350">
        <v>0</v>
      </c>
      <c r="M394" s="350">
        <v>0</v>
      </c>
      <c r="N394" s="15">
        <f>J394-K394-L394-M394-O394</f>
        <v>225967</v>
      </c>
      <c r="O394" s="15">
        <v>0</v>
      </c>
      <c r="P394" s="15">
        <f>J394/H394</f>
        <v>13.86</v>
      </c>
      <c r="Q394" s="15">
        <f>'Форма 2'!K1488</f>
        <v>13.86</v>
      </c>
      <c r="R394" s="351" t="s">
        <v>379</v>
      </c>
      <c r="S394" s="10">
        <v>1</v>
      </c>
    </row>
    <row r="395" spans="1:19" ht="15.75" customHeight="1" x14ac:dyDescent="0.25">
      <c r="A395" s="184" t="s">
        <v>42</v>
      </c>
      <c r="B395" s="184"/>
      <c r="C395" s="184"/>
      <c r="D395" s="134" t="s">
        <v>13</v>
      </c>
      <c r="E395" s="126" t="s">
        <v>13</v>
      </c>
      <c r="F395" s="126" t="s">
        <v>13</v>
      </c>
      <c r="G395" s="15">
        <f t="shared" ref="G395:O395" si="125">G396+G433+G452+G505</f>
        <v>830504.8</v>
      </c>
      <c r="H395" s="15">
        <f t="shared" si="125"/>
        <v>693996.15</v>
      </c>
      <c r="I395" s="10">
        <f t="shared" si="125"/>
        <v>26165</v>
      </c>
      <c r="J395" s="15">
        <f t="shared" si="125"/>
        <v>769092341.79999995</v>
      </c>
      <c r="K395" s="15">
        <f t="shared" si="125"/>
        <v>0</v>
      </c>
      <c r="L395" s="15">
        <f t="shared" si="125"/>
        <v>0</v>
      </c>
      <c r="M395" s="15">
        <f t="shared" si="125"/>
        <v>0</v>
      </c>
      <c r="N395" s="15">
        <f t="shared" si="125"/>
        <v>769092341.79999995</v>
      </c>
      <c r="O395" s="15">
        <f t="shared" si="125"/>
        <v>0</v>
      </c>
      <c r="P395" s="15" t="s">
        <v>13</v>
      </c>
      <c r="Q395" s="15" t="s">
        <v>13</v>
      </c>
      <c r="R395" s="15" t="s">
        <v>13</v>
      </c>
      <c r="S395" s="15" t="s">
        <v>13</v>
      </c>
    </row>
    <row r="396" spans="1:19" ht="15.75" customHeight="1" x14ac:dyDescent="0.25">
      <c r="A396" s="184" t="s">
        <v>91</v>
      </c>
      <c r="B396" s="184"/>
      <c r="C396" s="184"/>
      <c r="D396" s="134" t="s">
        <v>13</v>
      </c>
      <c r="E396" s="126" t="s">
        <v>13</v>
      </c>
      <c r="F396" s="126" t="s">
        <v>13</v>
      </c>
      <c r="G396" s="15">
        <f t="shared" ref="G396:O396" si="126">SUM(G397:G432)</f>
        <v>84187.03</v>
      </c>
      <c r="H396" s="15">
        <f t="shared" si="126"/>
        <v>75170.850000000006</v>
      </c>
      <c r="I396" s="10">
        <f t="shared" si="126"/>
        <v>2819</v>
      </c>
      <c r="J396" s="15">
        <f t="shared" si="126"/>
        <v>121653708.05</v>
      </c>
      <c r="K396" s="15">
        <f t="shared" si="126"/>
        <v>0</v>
      </c>
      <c r="L396" s="15">
        <f t="shared" si="126"/>
        <v>0</v>
      </c>
      <c r="M396" s="15">
        <f t="shared" si="126"/>
        <v>0</v>
      </c>
      <c r="N396" s="15">
        <f t="shared" si="126"/>
        <v>121653708.05</v>
      </c>
      <c r="O396" s="15">
        <f t="shared" si="126"/>
        <v>0</v>
      </c>
      <c r="P396" s="15" t="s">
        <v>13</v>
      </c>
      <c r="Q396" s="15" t="s">
        <v>13</v>
      </c>
      <c r="R396" s="126" t="s">
        <v>13</v>
      </c>
      <c r="S396" s="126" t="s">
        <v>13</v>
      </c>
    </row>
    <row r="397" spans="1:19" s="41" customFormat="1" ht="15.75" customHeight="1" x14ac:dyDescent="0.25">
      <c r="A397" s="126">
        <v>1</v>
      </c>
      <c r="B397" s="126">
        <v>654</v>
      </c>
      <c r="C397" s="142" t="s">
        <v>119</v>
      </c>
      <c r="D397" s="134">
        <v>1979</v>
      </c>
      <c r="E397" s="134" t="s">
        <v>112</v>
      </c>
      <c r="F397" s="134" t="s">
        <v>82</v>
      </c>
      <c r="G397" s="15">
        <v>4341.5</v>
      </c>
      <c r="H397" s="15">
        <v>3916.7</v>
      </c>
      <c r="I397" s="10">
        <v>191</v>
      </c>
      <c r="J397" s="15">
        <f>'Форма 2'!I1497</f>
        <v>17141887.219999999</v>
      </c>
      <c r="K397" s="15">
        <v>0</v>
      </c>
      <c r="L397" s="15">
        <v>0</v>
      </c>
      <c r="M397" s="15">
        <v>0</v>
      </c>
      <c r="N397" s="15">
        <f t="shared" ref="N397:N432" si="127">J397-K397-L397-M397-O397</f>
        <v>17141887.219999999</v>
      </c>
      <c r="O397" s="15">
        <v>0</v>
      </c>
      <c r="P397" s="15">
        <f t="shared" ref="P397:P432" si="128">J397/H397</f>
        <v>4376.6099999999997</v>
      </c>
      <c r="Q397" s="15">
        <f>'Форма 2'!K1497</f>
        <v>7631</v>
      </c>
      <c r="R397" s="351" t="s">
        <v>379</v>
      </c>
      <c r="S397" s="153">
        <v>1</v>
      </c>
    </row>
    <row r="398" spans="1:19" s="41" customFormat="1" ht="15.75" customHeight="1" x14ac:dyDescent="0.25">
      <c r="A398" s="126">
        <f>A397+1</f>
        <v>2</v>
      </c>
      <c r="B398" s="126">
        <v>736</v>
      </c>
      <c r="C398" s="142" t="s">
        <v>256</v>
      </c>
      <c r="D398" s="134">
        <v>1982</v>
      </c>
      <c r="E398" s="134" t="s">
        <v>367</v>
      </c>
      <c r="F398" s="134" t="s">
        <v>82</v>
      </c>
      <c r="G398" s="15">
        <v>1017</v>
      </c>
      <c r="H398" s="15">
        <v>930.1</v>
      </c>
      <c r="I398" s="10">
        <v>35</v>
      </c>
      <c r="J398" s="15">
        <f>'Форма 2'!I1502</f>
        <v>8026009.3700000001</v>
      </c>
      <c r="K398" s="15">
        <v>0</v>
      </c>
      <c r="L398" s="15">
        <v>0</v>
      </c>
      <c r="M398" s="15">
        <v>0</v>
      </c>
      <c r="N398" s="15">
        <f t="shared" si="127"/>
        <v>8026009.3700000001</v>
      </c>
      <c r="O398" s="15">
        <v>0</v>
      </c>
      <c r="P398" s="15">
        <f t="shared" si="128"/>
        <v>8629.19</v>
      </c>
      <c r="Q398" s="15">
        <f>'Форма 2'!K1502</f>
        <v>9393</v>
      </c>
      <c r="R398" s="351" t="s">
        <v>379</v>
      </c>
      <c r="S398" s="153">
        <v>1</v>
      </c>
    </row>
    <row r="399" spans="1:19" s="41" customFormat="1" ht="15.75" customHeight="1" x14ac:dyDescent="0.25">
      <c r="A399" s="126">
        <f t="shared" ref="A399:A432" si="129">A398+1</f>
        <v>3</v>
      </c>
      <c r="B399" s="126">
        <v>822</v>
      </c>
      <c r="C399" s="142" t="s">
        <v>186</v>
      </c>
      <c r="D399" s="134">
        <v>1988</v>
      </c>
      <c r="E399" s="134" t="s">
        <v>367</v>
      </c>
      <c r="F399" s="134" t="s">
        <v>82</v>
      </c>
      <c r="G399" s="15">
        <v>1037.9000000000001</v>
      </c>
      <c r="H399" s="15">
        <v>898.3</v>
      </c>
      <c r="I399" s="10">
        <v>37</v>
      </c>
      <c r="J399" s="15">
        <f>'Форма 2'!I1509</f>
        <v>7972472.3499999996</v>
      </c>
      <c r="K399" s="15">
        <v>0</v>
      </c>
      <c r="L399" s="15">
        <v>0</v>
      </c>
      <c r="M399" s="15">
        <v>0</v>
      </c>
      <c r="N399" s="15">
        <f t="shared" si="127"/>
        <v>7972472.3499999996</v>
      </c>
      <c r="O399" s="15">
        <v>0</v>
      </c>
      <c r="P399" s="15">
        <f t="shared" si="128"/>
        <v>8875.07</v>
      </c>
      <c r="Q399" s="15">
        <f>'Форма 2'!K1509</f>
        <v>9393</v>
      </c>
      <c r="R399" s="351" t="s">
        <v>379</v>
      </c>
      <c r="S399" s="153">
        <v>1</v>
      </c>
    </row>
    <row r="400" spans="1:19" s="41" customFormat="1" ht="15.75" customHeight="1" x14ac:dyDescent="0.25">
      <c r="A400" s="126">
        <f t="shared" si="129"/>
        <v>4</v>
      </c>
      <c r="B400" s="126">
        <v>875</v>
      </c>
      <c r="C400" s="142" t="s">
        <v>188</v>
      </c>
      <c r="D400" s="134">
        <v>1991</v>
      </c>
      <c r="E400" s="134" t="s">
        <v>367</v>
      </c>
      <c r="F400" s="134" t="s">
        <v>82</v>
      </c>
      <c r="G400" s="15">
        <v>3020.2</v>
      </c>
      <c r="H400" s="15">
        <v>2739.2</v>
      </c>
      <c r="I400" s="10">
        <v>103</v>
      </c>
      <c r="J400" s="15">
        <f>'Форма 2'!I1516</f>
        <v>14820185.529999999</v>
      </c>
      <c r="K400" s="15">
        <v>0</v>
      </c>
      <c r="L400" s="15">
        <v>0</v>
      </c>
      <c r="M400" s="15">
        <v>0</v>
      </c>
      <c r="N400" s="15">
        <f t="shared" si="127"/>
        <v>14820185.529999999</v>
      </c>
      <c r="O400" s="15">
        <v>0</v>
      </c>
      <c r="P400" s="15">
        <f t="shared" si="128"/>
        <v>5410.41</v>
      </c>
      <c r="Q400" s="15">
        <f>'Форма 2'!K1516</f>
        <v>11509</v>
      </c>
      <c r="R400" s="351" t="s">
        <v>379</v>
      </c>
      <c r="S400" s="153">
        <v>1</v>
      </c>
    </row>
    <row r="401" spans="1:19" s="41" customFormat="1" ht="15.75" customHeight="1" x14ac:dyDescent="0.25">
      <c r="A401" s="126">
        <f t="shared" si="129"/>
        <v>5</v>
      </c>
      <c r="B401" s="126">
        <v>876</v>
      </c>
      <c r="C401" s="142" t="s">
        <v>189</v>
      </c>
      <c r="D401" s="134">
        <v>1991</v>
      </c>
      <c r="E401" s="134" t="s">
        <v>367</v>
      </c>
      <c r="F401" s="134" t="s">
        <v>82</v>
      </c>
      <c r="G401" s="15">
        <v>3026.8</v>
      </c>
      <c r="H401" s="15">
        <v>2745.8</v>
      </c>
      <c r="I401" s="10">
        <v>104</v>
      </c>
      <c r="J401" s="15">
        <f>'Форма 2'!I1523</f>
        <v>18472773.670000002</v>
      </c>
      <c r="K401" s="15">
        <v>0</v>
      </c>
      <c r="L401" s="15">
        <v>0</v>
      </c>
      <c r="M401" s="15">
        <v>0</v>
      </c>
      <c r="N401" s="15">
        <f t="shared" si="127"/>
        <v>18472773.670000002</v>
      </c>
      <c r="O401" s="15">
        <v>0</v>
      </c>
      <c r="P401" s="15">
        <f t="shared" si="128"/>
        <v>6727.65</v>
      </c>
      <c r="Q401" s="15">
        <f>'Форма 2'!K1523</f>
        <v>11509</v>
      </c>
      <c r="R401" s="351" t="s">
        <v>379</v>
      </c>
      <c r="S401" s="153">
        <v>1</v>
      </c>
    </row>
    <row r="402" spans="1:19" s="41" customFormat="1" ht="15" customHeight="1" x14ac:dyDescent="0.25">
      <c r="A402" s="126">
        <f t="shared" si="129"/>
        <v>6</v>
      </c>
      <c r="B402" s="126">
        <v>320</v>
      </c>
      <c r="C402" s="124" t="s">
        <v>635</v>
      </c>
      <c r="D402" s="134">
        <v>1959</v>
      </c>
      <c r="E402" s="134" t="s">
        <v>95</v>
      </c>
      <c r="F402" s="134" t="s">
        <v>81</v>
      </c>
      <c r="G402" s="15">
        <v>1682.9</v>
      </c>
      <c r="H402" s="15">
        <v>1563.9</v>
      </c>
      <c r="I402" s="10">
        <v>59</v>
      </c>
      <c r="J402" s="15">
        <f>'Форма 2'!I1530</f>
        <v>73503.3</v>
      </c>
      <c r="K402" s="15">
        <v>0</v>
      </c>
      <c r="L402" s="15">
        <v>0</v>
      </c>
      <c r="M402" s="15">
        <v>0</v>
      </c>
      <c r="N402" s="15">
        <f t="shared" si="127"/>
        <v>73503.3</v>
      </c>
      <c r="O402" s="15">
        <v>0</v>
      </c>
      <c r="P402" s="15">
        <f t="shared" si="128"/>
        <v>47</v>
      </c>
      <c r="Q402" s="15">
        <f>'Форма 2'!K1530</f>
        <v>47</v>
      </c>
      <c r="R402" s="351" t="s">
        <v>379</v>
      </c>
      <c r="S402" s="153">
        <v>1</v>
      </c>
    </row>
    <row r="403" spans="1:19" s="41" customFormat="1" ht="15" customHeight="1" x14ac:dyDescent="0.25">
      <c r="A403" s="126">
        <f t="shared" si="129"/>
        <v>7</v>
      </c>
      <c r="B403" s="126">
        <v>122</v>
      </c>
      <c r="C403" s="124" t="s">
        <v>593</v>
      </c>
      <c r="D403" s="134">
        <v>1946</v>
      </c>
      <c r="E403" s="134" t="s">
        <v>95</v>
      </c>
      <c r="F403" s="134" t="s">
        <v>82</v>
      </c>
      <c r="G403" s="15">
        <v>896.3</v>
      </c>
      <c r="H403" s="15">
        <v>821.3</v>
      </c>
      <c r="I403" s="10">
        <v>31</v>
      </c>
      <c r="J403" s="15">
        <f>'Форма 2'!I1532</f>
        <v>297310.59999999998</v>
      </c>
      <c r="K403" s="15">
        <v>0</v>
      </c>
      <c r="L403" s="15">
        <v>0</v>
      </c>
      <c r="M403" s="15">
        <v>0</v>
      </c>
      <c r="N403" s="15">
        <f t="shared" si="127"/>
        <v>297310.59999999998</v>
      </c>
      <c r="O403" s="15">
        <v>0</v>
      </c>
      <c r="P403" s="15">
        <f t="shared" si="128"/>
        <v>362</v>
      </c>
      <c r="Q403" s="15">
        <f>'Форма 2'!K1532</f>
        <v>362</v>
      </c>
      <c r="R403" s="351" t="s">
        <v>379</v>
      </c>
      <c r="S403" s="153">
        <v>1</v>
      </c>
    </row>
    <row r="404" spans="1:19" s="41" customFormat="1" ht="15" customHeight="1" x14ac:dyDescent="0.25">
      <c r="A404" s="126">
        <f t="shared" si="129"/>
        <v>8</v>
      </c>
      <c r="B404" s="126">
        <v>123</v>
      </c>
      <c r="C404" s="124" t="s">
        <v>594</v>
      </c>
      <c r="D404" s="134">
        <v>1946</v>
      </c>
      <c r="E404" s="134" t="s">
        <v>95</v>
      </c>
      <c r="F404" s="134" t="s">
        <v>82</v>
      </c>
      <c r="G404" s="15">
        <v>893.8</v>
      </c>
      <c r="H404" s="15">
        <v>824.1</v>
      </c>
      <c r="I404" s="10">
        <v>31</v>
      </c>
      <c r="J404" s="15">
        <f>'Форма 2'!I1535</f>
        <v>298324.2</v>
      </c>
      <c r="K404" s="15">
        <v>0</v>
      </c>
      <c r="L404" s="15">
        <v>0</v>
      </c>
      <c r="M404" s="15">
        <v>0</v>
      </c>
      <c r="N404" s="15">
        <f t="shared" si="127"/>
        <v>298324.2</v>
      </c>
      <c r="O404" s="15">
        <v>0</v>
      </c>
      <c r="P404" s="15">
        <f t="shared" si="128"/>
        <v>362</v>
      </c>
      <c r="Q404" s="15">
        <f>'Форма 2'!K1535</f>
        <v>362</v>
      </c>
      <c r="R404" s="351" t="s">
        <v>379</v>
      </c>
      <c r="S404" s="153">
        <v>1</v>
      </c>
    </row>
    <row r="405" spans="1:19" s="41" customFormat="1" ht="15" customHeight="1" x14ac:dyDescent="0.25">
      <c r="A405" s="126">
        <f t="shared" si="129"/>
        <v>9</v>
      </c>
      <c r="B405" s="126">
        <v>131</v>
      </c>
      <c r="C405" s="124" t="s">
        <v>595</v>
      </c>
      <c r="D405" s="134">
        <v>1948</v>
      </c>
      <c r="E405" s="134" t="s">
        <v>95</v>
      </c>
      <c r="F405" s="134" t="s">
        <v>82</v>
      </c>
      <c r="G405" s="15">
        <v>904.3</v>
      </c>
      <c r="H405" s="15">
        <v>829.3</v>
      </c>
      <c r="I405" s="10">
        <v>39</v>
      </c>
      <c r="J405" s="15">
        <f>'Форма 2'!I1538</f>
        <v>300206.59999999998</v>
      </c>
      <c r="K405" s="15">
        <v>0</v>
      </c>
      <c r="L405" s="15">
        <v>0</v>
      </c>
      <c r="M405" s="15">
        <v>0</v>
      </c>
      <c r="N405" s="15">
        <f t="shared" si="127"/>
        <v>300206.59999999998</v>
      </c>
      <c r="O405" s="15">
        <v>0</v>
      </c>
      <c r="P405" s="15">
        <f t="shared" si="128"/>
        <v>362</v>
      </c>
      <c r="Q405" s="15">
        <f>'Форма 2'!K1538</f>
        <v>362</v>
      </c>
      <c r="R405" s="351" t="s">
        <v>379</v>
      </c>
      <c r="S405" s="153">
        <v>1</v>
      </c>
    </row>
    <row r="406" spans="1:19" s="41" customFormat="1" ht="15" customHeight="1" x14ac:dyDescent="0.25">
      <c r="A406" s="126">
        <f t="shared" si="129"/>
        <v>10</v>
      </c>
      <c r="B406" s="126">
        <v>190</v>
      </c>
      <c r="C406" s="124" t="s">
        <v>636</v>
      </c>
      <c r="D406" s="134">
        <v>1953</v>
      </c>
      <c r="E406" s="134" t="s">
        <v>95</v>
      </c>
      <c r="F406" s="134" t="s">
        <v>81</v>
      </c>
      <c r="G406" s="15">
        <v>1211.5999999999999</v>
      </c>
      <c r="H406" s="15">
        <v>1091.8</v>
      </c>
      <c r="I406" s="10">
        <v>37</v>
      </c>
      <c r="J406" s="15">
        <f>'Форма 2'!I1541</f>
        <v>51314.6</v>
      </c>
      <c r="K406" s="15">
        <v>0</v>
      </c>
      <c r="L406" s="15">
        <v>0</v>
      </c>
      <c r="M406" s="15">
        <v>0</v>
      </c>
      <c r="N406" s="15">
        <f t="shared" si="127"/>
        <v>51314.6</v>
      </c>
      <c r="O406" s="15">
        <v>0</v>
      </c>
      <c r="P406" s="15">
        <f t="shared" si="128"/>
        <v>47</v>
      </c>
      <c r="Q406" s="15">
        <f>'Форма 2'!K1541</f>
        <v>47</v>
      </c>
      <c r="R406" s="351" t="s">
        <v>379</v>
      </c>
      <c r="S406" s="153">
        <v>1</v>
      </c>
    </row>
    <row r="407" spans="1:19" s="41" customFormat="1" ht="15" customHeight="1" x14ac:dyDescent="0.25">
      <c r="A407" s="126">
        <f t="shared" si="129"/>
        <v>11</v>
      </c>
      <c r="B407" s="126">
        <v>197</v>
      </c>
      <c r="C407" s="124" t="s">
        <v>637</v>
      </c>
      <c r="D407" s="134">
        <v>1953</v>
      </c>
      <c r="E407" s="134" t="s">
        <v>95</v>
      </c>
      <c r="F407" s="134" t="s">
        <v>81</v>
      </c>
      <c r="G407" s="15">
        <v>1060.9000000000001</v>
      </c>
      <c r="H407" s="15">
        <v>1027.9000000000001</v>
      </c>
      <c r="I407" s="10">
        <v>39</v>
      </c>
      <c r="J407" s="15">
        <f>'Форма 2'!I1543</f>
        <v>48311.3</v>
      </c>
      <c r="K407" s="15">
        <v>0</v>
      </c>
      <c r="L407" s="15">
        <v>0</v>
      </c>
      <c r="M407" s="15">
        <v>0</v>
      </c>
      <c r="N407" s="15">
        <f t="shared" si="127"/>
        <v>48311.3</v>
      </c>
      <c r="O407" s="15">
        <v>0</v>
      </c>
      <c r="P407" s="15">
        <f t="shared" si="128"/>
        <v>47</v>
      </c>
      <c r="Q407" s="15">
        <f>'Форма 2'!K1543</f>
        <v>47</v>
      </c>
      <c r="R407" s="351" t="s">
        <v>379</v>
      </c>
      <c r="S407" s="153">
        <v>1</v>
      </c>
    </row>
    <row r="408" spans="1:19" s="41" customFormat="1" ht="15" customHeight="1" x14ac:dyDescent="0.25">
      <c r="A408" s="126">
        <f t="shared" si="129"/>
        <v>12</v>
      </c>
      <c r="B408" s="126">
        <v>347</v>
      </c>
      <c r="C408" s="124" t="s">
        <v>638</v>
      </c>
      <c r="D408" s="134">
        <v>1960</v>
      </c>
      <c r="E408" s="134" t="s">
        <v>95</v>
      </c>
      <c r="F408" s="134" t="s">
        <v>81</v>
      </c>
      <c r="G408" s="15">
        <v>3366.7</v>
      </c>
      <c r="H408" s="15">
        <v>3127.4</v>
      </c>
      <c r="I408" s="10">
        <v>118</v>
      </c>
      <c r="J408" s="15">
        <f>'Форма 2'!I1545</f>
        <v>75057.600000000006</v>
      </c>
      <c r="K408" s="15">
        <v>0</v>
      </c>
      <c r="L408" s="15">
        <v>0</v>
      </c>
      <c r="M408" s="15">
        <v>0</v>
      </c>
      <c r="N408" s="15">
        <f t="shared" si="127"/>
        <v>75057.600000000006</v>
      </c>
      <c r="O408" s="15">
        <v>0</v>
      </c>
      <c r="P408" s="15">
        <f t="shared" si="128"/>
        <v>24</v>
      </c>
      <c r="Q408" s="15">
        <f>'Форма 2'!K1545</f>
        <v>24</v>
      </c>
      <c r="R408" s="351" t="s">
        <v>379</v>
      </c>
      <c r="S408" s="153">
        <v>1</v>
      </c>
    </row>
    <row r="409" spans="1:19" s="41" customFormat="1" ht="15" customHeight="1" x14ac:dyDescent="0.25">
      <c r="A409" s="126">
        <f t="shared" si="129"/>
        <v>13</v>
      </c>
      <c r="B409" s="126">
        <v>348</v>
      </c>
      <c r="C409" s="124" t="s">
        <v>639</v>
      </c>
      <c r="D409" s="134">
        <v>1960</v>
      </c>
      <c r="E409" s="134" t="s">
        <v>95</v>
      </c>
      <c r="F409" s="134" t="s">
        <v>81</v>
      </c>
      <c r="G409" s="15">
        <v>4148</v>
      </c>
      <c r="H409" s="15">
        <v>3202.33</v>
      </c>
      <c r="I409" s="10">
        <v>120</v>
      </c>
      <c r="J409" s="15">
        <f>'Форма 2'!I1547</f>
        <v>76855.92</v>
      </c>
      <c r="K409" s="15">
        <v>0</v>
      </c>
      <c r="L409" s="15">
        <v>0</v>
      </c>
      <c r="M409" s="15">
        <v>0</v>
      </c>
      <c r="N409" s="15">
        <f t="shared" si="127"/>
        <v>76855.92</v>
      </c>
      <c r="O409" s="15">
        <v>0</v>
      </c>
      <c r="P409" s="15">
        <f t="shared" si="128"/>
        <v>24</v>
      </c>
      <c r="Q409" s="15">
        <f>'Форма 2'!K1547</f>
        <v>24</v>
      </c>
      <c r="R409" s="351" t="s">
        <v>379</v>
      </c>
      <c r="S409" s="153">
        <v>1</v>
      </c>
    </row>
    <row r="410" spans="1:19" s="41" customFormat="1" ht="15" customHeight="1" x14ac:dyDescent="0.25">
      <c r="A410" s="126">
        <f t="shared" si="129"/>
        <v>14</v>
      </c>
      <c r="B410" s="126">
        <v>349</v>
      </c>
      <c r="C410" s="124" t="s">
        <v>640</v>
      </c>
      <c r="D410" s="134">
        <v>1960</v>
      </c>
      <c r="E410" s="134" t="s">
        <v>95</v>
      </c>
      <c r="F410" s="134" t="s">
        <v>81</v>
      </c>
      <c r="G410" s="15">
        <v>4824.96</v>
      </c>
      <c r="H410" s="15">
        <v>4539.0600000000004</v>
      </c>
      <c r="I410" s="10">
        <v>171</v>
      </c>
      <c r="J410" s="15">
        <f>'Форма 2'!I1549</f>
        <v>108937.44</v>
      </c>
      <c r="K410" s="15">
        <v>0</v>
      </c>
      <c r="L410" s="15">
        <v>0</v>
      </c>
      <c r="M410" s="15">
        <v>0</v>
      </c>
      <c r="N410" s="15">
        <f t="shared" si="127"/>
        <v>108937.44</v>
      </c>
      <c r="O410" s="15">
        <v>0</v>
      </c>
      <c r="P410" s="15">
        <f t="shared" si="128"/>
        <v>24</v>
      </c>
      <c r="Q410" s="15">
        <f>'Форма 2'!K1549</f>
        <v>24</v>
      </c>
      <c r="R410" s="351" t="s">
        <v>379</v>
      </c>
      <c r="S410" s="153">
        <v>1</v>
      </c>
    </row>
    <row r="411" spans="1:19" s="41" customFormat="1" ht="15.75" customHeight="1" x14ac:dyDescent="0.25">
      <c r="A411" s="126">
        <f t="shared" si="129"/>
        <v>15</v>
      </c>
      <c r="B411" s="126">
        <v>368</v>
      </c>
      <c r="C411" s="142" t="s">
        <v>559</v>
      </c>
      <c r="D411" s="134">
        <v>1961</v>
      </c>
      <c r="E411" s="134" t="s">
        <v>95</v>
      </c>
      <c r="F411" s="134" t="s">
        <v>82</v>
      </c>
      <c r="G411" s="15">
        <v>3911.9</v>
      </c>
      <c r="H411" s="15">
        <v>3670.2</v>
      </c>
      <c r="I411" s="10">
        <v>122</v>
      </c>
      <c r="J411" s="15">
        <f>'Форма 2'!I1551</f>
        <v>1493771.4</v>
      </c>
      <c r="K411" s="15">
        <v>0</v>
      </c>
      <c r="L411" s="15">
        <v>0</v>
      </c>
      <c r="M411" s="15">
        <v>0</v>
      </c>
      <c r="N411" s="15">
        <f>J411-K411-L411-M411-O411</f>
        <v>1493771.4</v>
      </c>
      <c r="O411" s="15">
        <v>0</v>
      </c>
      <c r="P411" s="15">
        <f>J411/H411</f>
        <v>407</v>
      </c>
      <c r="Q411" s="15">
        <f>'Форма 2'!K1551</f>
        <v>407</v>
      </c>
      <c r="R411" s="351" t="s">
        <v>379</v>
      </c>
      <c r="S411" s="153">
        <v>1</v>
      </c>
    </row>
    <row r="412" spans="1:19" s="41" customFormat="1" ht="15.75" customHeight="1" x14ac:dyDescent="0.25">
      <c r="A412" s="126">
        <f t="shared" si="129"/>
        <v>16</v>
      </c>
      <c r="B412" s="126">
        <v>827</v>
      </c>
      <c r="C412" s="142" t="s">
        <v>373</v>
      </c>
      <c r="D412" s="134">
        <v>1988</v>
      </c>
      <c r="E412" s="134" t="s">
        <v>68</v>
      </c>
      <c r="F412" s="134" t="s">
        <v>81</v>
      </c>
      <c r="G412" s="15">
        <v>4656.7</v>
      </c>
      <c r="H412" s="15">
        <v>4235.7</v>
      </c>
      <c r="I412" s="10">
        <v>160</v>
      </c>
      <c r="J412" s="15">
        <f>'Форма 2'!I1554</f>
        <v>667864</v>
      </c>
      <c r="K412" s="15">
        <v>0</v>
      </c>
      <c r="L412" s="15">
        <v>0</v>
      </c>
      <c r="M412" s="15">
        <v>0</v>
      </c>
      <c r="N412" s="15">
        <f t="shared" si="127"/>
        <v>667864</v>
      </c>
      <c r="O412" s="15">
        <v>0</v>
      </c>
      <c r="P412" s="15">
        <f t="shared" si="128"/>
        <v>157.68</v>
      </c>
      <c r="Q412" s="15">
        <f>'Форма 2'!K1554</f>
        <v>169</v>
      </c>
      <c r="R412" s="351" t="s">
        <v>379</v>
      </c>
      <c r="S412" s="153">
        <v>1</v>
      </c>
    </row>
    <row r="413" spans="1:19" s="41" customFormat="1" ht="15.75" customHeight="1" x14ac:dyDescent="0.25">
      <c r="A413" s="126">
        <f t="shared" si="129"/>
        <v>17</v>
      </c>
      <c r="B413" s="126">
        <v>602</v>
      </c>
      <c r="C413" s="142" t="s">
        <v>120</v>
      </c>
      <c r="D413" s="134">
        <v>1973</v>
      </c>
      <c r="E413" s="134" t="s">
        <v>112</v>
      </c>
      <c r="F413" s="134" t="s">
        <v>82</v>
      </c>
      <c r="G413" s="15">
        <v>3290.6</v>
      </c>
      <c r="H413" s="15">
        <v>3240.43</v>
      </c>
      <c r="I413" s="10">
        <v>122</v>
      </c>
      <c r="J413" s="15">
        <f>'Форма 2'!I1556</f>
        <v>15444499.52</v>
      </c>
      <c r="K413" s="15">
        <v>0</v>
      </c>
      <c r="L413" s="15">
        <v>0</v>
      </c>
      <c r="M413" s="15">
        <v>0</v>
      </c>
      <c r="N413" s="15">
        <f t="shared" si="127"/>
        <v>15444499.52</v>
      </c>
      <c r="O413" s="15">
        <v>0</v>
      </c>
      <c r="P413" s="15">
        <f t="shared" si="128"/>
        <v>4766.1899999999996</v>
      </c>
      <c r="Q413" s="15">
        <f>'Форма 2'!K1556</f>
        <v>5861</v>
      </c>
      <c r="R413" s="351" t="s">
        <v>379</v>
      </c>
      <c r="S413" s="153">
        <v>1</v>
      </c>
    </row>
    <row r="414" spans="1:19" s="41" customFormat="1" ht="15" customHeight="1" x14ac:dyDescent="0.25">
      <c r="A414" s="126">
        <f t="shared" si="129"/>
        <v>18</v>
      </c>
      <c r="B414" s="126">
        <v>293</v>
      </c>
      <c r="C414" s="124" t="s">
        <v>641</v>
      </c>
      <c r="D414" s="134">
        <v>1958</v>
      </c>
      <c r="E414" s="134" t="s">
        <v>95</v>
      </c>
      <c r="F414" s="134" t="s">
        <v>81</v>
      </c>
      <c r="G414" s="15">
        <v>1357.2</v>
      </c>
      <c r="H414" s="15">
        <v>1262.0999999999999</v>
      </c>
      <c r="I414" s="10">
        <v>61</v>
      </c>
      <c r="J414" s="15">
        <f>'Форма 2'!I1559</f>
        <v>59318.7</v>
      </c>
      <c r="K414" s="15">
        <v>0</v>
      </c>
      <c r="L414" s="15">
        <v>0</v>
      </c>
      <c r="M414" s="15">
        <v>0</v>
      </c>
      <c r="N414" s="15">
        <f t="shared" si="127"/>
        <v>59318.7</v>
      </c>
      <c r="O414" s="15">
        <v>0</v>
      </c>
      <c r="P414" s="15">
        <f t="shared" si="128"/>
        <v>47</v>
      </c>
      <c r="Q414" s="15">
        <f>'Форма 2'!K1559</f>
        <v>47</v>
      </c>
      <c r="R414" s="351" t="s">
        <v>379</v>
      </c>
      <c r="S414" s="153">
        <v>1</v>
      </c>
    </row>
    <row r="415" spans="1:19" s="41" customFormat="1" ht="15" customHeight="1" x14ac:dyDescent="0.25">
      <c r="A415" s="126">
        <f t="shared" si="129"/>
        <v>19</v>
      </c>
      <c r="B415" s="126">
        <v>471</v>
      </c>
      <c r="C415" s="124" t="s">
        <v>642</v>
      </c>
      <c r="D415" s="134">
        <v>1964</v>
      </c>
      <c r="E415" s="134" t="s">
        <v>68</v>
      </c>
      <c r="F415" s="134" t="s">
        <v>81</v>
      </c>
      <c r="G415" s="15">
        <v>1675.3</v>
      </c>
      <c r="H415" s="15">
        <v>1568.8</v>
      </c>
      <c r="I415" s="10">
        <v>59</v>
      </c>
      <c r="J415" s="15">
        <f>'Форма 2'!I1561</f>
        <v>265127.2</v>
      </c>
      <c r="K415" s="15">
        <v>0</v>
      </c>
      <c r="L415" s="15">
        <v>0</v>
      </c>
      <c r="M415" s="15">
        <v>0</v>
      </c>
      <c r="N415" s="15">
        <f>J415-K415-L415-M415-O415</f>
        <v>265127.2</v>
      </c>
      <c r="O415" s="15">
        <v>0</v>
      </c>
      <c r="P415" s="15">
        <f>J415/H415</f>
        <v>169</v>
      </c>
      <c r="Q415" s="15">
        <f>'Форма 2'!K1561</f>
        <v>169</v>
      </c>
      <c r="R415" s="351" t="s">
        <v>379</v>
      </c>
      <c r="S415" s="153">
        <v>1</v>
      </c>
    </row>
    <row r="416" spans="1:19" s="41" customFormat="1" ht="15" customHeight="1" x14ac:dyDescent="0.25">
      <c r="A416" s="126">
        <f t="shared" si="129"/>
        <v>20</v>
      </c>
      <c r="B416" s="126">
        <v>340</v>
      </c>
      <c r="C416" s="124" t="s">
        <v>643</v>
      </c>
      <c r="D416" s="134">
        <v>1960</v>
      </c>
      <c r="E416" s="134" t="s">
        <v>95</v>
      </c>
      <c r="F416" s="134" t="s">
        <v>81</v>
      </c>
      <c r="G416" s="15">
        <v>1457.55</v>
      </c>
      <c r="H416" s="15">
        <v>1359.55</v>
      </c>
      <c r="I416" s="10">
        <v>51</v>
      </c>
      <c r="J416" s="15">
        <f>'Форма 2'!I1563</f>
        <v>63898.85</v>
      </c>
      <c r="K416" s="15">
        <v>0</v>
      </c>
      <c r="L416" s="15">
        <v>0</v>
      </c>
      <c r="M416" s="15">
        <v>0</v>
      </c>
      <c r="N416" s="15">
        <f>J416-K416-L416-M416-O416</f>
        <v>63898.85</v>
      </c>
      <c r="O416" s="15">
        <v>0</v>
      </c>
      <c r="P416" s="15">
        <f>J416/H416</f>
        <v>47</v>
      </c>
      <c r="Q416" s="15">
        <f>'Форма 2'!K1563</f>
        <v>47</v>
      </c>
      <c r="R416" s="351" t="s">
        <v>379</v>
      </c>
      <c r="S416" s="153">
        <v>1</v>
      </c>
    </row>
    <row r="417" spans="1:19" s="41" customFormat="1" ht="15" customHeight="1" x14ac:dyDescent="0.25">
      <c r="A417" s="126">
        <f t="shared" si="129"/>
        <v>21</v>
      </c>
      <c r="B417" s="126">
        <v>341</v>
      </c>
      <c r="C417" s="124" t="s">
        <v>644</v>
      </c>
      <c r="D417" s="134">
        <v>1960</v>
      </c>
      <c r="E417" s="134" t="s">
        <v>95</v>
      </c>
      <c r="F417" s="134" t="s">
        <v>81</v>
      </c>
      <c r="G417" s="15">
        <v>1366.6</v>
      </c>
      <c r="H417" s="15">
        <v>1268.5999999999999</v>
      </c>
      <c r="I417" s="10">
        <v>48</v>
      </c>
      <c r="J417" s="15">
        <f>'Форма 2'!I1565</f>
        <v>59624.2</v>
      </c>
      <c r="K417" s="15">
        <v>0</v>
      </c>
      <c r="L417" s="15">
        <v>0</v>
      </c>
      <c r="M417" s="15">
        <v>0</v>
      </c>
      <c r="N417" s="15">
        <f>J417-K417-L417-M417-O417</f>
        <v>59624.2</v>
      </c>
      <c r="O417" s="15">
        <v>0</v>
      </c>
      <c r="P417" s="15">
        <f>J417/H417</f>
        <v>47</v>
      </c>
      <c r="Q417" s="15">
        <f>'Форма 2'!K1565</f>
        <v>47</v>
      </c>
      <c r="R417" s="351" t="s">
        <v>379</v>
      </c>
      <c r="S417" s="153">
        <v>1</v>
      </c>
    </row>
    <row r="418" spans="1:19" s="41" customFormat="1" ht="15.75" customHeight="1" x14ac:dyDescent="0.25">
      <c r="A418" s="126">
        <f t="shared" si="129"/>
        <v>22</v>
      </c>
      <c r="B418" s="126">
        <v>351</v>
      </c>
      <c r="C418" s="142" t="s">
        <v>554</v>
      </c>
      <c r="D418" s="134">
        <v>1960</v>
      </c>
      <c r="E418" s="134" t="s">
        <v>95</v>
      </c>
      <c r="F418" s="134" t="s">
        <v>82</v>
      </c>
      <c r="G418" s="15">
        <v>2175.4</v>
      </c>
      <c r="H418" s="15">
        <v>1260.4000000000001</v>
      </c>
      <c r="I418" s="10">
        <v>48</v>
      </c>
      <c r="J418" s="15">
        <f>'Форма 2'!I1567</f>
        <v>456264.8</v>
      </c>
      <c r="K418" s="15">
        <v>0</v>
      </c>
      <c r="L418" s="15">
        <v>0</v>
      </c>
      <c r="M418" s="15">
        <v>0</v>
      </c>
      <c r="N418" s="15">
        <f t="shared" si="127"/>
        <v>456264.8</v>
      </c>
      <c r="O418" s="15">
        <v>0</v>
      </c>
      <c r="P418" s="15">
        <f t="shared" si="128"/>
        <v>362</v>
      </c>
      <c r="Q418" s="15">
        <f>'Форма 2'!K1567</f>
        <v>362</v>
      </c>
      <c r="R418" s="351" t="s">
        <v>379</v>
      </c>
      <c r="S418" s="153">
        <v>1</v>
      </c>
    </row>
    <row r="419" spans="1:19" s="41" customFormat="1" ht="15.75" customHeight="1" x14ac:dyDescent="0.25">
      <c r="A419" s="126">
        <f t="shared" si="129"/>
        <v>23</v>
      </c>
      <c r="B419" s="126">
        <v>811</v>
      </c>
      <c r="C419" s="142" t="s">
        <v>191</v>
      </c>
      <c r="D419" s="134">
        <v>1986</v>
      </c>
      <c r="E419" s="134" t="s">
        <v>358</v>
      </c>
      <c r="F419" s="134" t="s">
        <v>82</v>
      </c>
      <c r="G419" s="15">
        <v>4962.1000000000004</v>
      </c>
      <c r="H419" s="15">
        <v>4347.7</v>
      </c>
      <c r="I419" s="10">
        <v>164</v>
      </c>
      <c r="J419" s="15">
        <f>'Форма 2'!I1570</f>
        <v>12098374.76</v>
      </c>
      <c r="K419" s="15">
        <v>0</v>
      </c>
      <c r="L419" s="15">
        <v>0</v>
      </c>
      <c r="M419" s="15">
        <v>0</v>
      </c>
      <c r="N419" s="15">
        <f t="shared" si="127"/>
        <v>12098374.76</v>
      </c>
      <c r="O419" s="15">
        <v>0</v>
      </c>
      <c r="P419" s="15">
        <f t="shared" si="128"/>
        <v>2782.71</v>
      </c>
      <c r="Q419" s="15">
        <f>'Форма 2'!K1570</f>
        <v>3419</v>
      </c>
      <c r="R419" s="351" t="s">
        <v>379</v>
      </c>
      <c r="S419" s="153">
        <v>1</v>
      </c>
    </row>
    <row r="420" spans="1:19" s="41" customFormat="1" ht="15.75" customHeight="1" x14ac:dyDescent="0.25">
      <c r="A420" s="126">
        <f t="shared" si="129"/>
        <v>24</v>
      </c>
      <c r="B420" s="126">
        <v>812</v>
      </c>
      <c r="C420" s="142" t="s">
        <v>192</v>
      </c>
      <c r="D420" s="134">
        <v>1986</v>
      </c>
      <c r="E420" s="134" t="s">
        <v>358</v>
      </c>
      <c r="F420" s="134" t="s">
        <v>82</v>
      </c>
      <c r="G420" s="15">
        <v>3795.9</v>
      </c>
      <c r="H420" s="15">
        <v>3238.46</v>
      </c>
      <c r="I420" s="10">
        <v>122</v>
      </c>
      <c r="J420" s="15">
        <f>'Форма 2'!I1577</f>
        <v>8383041.3499999996</v>
      </c>
      <c r="K420" s="15">
        <v>0</v>
      </c>
      <c r="L420" s="15">
        <v>0</v>
      </c>
      <c r="M420" s="15">
        <v>0</v>
      </c>
      <c r="N420" s="15">
        <f t="shared" si="127"/>
        <v>8383041.3499999996</v>
      </c>
      <c r="O420" s="15">
        <v>0</v>
      </c>
      <c r="P420" s="15">
        <f t="shared" si="128"/>
        <v>2588.59</v>
      </c>
      <c r="Q420" s="15">
        <f>'Форма 2'!K1577</f>
        <v>3419</v>
      </c>
      <c r="R420" s="351" t="s">
        <v>379</v>
      </c>
      <c r="S420" s="153">
        <v>1</v>
      </c>
    </row>
    <row r="421" spans="1:19" s="41" customFormat="1" ht="15" customHeight="1" x14ac:dyDescent="0.25">
      <c r="A421" s="126">
        <f t="shared" si="129"/>
        <v>25</v>
      </c>
      <c r="B421" s="126">
        <v>294</v>
      </c>
      <c r="C421" s="124" t="s">
        <v>645</v>
      </c>
      <c r="D421" s="134">
        <v>1958</v>
      </c>
      <c r="E421" s="134" t="s">
        <v>95</v>
      </c>
      <c r="F421" s="134" t="s">
        <v>81</v>
      </c>
      <c r="G421" s="15">
        <v>4068.1</v>
      </c>
      <c r="H421" s="15">
        <v>3808.2</v>
      </c>
      <c r="I421" s="10">
        <v>77</v>
      </c>
      <c r="J421" s="15">
        <f>'Форма 2'!I1584</f>
        <v>91396.800000000003</v>
      </c>
      <c r="K421" s="15">
        <v>0</v>
      </c>
      <c r="L421" s="15">
        <v>0</v>
      </c>
      <c r="M421" s="15">
        <v>0</v>
      </c>
      <c r="N421" s="15">
        <f>J421-K421-L421-M421-O421</f>
        <v>91396.800000000003</v>
      </c>
      <c r="O421" s="15">
        <v>0</v>
      </c>
      <c r="P421" s="15">
        <f>J421/H421</f>
        <v>24</v>
      </c>
      <c r="Q421" s="15">
        <f>'Форма 2'!K1584</f>
        <v>24</v>
      </c>
      <c r="R421" s="351" t="s">
        <v>379</v>
      </c>
      <c r="S421" s="153">
        <v>1</v>
      </c>
    </row>
    <row r="422" spans="1:19" s="41" customFormat="1" ht="15" customHeight="1" x14ac:dyDescent="0.25">
      <c r="A422" s="126">
        <f t="shared" si="129"/>
        <v>26</v>
      </c>
      <c r="B422" s="126">
        <v>326</v>
      </c>
      <c r="C422" s="124" t="s">
        <v>646</v>
      </c>
      <c r="D422" s="134">
        <v>1959</v>
      </c>
      <c r="E422" s="134" t="s">
        <v>95</v>
      </c>
      <c r="F422" s="134" t="s">
        <v>81</v>
      </c>
      <c r="G422" s="15">
        <v>1992.7</v>
      </c>
      <c r="H422" s="15">
        <v>1786.7</v>
      </c>
      <c r="I422" s="10">
        <v>65</v>
      </c>
      <c r="J422" s="15">
        <f>'Форма 2'!I1586</f>
        <v>83974.9</v>
      </c>
      <c r="K422" s="15">
        <v>0</v>
      </c>
      <c r="L422" s="15">
        <v>0</v>
      </c>
      <c r="M422" s="15">
        <v>0</v>
      </c>
      <c r="N422" s="15">
        <f>J422-K422-L422-M422-O422</f>
        <v>83974.9</v>
      </c>
      <c r="O422" s="15">
        <v>0</v>
      </c>
      <c r="P422" s="15">
        <f>J422/H422</f>
        <v>47</v>
      </c>
      <c r="Q422" s="15">
        <f>'Форма 2'!K1586</f>
        <v>47</v>
      </c>
      <c r="R422" s="351" t="s">
        <v>379</v>
      </c>
      <c r="S422" s="153">
        <v>1</v>
      </c>
    </row>
    <row r="423" spans="1:19" s="41" customFormat="1" ht="15.75" customHeight="1" x14ac:dyDescent="0.25">
      <c r="A423" s="126">
        <f t="shared" si="129"/>
        <v>27</v>
      </c>
      <c r="B423" s="126">
        <v>877</v>
      </c>
      <c r="C423" s="142" t="s">
        <v>195</v>
      </c>
      <c r="D423" s="134">
        <v>1991</v>
      </c>
      <c r="E423" s="134" t="s">
        <v>358</v>
      </c>
      <c r="F423" s="134" t="s">
        <v>82</v>
      </c>
      <c r="G423" s="15">
        <v>1678.9</v>
      </c>
      <c r="H423" s="15">
        <v>1533.7</v>
      </c>
      <c r="I423" s="10">
        <v>58</v>
      </c>
      <c r="J423" s="15">
        <f>'Форма 2'!I1588</f>
        <v>5408916.3300000001</v>
      </c>
      <c r="K423" s="15">
        <v>0</v>
      </c>
      <c r="L423" s="15">
        <v>0</v>
      </c>
      <c r="M423" s="15">
        <v>0</v>
      </c>
      <c r="N423" s="15">
        <f t="shared" si="127"/>
        <v>5408916.3300000001</v>
      </c>
      <c r="O423" s="15">
        <v>0</v>
      </c>
      <c r="P423" s="15">
        <f t="shared" si="128"/>
        <v>3526.71</v>
      </c>
      <c r="Q423" s="15">
        <f>'Форма 2'!K1588</f>
        <v>4051</v>
      </c>
      <c r="R423" s="351" t="s">
        <v>379</v>
      </c>
      <c r="S423" s="153">
        <v>1</v>
      </c>
    </row>
    <row r="424" spans="1:19" s="41" customFormat="1" ht="15" customHeight="1" x14ac:dyDescent="0.25">
      <c r="A424" s="126">
        <f t="shared" si="129"/>
        <v>28</v>
      </c>
      <c r="B424" s="126">
        <v>157</v>
      </c>
      <c r="C424" s="124" t="s">
        <v>596</v>
      </c>
      <c r="D424" s="134">
        <v>1951</v>
      </c>
      <c r="E424" s="134" t="s">
        <v>95</v>
      </c>
      <c r="F424" s="134" t="s">
        <v>82</v>
      </c>
      <c r="G424" s="15">
        <v>523.4</v>
      </c>
      <c r="H424" s="15">
        <v>482.4</v>
      </c>
      <c r="I424" s="10">
        <v>31</v>
      </c>
      <c r="J424" s="15">
        <f>'Форма 2'!I1595</f>
        <v>174628.8</v>
      </c>
      <c r="K424" s="15">
        <v>0</v>
      </c>
      <c r="L424" s="15">
        <v>0</v>
      </c>
      <c r="M424" s="15">
        <v>0</v>
      </c>
      <c r="N424" s="15">
        <f>J424-K424-L424-M424-O424</f>
        <v>174628.8</v>
      </c>
      <c r="O424" s="15">
        <v>0</v>
      </c>
      <c r="P424" s="15">
        <f>J424/H424</f>
        <v>362</v>
      </c>
      <c r="Q424" s="15">
        <f>'Форма 2'!K1595</f>
        <v>362</v>
      </c>
      <c r="R424" s="351" t="s">
        <v>379</v>
      </c>
      <c r="S424" s="153">
        <v>1</v>
      </c>
    </row>
    <row r="425" spans="1:19" s="41" customFormat="1" ht="15.75" customHeight="1" x14ac:dyDescent="0.25">
      <c r="A425" s="126">
        <f t="shared" si="129"/>
        <v>29</v>
      </c>
      <c r="B425" s="126">
        <v>987</v>
      </c>
      <c r="C425" s="142" t="s">
        <v>361</v>
      </c>
      <c r="D425" s="134">
        <v>1991</v>
      </c>
      <c r="E425" s="134" t="s">
        <v>68</v>
      </c>
      <c r="F425" s="134" t="s">
        <v>82</v>
      </c>
      <c r="G425" s="15">
        <v>2842.9</v>
      </c>
      <c r="H425" s="15">
        <v>2713.5</v>
      </c>
      <c r="I425" s="10">
        <v>103</v>
      </c>
      <c r="J425" s="15">
        <f>'Форма 2'!I1598</f>
        <v>3875205.1</v>
      </c>
      <c r="K425" s="15">
        <v>0</v>
      </c>
      <c r="L425" s="15">
        <v>0</v>
      </c>
      <c r="M425" s="15">
        <v>0</v>
      </c>
      <c r="N425" s="15">
        <f t="shared" si="127"/>
        <v>3875205.1</v>
      </c>
      <c r="O425" s="15">
        <v>0</v>
      </c>
      <c r="P425" s="15">
        <f t="shared" si="128"/>
        <v>1428.12</v>
      </c>
      <c r="Q425" s="15">
        <f>'Форма 2'!K1598</f>
        <v>2492</v>
      </c>
      <c r="R425" s="351" t="s">
        <v>379</v>
      </c>
      <c r="S425" s="153">
        <v>1</v>
      </c>
    </row>
    <row r="426" spans="1:19" s="41" customFormat="1" ht="15" customHeight="1" x14ac:dyDescent="0.25">
      <c r="A426" s="126">
        <f t="shared" si="129"/>
        <v>30</v>
      </c>
      <c r="B426" s="126">
        <v>119</v>
      </c>
      <c r="C426" s="124" t="s">
        <v>597</v>
      </c>
      <c r="D426" s="134">
        <v>1946</v>
      </c>
      <c r="E426" s="134" t="s">
        <v>95</v>
      </c>
      <c r="F426" s="134" t="s">
        <v>82</v>
      </c>
      <c r="G426" s="15">
        <v>833.1</v>
      </c>
      <c r="H426" s="15">
        <v>811.7</v>
      </c>
      <c r="I426" s="10">
        <v>31</v>
      </c>
      <c r="J426" s="15">
        <f>'Форма 2'!I1601</f>
        <v>293835.40000000002</v>
      </c>
      <c r="K426" s="15">
        <v>0</v>
      </c>
      <c r="L426" s="15">
        <v>0</v>
      </c>
      <c r="M426" s="15">
        <v>0</v>
      </c>
      <c r="N426" s="15">
        <f t="shared" si="127"/>
        <v>293835.40000000002</v>
      </c>
      <c r="O426" s="15">
        <v>0</v>
      </c>
      <c r="P426" s="15">
        <f t="shared" si="128"/>
        <v>362</v>
      </c>
      <c r="Q426" s="15">
        <f>'Форма 2'!K1601</f>
        <v>362</v>
      </c>
      <c r="R426" s="351" t="s">
        <v>379</v>
      </c>
      <c r="S426" s="153">
        <v>1</v>
      </c>
    </row>
    <row r="427" spans="1:19" s="41" customFormat="1" ht="15" customHeight="1" x14ac:dyDescent="0.25">
      <c r="A427" s="126">
        <f t="shared" si="129"/>
        <v>31</v>
      </c>
      <c r="B427" s="126">
        <v>179</v>
      </c>
      <c r="C427" s="124" t="s">
        <v>647</v>
      </c>
      <c r="D427" s="134">
        <v>1953</v>
      </c>
      <c r="E427" s="134" t="s">
        <v>95</v>
      </c>
      <c r="F427" s="134" t="s">
        <v>81</v>
      </c>
      <c r="G427" s="15">
        <v>910.9</v>
      </c>
      <c r="H427" s="15">
        <v>840.9</v>
      </c>
      <c r="I427" s="10">
        <v>32</v>
      </c>
      <c r="J427" s="15">
        <f>'Форма 2'!I1604</f>
        <v>61385.7</v>
      </c>
      <c r="K427" s="15">
        <v>0</v>
      </c>
      <c r="L427" s="15">
        <v>0</v>
      </c>
      <c r="M427" s="15">
        <v>0</v>
      </c>
      <c r="N427" s="15">
        <f t="shared" si="127"/>
        <v>61385.7</v>
      </c>
      <c r="O427" s="15">
        <v>0</v>
      </c>
      <c r="P427" s="15">
        <f t="shared" si="128"/>
        <v>73</v>
      </c>
      <c r="Q427" s="15">
        <f>'Форма 2'!K1604</f>
        <v>73</v>
      </c>
      <c r="R427" s="351" t="s">
        <v>379</v>
      </c>
      <c r="S427" s="153">
        <v>1</v>
      </c>
    </row>
    <row r="428" spans="1:19" s="41" customFormat="1" ht="15" customHeight="1" x14ac:dyDescent="0.25">
      <c r="A428" s="126">
        <f t="shared" si="129"/>
        <v>32</v>
      </c>
      <c r="B428" s="126">
        <v>262</v>
      </c>
      <c r="C428" s="124" t="s">
        <v>648</v>
      </c>
      <c r="D428" s="134">
        <v>1956</v>
      </c>
      <c r="E428" s="134" t="s">
        <v>95</v>
      </c>
      <c r="F428" s="134" t="s">
        <v>81</v>
      </c>
      <c r="G428" s="15">
        <v>1047.7</v>
      </c>
      <c r="H428" s="15">
        <v>990.5</v>
      </c>
      <c r="I428" s="10">
        <v>37</v>
      </c>
      <c r="J428" s="15">
        <f>'Форма 2'!I1606</f>
        <v>72306.5</v>
      </c>
      <c r="K428" s="15">
        <v>0</v>
      </c>
      <c r="L428" s="15">
        <v>0</v>
      </c>
      <c r="M428" s="15">
        <v>0</v>
      </c>
      <c r="N428" s="15">
        <f t="shared" si="127"/>
        <v>72306.5</v>
      </c>
      <c r="O428" s="15">
        <v>0</v>
      </c>
      <c r="P428" s="15">
        <f t="shared" si="128"/>
        <v>73</v>
      </c>
      <c r="Q428" s="15">
        <f>'Форма 2'!K1606</f>
        <v>73</v>
      </c>
      <c r="R428" s="351" t="s">
        <v>379</v>
      </c>
      <c r="S428" s="153">
        <v>1</v>
      </c>
    </row>
    <row r="429" spans="1:19" s="41" customFormat="1" ht="15" customHeight="1" x14ac:dyDescent="0.25">
      <c r="A429" s="126">
        <f t="shared" si="129"/>
        <v>33</v>
      </c>
      <c r="B429" s="126">
        <v>263</v>
      </c>
      <c r="C429" s="124" t="s">
        <v>649</v>
      </c>
      <c r="D429" s="134">
        <v>1957</v>
      </c>
      <c r="E429" s="134" t="s">
        <v>95</v>
      </c>
      <c r="F429" s="134" t="s">
        <v>81</v>
      </c>
      <c r="G429" s="15">
        <v>1381.7</v>
      </c>
      <c r="H429" s="15">
        <v>994.7</v>
      </c>
      <c r="I429" s="10">
        <v>34</v>
      </c>
      <c r="J429" s="15">
        <f>'Форма 2'!I1608</f>
        <v>72613.100000000006</v>
      </c>
      <c r="K429" s="15">
        <v>0</v>
      </c>
      <c r="L429" s="15">
        <v>0</v>
      </c>
      <c r="M429" s="15">
        <v>0</v>
      </c>
      <c r="N429" s="15">
        <f>J429-K429-L429-M429-O429</f>
        <v>72613.100000000006</v>
      </c>
      <c r="O429" s="15">
        <v>0</v>
      </c>
      <c r="P429" s="15">
        <f>J429/H429</f>
        <v>73</v>
      </c>
      <c r="Q429" s="15">
        <f>'Форма 2'!K1608</f>
        <v>73</v>
      </c>
      <c r="R429" s="351" t="s">
        <v>379</v>
      </c>
      <c r="S429" s="153">
        <v>1</v>
      </c>
    </row>
    <row r="430" spans="1:19" s="41" customFormat="1" ht="15" customHeight="1" x14ac:dyDescent="0.25">
      <c r="A430" s="126">
        <f t="shared" si="129"/>
        <v>34</v>
      </c>
      <c r="B430" s="126">
        <v>888</v>
      </c>
      <c r="C430" s="124" t="s">
        <v>598</v>
      </c>
      <c r="D430" s="134">
        <v>1992</v>
      </c>
      <c r="E430" s="134" t="s">
        <v>86</v>
      </c>
      <c r="F430" s="134" t="s">
        <v>82</v>
      </c>
      <c r="G430" s="15">
        <v>4170.8</v>
      </c>
      <c r="H430" s="15">
        <v>3557.4</v>
      </c>
      <c r="I430" s="10">
        <v>134</v>
      </c>
      <c r="J430" s="15">
        <f>'Форма 2'!I1610</f>
        <v>4579236</v>
      </c>
      <c r="K430" s="15">
        <v>0</v>
      </c>
      <c r="L430" s="15">
        <v>0</v>
      </c>
      <c r="M430" s="15">
        <v>0</v>
      </c>
      <c r="N430" s="15">
        <f>J430-K430-L430-M430-O430</f>
        <v>4579236</v>
      </c>
      <c r="O430" s="15">
        <v>0</v>
      </c>
      <c r="P430" s="15">
        <f>J430/H430</f>
        <v>1287.24</v>
      </c>
      <c r="Q430" s="15">
        <f>'Форма 2'!K1610</f>
        <v>1287.24</v>
      </c>
      <c r="R430" s="351" t="s">
        <v>379</v>
      </c>
      <c r="S430" s="153">
        <v>1</v>
      </c>
    </row>
    <row r="431" spans="1:19" s="41" customFormat="1" ht="15" customHeight="1" x14ac:dyDescent="0.25">
      <c r="A431" s="126">
        <f t="shared" si="129"/>
        <v>35</v>
      </c>
      <c r="B431" s="126">
        <v>245</v>
      </c>
      <c r="C431" s="124" t="s">
        <v>650</v>
      </c>
      <c r="D431" s="134">
        <v>1956</v>
      </c>
      <c r="E431" s="134" t="s">
        <v>95</v>
      </c>
      <c r="F431" s="134" t="s">
        <v>81</v>
      </c>
      <c r="G431" s="15">
        <v>2880.5</v>
      </c>
      <c r="H431" s="15">
        <v>2691.8</v>
      </c>
      <c r="I431" s="10">
        <v>95</v>
      </c>
      <c r="J431" s="15">
        <f>'Форма 2'!I1615</f>
        <v>126514.6</v>
      </c>
      <c r="K431" s="15">
        <v>0</v>
      </c>
      <c r="L431" s="15">
        <v>0</v>
      </c>
      <c r="M431" s="15">
        <v>0</v>
      </c>
      <c r="N431" s="15">
        <f t="shared" si="127"/>
        <v>126514.6</v>
      </c>
      <c r="O431" s="15">
        <v>0</v>
      </c>
      <c r="P431" s="15">
        <f t="shared" si="128"/>
        <v>47</v>
      </c>
      <c r="Q431" s="15">
        <f>'Форма 2'!K1615</f>
        <v>47</v>
      </c>
      <c r="R431" s="351" t="s">
        <v>379</v>
      </c>
      <c r="S431" s="153">
        <v>1</v>
      </c>
    </row>
    <row r="432" spans="1:19" s="41" customFormat="1" ht="15" customHeight="1" x14ac:dyDescent="0.25">
      <c r="A432" s="126">
        <f t="shared" si="129"/>
        <v>36</v>
      </c>
      <c r="B432" s="126">
        <v>352</v>
      </c>
      <c r="C432" s="124" t="s">
        <v>651</v>
      </c>
      <c r="D432" s="134">
        <v>1960</v>
      </c>
      <c r="E432" s="134" t="s">
        <v>95</v>
      </c>
      <c r="F432" s="134" t="s">
        <v>81</v>
      </c>
      <c r="G432" s="15">
        <v>1774.22</v>
      </c>
      <c r="H432" s="15">
        <v>1250.22</v>
      </c>
      <c r="I432" s="10">
        <v>50</v>
      </c>
      <c r="J432" s="15">
        <f>'Форма 2'!I1617</f>
        <v>58760.34</v>
      </c>
      <c r="K432" s="15">
        <v>0</v>
      </c>
      <c r="L432" s="15">
        <v>0</v>
      </c>
      <c r="M432" s="15">
        <v>0</v>
      </c>
      <c r="N432" s="15">
        <f t="shared" si="127"/>
        <v>58760.34</v>
      </c>
      <c r="O432" s="15">
        <v>0</v>
      </c>
      <c r="P432" s="15">
        <f t="shared" si="128"/>
        <v>47</v>
      </c>
      <c r="Q432" s="15">
        <f>'Форма 2'!K1617</f>
        <v>47</v>
      </c>
      <c r="R432" s="351" t="s">
        <v>379</v>
      </c>
      <c r="S432" s="153">
        <v>1</v>
      </c>
    </row>
    <row r="433" spans="1:19" s="41" customFormat="1" ht="15.75" customHeight="1" x14ac:dyDescent="0.25">
      <c r="A433" s="184" t="s">
        <v>101</v>
      </c>
      <c r="B433" s="184"/>
      <c r="C433" s="184"/>
      <c r="D433" s="134" t="s">
        <v>13</v>
      </c>
      <c r="E433" s="126" t="s">
        <v>13</v>
      </c>
      <c r="F433" s="126" t="s">
        <v>13</v>
      </c>
      <c r="G433" s="15">
        <f>SUM(G434:G451)</f>
        <v>163501.65</v>
      </c>
      <c r="H433" s="15">
        <f t="shared" ref="H433:O433" si="130">SUM(H434:H451)</f>
        <v>135448.84</v>
      </c>
      <c r="I433" s="10">
        <f t="shared" si="130"/>
        <v>5141</v>
      </c>
      <c r="J433" s="15">
        <f t="shared" si="130"/>
        <v>125037883.76000001</v>
      </c>
      <c r="K433" s="15">
        <f t="shared" si="130"/>
        <v>0</v>
      </c>
      <c r="L433" s="15">
        <f t="shared" si="130"/>
        <v>0</v>
      </c>
      <c r="M433" s="15">
        <f t="shared" si="130"/>
        <v>0</v>
      </c>
      <c r="N433" s="15">
        <f t="shared" si="130"/>
        <v>125037883.76000001</v>
      </c>
      <c r="O433" s="15">
        <f t="shared" si="130"/>
        <v>0</v>
      </c>
      <c r="P433" s="126" t="s">
        <v>13</v>
      </c>
      <c r="Q433" s="126" t="s">
        <v>13</v>
      </c>
      <c r="R433" s="126" t="s">
        <v>13</v>
      </c>
      <c r="S433" s="126" t="s">
        <v>13</v>
      </c>
    </row>
    <row r="434" spans="1:19" s="41" customFormat="1" ht="15" customHeight="1" x14ac:dyDescent="0.25">
      <c r="A434" s="126">
        <f>A432+1</f>
        <v>37</v>
      </c>
      <c r="B434" s="126">
        <v>1239</v>
      </c>
      <c r="C434" s="124" t="s">
        <v>652</v>
      </c>
      <c r="D434" s="134">
        <v>1993</v>
      </c>
      <c r="E434" s="134" t="s">
        <v>86</v>
      </c>
      <c r="F434" s="134" t="s">
        <v>81</v>
      </c>
      <c r="G434" s="15">
        <v>5882.8</v>
      </c>
      <c r="H434" s="15">
        <v>4337.3999999999996</v>
      </c>
      <c r="I434" s="10">
        <v>189</v>
      </c>
      <c r="J434" s="15">
        <f>'Форма 2'!I1619</f>
        <v>96843</v>
      </c>
      <c r="K434" s="15">
        <v>0</v>
      </c>
      <c r="L434" s="15">
        <v>0</v>
      </c>
      <c r="M434" s="15">
        <v>0</v>
      </c>
      <c r="N434" s="15">
        <f>J434-K434-L434-M434-O434</f>
        <v>96843</v>
      </c>
      <c r="O434" s="15">
        <v>0</v>
      </c>
      <c r="P434" s="15">
        <f>J434/H434</f>
        <v>22.33</v>
      </c>
      <c r="Q434" s="15">
        <f>'Форма 2'!K1619</f>
        <v>22.33</v>
      </c>
      <c r="R434" s="351" t="s">
        <v>379</v>
      </c>
      <c r="S434" s="153">
        <v>1</v>
      </c>
    </row>
    <row r="435" spans="1:19" s="41" customFormat="1" ht="15.75" customHeight="1" x14ac:dyDescent="0.25">
      <c r="A435" s="126">
        <f>A434+1</f>
        <v>38</v>
      </c>
      <c r="B435" s="126">
        <v>1242</v>
      </c>
      <c r="C435" s="142" t="s">
        <v>198</v>
      </c>
      <c r="D435" s="134">
        <v>1985</v>
      </c>
      <c r="E435" s="134" t="s">
        <v>358</v>
      </c>
      <c r="F435" s="134" t="s">
        <v>223</v>
      </c>
      <c r="G435" s="15">
        <v>12311.8</v>
      </c>
      <c r="H435" s="15">
        <v>10059.200000000001</v>
      </c>
      <c r="I435" s="10">
        <v>292</v>
      </c>
      <c r="J435" s="15">
        <f>'Форма 2'!I1623</f>
        <v>5701202.2800000003</v>
      </c>
      <c r="K435" s="15">
        <v>0</v>
      </c>
      <c r="L435" s="15">
        <v>0</v>
      </c>
      <c r="M435" s="15">
        <v>0</v>
      </c>
      <c r="N435" s="15">
        <f t="shared" ref="N435" si="131">J435-K435-L435-M435-O435</f>
        <v>5701202.2800000003</v>
      </c>
      <c r="O435" s="15">
        <v>0</v>
      </c>
      <c r="P435" s="15">
        <f t="shared" ref="P435" si="132">J435/H435</f>
        <v>566.76</v>
      </c>
      <c r="Q435" s="15">
        <f>'Форма 2'!K1623</f>
        <v>3347</v>
      </c>
      <c r="R435" s="351" t="s">
        <v>381</v>
      </c>
      <c r="S435" s="153">
        <v>1</v>
      </c>
    </row>
    <row r="436" spans="1:19" s="41" customFormat="1" ht="15.75" customHeight="1" x14ac:dyDescent="0.25">
      <c r="A436" s="126">
        <f t="shared" ref="A436:A451" si="133">A435+1</f>
        <v>39</v>
      </c>
      <c r="B436" s="126">
        <v>1836</v>
      </c>
      <c r="C436" s="142" t="s">
        <v>196</v>
      </c>
      <c r="D436" s="134">
        <v>1990</v>
      </c>
      <c r="E436" s="134" t="s">
        <v>68</v>
      </c>
      <c r="F436" s="134" t="s">
        <v>82</v>
      </c>
      <c r="G436" s="15">
        <v>15387</v>
      </c>
      <c r="H436" s="15">
        <v>10176.5</v>
      </c>
      <c r="I436" s="10">
        <v>282</v>
      </c>
      <c r="J436" s="15">
        <f>'Форма 2'!I1627</f>
        <v>24983598.579999998</v>
      </c>
      <c r="K436" s="15">
        <v>0</v>
      </c>
      <c r="L436" s="15">
        <v>0</v>
      </c>
      <c r="M436" s="15">
        <v>0</v>
      </c>
      <c r="N436" s="15">
        <f t="shared" ref="N436:N450" si="134">J436-K436-L436-M436-O436</f>
        <v>24983598.579999998</v>
      </c>
      <c r="O436" s="15">
        <v>0</v>
      </c>
      <c r="P436" s="15">
        <f t="shared" ref="P436:P451" si="135">J436/H436</f>
        <v>2455.0300000000002</v>
      </c>
      <c r="Q436" s="15">
        <f>'Форма 2'!K1627</f>
        <v>3749</v>
      </c>
      <c r="R436" s="351" t="s">
        <v>379</v>
      </c>
      <c r="S436" s="153">
        <v>1</v>
      </c>
    </row>
    <row r="437" spans="1:19" s="41" customFormat="1" ht="15" customHeight="1" x14ac:dyDescent="0.25">
      <c r="A437" s="126">
        <f t="shared" si="133"/>
        <v>40</v>
      </c>
      <c r="B437" s="126">
        <v>1397</v>
      </c>
      <c r="C437" s="124" t="s">
        <v>653</v>
      </c>
      <c r="D437" s="134">
        <v>1997</v>
      </c>
      <c r="E437" s="134" t="s">
        <v>86</v>
      </c>
      <c r="F437" s="134" t="s">
        <v>81</v>
      </c>
      <c r="G437" s="15">
        <v>8350.7999999999993</v>
      </c>
      <c r="H437" s="15">
        <v>7809.1</v>
      </c>
      <c r="I437" s="10">
        <v>295</v>
      </c>
      <c r="J437" s="15">
        <f>'Форма 2'!I1630</f>
        <v>129124</v>
      </c>
      <c r="K437" s="15">
        <v>0</v>
      </c>
      <c r="L437" s="15">
        <v>0</v>
      </c>
      <c r="M437" s="15">
        <v>0</v>
      </c>
      <c r="N437" s="15">
        <f>J437-K437-L437-M437-O437</f>
        <v>129124</v>
      </c>
      <c r="O437" s="15">
        <v>0</v>
      </c>
      <c r="P437" s="15">
        <f>J437/H437</f>
        <v>16.54</v>
      </c>
      <c r="Q437" s="15">
        <f>'Форма 2'!K1630</f>
        <v>16.54</v>
      </c>
      <c r="R437" s="351" t="s">
        <v>379</v>
      </c>
      <c r="S437" s="153">
        <v>1</v>
      </c>
    </row>
    <row r="438" spans="1:19" s="41" customFormat="1" ht="15.75" customHeight="1" x14ac:dyDescent="0.25">
      <c r="A438" s="126">
        <f t="shared" si="133"/>
        <v>41</v>
      </c>
      <c r="B438" s="126">
        <v>1938</v>
      </c>
      <c r="C438" s="124" t="s">
        <v>599</v>
      </c>
      <c r="D438" s="134">
        <v>1961</v>
      </c>
      <c r="E438" s="134" t="s">
        <v>107</v>
      </c>
      <c r="F438" s="134" t="s">
        <v>82</v>
      </c>
      <c r="G438" s="15">
        <v>1721.16</v>
      </c>
      <c r="H438" s="15">
        <v>1618</v>
      </c>
      <c r="I438" s="10">
        <v>50</v>
      </c>
      <c r="J438" s="15">
        <f>'Форма 2'!I1635</f>
        <v>7373226</v>
      </c>
      <c r="K438" s="15">
        <v>0</v>
      </c>
      <c r="L438" s="15">
        <v>0</v>
      </c>
      <c r="M438" s="15">
        <v>0</v>
      </c>
      <c r="N438" s="15">
        <f>J438-K438-L438-M438-O438</f>
        <v>7373226</v>
      </c>
      <c r="O438" s="15">
        <v>0</v>
      </c>
      <c r="P438" s="15">
        <f>J438/H438</f>
        <v>4557</v>
      </c>
      <c r="Q438" s="15">
        <f>'Форма 2'!K1635</f>
        <v>4557</v>
      </c>
      <c r="R438" s="351" t="s">
        <v>379</v>
      </c>
      <c r="S438" s="153">
        <v>1</v>
      </c>
    </row>
    <row r="439" spans="1:19" s="41" customFormat="1" ht="15.75" customHeight="1" x14ac:dyDescent="0.25">
      <c r="A439" s="126">
        <f t="shared" si="133"/>
        <v>42</v>
      </c>
      <c r="B439" s="126">
        <v>1275</v>
      </c>
      <c r="C439" s="142" t="s">
        <v>197</v>
      </c>
      <c r="D439" s="134">
        <v>1988</v>
      </c>
      <c r="E439" s="134" t="s">
        <v>358</v>
      </c>
      <c r="F439" s="134" t="s">
        <v>82</v>
      </c>
      <c r="G439" s="15">
        <v>4216.2</v>
      </c>
      <c r="H439" s="15">
        <v>3224.4</v>
      </c>
      <c r="I439" s="10">
        <v>98</v>
      </c>
      <c r="J439" s="15">
        <f>'Форма 2'!I1644</f>
        <v>10093825.689999999</v>
      </c>
      <c r="K439" s="15">
        <v>0</v>
      </c>
      <c r="L439" s="15">
        <v>0</v>
      </c>
      <c r="M439" s="15">
        <v>0</v>
      </c>
      <c r="N439" s="15">
        <f>J439-K439-L439-M439-O439</f>
        <v>10093825.689999999</v>
      </c>
      <c r="O439" s="15">
        <v>0</v>
      </c>
      <c r="P439" s="15">
        <f t="shared" si="135"/>
        <v>3130.45</v>
      </c>
      <c r="Q439" s="15">
        <f>'Форма 2'!K1644</f>
        <v>4051</v>
      </c>
      <c r="R439" s="351" t="s">
        <v>379</v>
      </c>
      <c r="S439" s="153">
        <v>1</v>
      </c>
    </row>
    <row r="440" spans="1:19" s="41" customFormat="1" ht="15.75" customHeight="1" x14ac:dyDescent="0.25">
      <c r="A440" s="126">
        <f t="shared" si="133"/>
        <v>43</v>
      </c>
      <c r="B440" s="126">
        <v>1279</v>
      </c>
      <c r="C440" s="142" t="s">
        <v>374</v>
      </c>
      <c r="D440" s="134">
        <v>1995</v>
      </c>
      <c r="E440" s="134" t="s">
        <v>68</v>
      </c>
      <c r="F440" s="134" t="s">
        <v>81</v>
      </c>
      <c r="G440" s="15">
        <v>5034</v>
      </c>
      <c r="H440" s="15">
        <v>4031.2</v>
      </c>
      <c r="I440" s="10">
        <v>105</v>
      </c>
      <c r="J440" s="15">
        <f>'Форма 2'!I1651</f>
        <v>635619.46</v>
      </c>
      <c r="K440" s="15">
        <v>0</v>
      </c>
      <c r="L440" s="15">
        <v>0</v>
      </c>
      <c r="M440" s="15">
        <v>0</v>
      </c>
      <c r="N440" s="15">
        <f t="shared" si="134"/>
        <v>635619.46</v>
      </c>
      <c r="O440" s="15">
        <v>0</v>
      </c>
      <c r="P440" s="15">
        <f t="shared" si="135"/>
        <v>157.68</v>
      </c>
      <c r="Q440" s="15">
        <f>'Форма 2'!K1651</f>
        <v>169</v>
      </c>
      <c r="R440" s="351" t="s">
        <v>379</v>
      </c>
      <c r="S440" s="153">
        <v>1</v>
      </c>
    </row>
    <row r="441" spans="1:19" s="41" customFormat="1" ht="15.75" customHeight="1" x14ac:dyDescent="0.25">
      <c r="A441" s="126">
        <f>A440+1</f>
        <v>44</v>
      </c>
      <c r="B441" s="126">
        <v>1021</v>
      </c>
      <c r="C441" s="124" t="s">
        <v>600</v>
      </c>
      <c r="D441" s="134">
        <v>1993</v>
      </c>
      <c r="E441" s="134" t="s">
        <v>86</v>
      </c>
      <c r="F441" s="134" t="s">
        <v>82</v>
      </c>
      <c r="G441" s="15">
        <v>8742.6</v>
      </c>
      <c r="H441" s="15">
        <v>8061.42</v>
      </c>
      <c r="I441" s="10">
        <v>254</v>
      </c>
      <c r="J441" s="15">
        <f>'Форма 2'!I1653</f>
        <v>10045492</v>
      </c>
      <c r="K441" s="15">
        <v>0</v>
      </c>
      <c r="L441" s="15">
        <v>0</v>
      </c>
      <c r="M441" s="15">
        <v>0</v>
      </c>
      <c r="N441" s="15">
        <f t="shared" si="134"/>
        <v>10045492</v>
      </c>
      <c r="O441" s="15">
        <v>0</v>
      </c>
      <c r="P441" s="15">
        <f t="shared" si="135"/>
        <v>1246.1199999999999</v>
      </c>
      <c r="Q441" s="15">
        <f>'Форма 2'!K1653</f>
        <v>1246.1199999999999</v>
      </c>
      <c r="R441" s="351" t="s">
        <v>379</v>
      </c>
      <c r="S441" s="153">
        <v>1</v>
      </c>
    </row>
    <row r="442" spans="1:19" s="41" customFormat="1" ht="15" customHeight="1" x14ac:dyDescent="0.25">
      <c r="A442" s="126">
        <f>A441+1</f>
        <v>45</v>
      </c>
      <c r="B442" s="126">
        <v>1284</v>
      </c>
      <c r="C442" s="124" t="s">
        <v>601</v>
      </c>
      <c r="D442" s="134">
        <v>1995</v>
      </c>
      <c r="E442" s="134" t="s">
        <v>86</v>
      </c>
      <c r="F442" s="134" t="s">
        <v>82</v>
      </c>
      <c r="G442" s="15">
        <v>4536.2</v>
      </c>
      <c r="H442" s="15">
        <v>3691.9</v>
      </c>
      <c r="I442" s="10">
        <v>165</v>
      </c>
      <c r="J442" s="15">
        <f>'Форма 2'!I1662</f>
        <v>4579236</v>
      </c>
      <c r="K442" s="15">
        <v>0</v>
      </c>
      <c r="L442" s="15">
        <v>0</v>
      </c>
      <c r="M442" s="15">
        <v>0</v>
      </c>
      <c r="N442" s="15">
        <f t="shared" si="134"/>
        <v>4579236</v>
      </c>
      <c r="O442" s="15">
        <v>0</v>
      </c>
      <c r="P442" s="15">
        <f t="shared" si="135"/>
        <v>1240.3499999999999</v>
      </c>
      <c r="Q442" s="15">
        <f>'Форма 2'!K1662</f>
        <v>1240.3499999999999</v>
      </c>
      <c r="R442" s="351" t="s">
        <v>379</v>
      </c>
      <c r="S442" s="153">
        <v>1</v>
      </c>
    </row>
    <row r="443" spans="1:19" s="41" customFormat="1" ht="15" customHeight="1" x14ac:dyDescent="0.25">
      <c r="A443" s="126">
        <f t="shared" si="133"/>
        <v>46</v>
      </c>
      <c r="B443" s="126">
        <v>1292</v>
      </c>
      <c r="C443" s="124" t="s">
        <v>602</v>
      </c>
      <c r="D443" s="134" t="s">
        <v>659</v>
      </c>
      <c r="E443" s="134" t="s">
        <v>86</v>
      </c>
      <c r="F443" s="134" t="s">
        <v>82</v>
      </c>
      <c r="G443" s="15">
        <v>11836</v>
      </c>
      <c r="H443" s="15">
        <v>9049.9</v>
      </c>
      <c r="I443" s="10">
        <v>358</v>
      </c>
      <c r="J443" s="15">
        <f>'Форма 2'!I1667</f>
        <v>2289618</v>
      </c>
      <c r="K443" s="15">
        <v>0</v>
      </c>
      <c r="L443" s="15">
        <v>0</v>
      </c>
      <c r="M443" s="15">
        <v>0</v>
      </c>
      <c r="N443" s="15">
        <f>J443-K443-L443-M443-O443</f>
        <v>2289618</v>
      </c>
      <c r="O443" s="15">
        <v>0</v>
      </c>
      <c r="P443" s="15">
        <f>J443/H443</f>
        <v>253</v>
      </c>
      <c r="Q443" s="15">
        <f>'Форма 2'!K1667</f>
        <v>253</v>
      </c>
      <c r="R443" s="351" t="s">
        <v>379</v>
      </c>
      <c r="S443" s="153">
        <v>1</v>
      </c>
    </row>
    <row r="444" spans="1:19" s="41" customFormat="1" ht="15" customHeight="1" x14ac:dyDescent="0.25">
      <c r="A444" s="126">
        <f t="shared" si="133"/>
        <v>47</v>
      </c>
      <c r="B444" s="126">
        <v>1020</v>
      </c>
      <c r="C444" s="124" t="s">
        <v>654</v>
      </c>
      <c r="D444" s="134">
        <v>1958</v>
      </c>
      <c r="E444" s="134" t="s">
        <v>95</v>
      </c>
      <c r="F444" s="134" t="s">
        <v>81</v>
      </c>
      <c r="G444" s="15">
        <v>2254.0100000000002</v>
      </c>
      <c r="H444" s="15">
        <v>2062.31</v>
      </c>
      <c r="I444" s="10">
        <v>79</v>
      </c>
      <c r="J444" s="15">
        <f>'Форма 2'!I1670</f>
        <v>96928.57</v>
      </c>
      <c r="K444" s="15">
        <v>0</v>
      </c>
      <c r="L444" s="15">
        <v>0</v>
      </c>
      <c r="M444" s="15">
        <v>0</v>
      </c>
      <c r="N444" s="15">
        <f t="shared" si="134"/>
        <v>96928.57</v>
      </c>
      <c r="O444" s="15">
        <v>0</v>
      </c>
      <c r="P444" s="15">
        <f t="shared" si="135"/>
        <v>47</v>
      </c>
      <c r="Q444" s="15">
        <f>'Форма 2'!K1670</f>
        <v>47</v>
      </c>
      <c r="R444" s="351" t="s">
        <v>379</v>
      </c>
      <c r="S444" s="153">
        <v>1</v>
      </c>
    </row>
    <row r="445" spans="1:19" s="41" customFormat="1" ht="15.75" customHeight="1" x14ac:dyDescent="0.25">
      <c r="A445" s="126">
        <f t="shared" si="133"/>
        <v>48</v>
      </c>
      <c r="B445" s="126">
        <v>1417</v>
      </c>
      <c r="C445" s="142" t="s">
        <v>375</v>
      </c>
      <c r="D445" s="134">
        <v>1988</v>
      </c>
      <c r="E445" s="134" t="s">
        <v>68</v>
      </c>
      <c r="F445" s="134" t="s">
        <v>81</v>
      </c>
      <c r="G445" s="15">
        <v>42248.3</v>
      </c>
      <c r="H445" s="15">
        <v>37493.51</v>
      </c>
      <c r="I445" s="10">
        <v>1666</v>
      </c>
      <c r="J445" s="15">
        <f>'Форма 2'!I1672</f>
        <v>2860252</v>
      </c>
      <c r="K445" s="15">
        <v>0</v>
      </c>
      <c r="L445" s="15">
        <v>0</v>
      </c>
      <c r="M445" s="15">
        <v>0</v>
      </c>
      <c r="N445" s="15">
        <f t="shared" si="134"/>
        <v>2860252</v>
      </c>
      <c r="O445" s="15">
        <v>0</v>
      </c>
      <c r="P445" s="15">
        <f t="shared" si="135"/>
        <v>76.290000000000006</v>
      </c>
      <c r="Q445" s="15">
        <f>'Форма 2'!K1672</f>
        <v>164</v>
      </c>
      <c r="R445" s="351" t="s">
        <v>379</v>
      </c>
      <c r="S445" s="153">
        <v>1</v>
      </c>
    </row>
    <row r="446" spans="1:19" s="41" customFormat="1" ht="15.75" customHeight="1" x14ac:dyDescent="0.25">
      <c r="A446" s="126">
        <f t="shared" si="133"/>
        <v>49</v>
      </c>
      <c r="B446" s="126">
        <v>1361</v>
      </c>
      <c r="C446" s="142" t="s">
        <v>102</v>
      </c>
      <c r="D446" s="134">
        <v>1976</v>
      </c>
      <c r="E446" s="134" t="s">
        <v>68</v>
      </c>
      <c r="F446" s="134" t="s">
        <v>82</v>
      </c>
      <c r="G446" s="15">
        <v>5398.8</v>
      </c>
      <c r="H446" s="15">
        <v>4296</v>
      </c>
      <c r="I446" s="10">
        <v>162</v>
      </c>
      <c r="J446" s="15">
        <f>'Форма 2'!I1674</f>
        <v>14061652.529999999</v>
      </c>
      <c r="K446" s="15">
        <v>0</v>
      </c>
      <c r="L446" s="15">
        <v>0</v>
      </c>
      <c r="M446" s="15">
        <v>0</v>
      </c>
      <c r="N446" s="15">
        <f t="shared" si="134"/>
        <v>14061652.529999999</v>
      </c>
      <c r="O446" s="15">
        <v>0</v>
      </c>
      <c r="P446" s="15">
        <f t="shared" si="135"/>
        <v>3273.2</v>
      </c>
      <c r="Q446" s="15">
        <f>'Форма 2'!K1674</f>
        <v>3749</v>
      </c>
      <c r="R446" s="351" t="s">
        <v>379</v>
      </c>
      <c r="S446" s="153">
        <v>1</v>
      </c>
    </row>
    <row r="447" spans="1:19" s="41" customFormat="1" ht="15.75" customHeight="1" x14ac:dyDescent="0.25">
      <c r="A447" s="126">
        <f t="shared" si="133"/>
        <v>50</v>
      </c>
      <c r="B447" s="126">
        <v>1362</v>
      </c>
      <c r="C447" s="142" t="s">
        <v>199</v>
      </c>
      <c r="D447" s="134">
        <v>1983</v>
      </c>
      <c r="E447" s="134" t="s">
        <v>89</v>
      </c>
      <c r="F447" s="134" t="s">
        <v>223</v>
      </c>
      <c r="G447" s="15">
        <v>21732</v>
      </c>
      <c r="H447" s="15">
        <v>16594.099999999999</v>
      </c>
      <c r="I447" s="10">
        <v>624</v>
      </c>
      <c r="J447" s="15">
        <f>'Форма 2'!I1677</f>
        <v>7935298.6200000001</v>
      </c>
      <c r="K447" s="15">
        <v>0</v>
      </c>
      <c r="L447" s="15">
        <v>0</v>
      </c>
      <c r="M447" s="15">
        <v>0</v>
      </c>
      <c r="N447" s="15">
        <f t="shared" si="134"/>
        <v>7935298.6200000001</v>
      </c>
      <c r="O447" s="15">
        <v>0</v>
      </c>
      <c r="P447" s="15">
        <f t="shared" si="135"/>
        <v>478.2</v>
      </c>
      <c r="Q447" s="15">
        <f>'Форма 2'!K1677</f>
        <v>1594</v>
      </c>
      <c r="R447" s="351" t="s">
        <v>381</v>
      </c>
      <c r="S447" s="153">
        <v>1</v>
      </c>
    </row>
    <row r="448" spans="1:19" s="41" customFormat="1" ht="15.75" customHeight="1" x14ac:dyDescent="0.25">
      <c r="A448" s="126">
        <f t="shared" si="133"/>
        <v>51</v>
      </c>
      <c r="B448" s="126">
        <v>1818</v>
      </c>
      <c r="C448" s="124" t="s">
        <v>603</v>
      </c>
      <c r="D448" s="134">
        <v>1961</v>
      </c>
      <c r="E448" s="134" t="s">
        <v>107</v>
      </c>
      <c r="F448" s="134" t="s">
        <v>82</v>
      </c>
      <c r="G448" s="15">
        <v>1384.48</v>
      </c>
      <c r="H448" s="15">
        <v>1284.2</v>
      </c>
      <c r="I448" s="10">
        <v>73</v>
      </c>
      <c r="J448" s="15">
        <f>'Форма 2'!I1679</f>
        <v>5852099.4000000004</v>
      </c>
      <c r="K448" s="15">
        <v>0</v>
      </c>
      <c r="L448" s="15">
        <v>0</v>
      </c>
      <c r="M448" s="15">
        <v>0</v>
      </c>
      <c r="N448" s="15">
        <f>J448-K448-L448-M448-O448</f>
        <v>5852099.4000000004</v>
      </c>
      <c r="O448" s="15">
        <v>0</v>
      </c>
      <c r="P448" s="15">
        <f>J448/H448</f>
        <v>4557</v>
      </c>
      <c r="Q448" s="15">
        <f>'Форма 2'!K1679</f>
        <v>4557</v>
      </c>
      <c r="R448" s="351" t="s">
        <v>379</v>
      </c>
      <c r="S448" s="153">
        <v>1</v>
      </c>
    </row>
    <row r="449" spans="1:19" s="41" customFormat="1" ht="15.75" customHeight="1" x14ac:dyDescent="0.25">
      <c r="A449" s="126">
        <f t="shared" si="133"/>
        <v>52</v>
      </c>
      <c r="B449" s="126">
        <v>1307</v>
      </c>
      <c r="C449" s="142" t="s">
        <v>134</v>
      </c>
      <c r="D449" s="134">
        <v>1979</v>
      </c>
      <c r="E449" s="134" t="s">
        <v>68</v>
      </c>
      <c r="F449" s="134" t="s">
        <v>82</v>
      </c>
      <c r="G449" s="15">
        <f>1753.3+2673+178.8</f>
        <v>4605.1000000000004</v>
      </c>
      <c r="H449" s="15">
        <f>2673+1753.3</f>
        <v>4426.3</v>
      </c>
      <c r="I449" s="10">
        <v>152</v>
      </c>
      <c r="J449" s="15">
        <f>'Форма 2'!I1688</f>
        <v>7692101.6299999999</v>
      </c>
      <c r="K449" s="15">
        <v>0</v>
      </c>
      <c r="L449" s="15">
        <v>0</v>
      </c>
      <c r="M449" s="15">
        <v>0</v>
      </c>
      <c r="N449" s="15">
        <f t="shared" si="134"/>
        <v>7692101.6299999999</v>
      </c>
      <c r="O449" s="15">
        <v>0</v>
      </c>
      <c r="P449" s="15">
        <f t="shared" si="135"/>
        <v>1737.82</v>
      </c>
      <c r="Q449" s="15">
        <f>'Форма 2'!K1688</f>
        <v>3878</v>
      </c>
      <c r="R449" s="351" t="s">
        <v>379</v>
      </c>
      <c r="S449" s="153">
        <v>1</v>
      </c>
    </row>
    <row r="450" spans="1:19" s="41" customFormat="1" ht="15.75" customHeight="1" x14ac:dyDescent="0.25">
      <c r="A450" s="126">
        <f t="shared" si="133"/>
        <v>53</v>
      </c>
      <c r="B450" s="126">
        <v>1582</v>
      </c>
      <c r="C450" s="142" t="s">
        <v>137</v>
      </c>
      <c r="D450" s="134">
        <v>1982</v>
      </c>
      <c r="E450" s="134" t="s">
        <v>68</v>
      </c>
      <c r="F450" s="134" t="s">
        <v>82</v>
      </c>
      <c r="G450" s="15">
        <v>4484.3999999999996</v>
      </c>
      <c r="H450" s="15">
        <v>4108.3999999999996</v>
      </c>
      <c r="I450" s="10">
        <v>179</v>
      </c>
      <c r="J450" s="15">
        <f>'Форма 2'!I1691</f>
        <v>12201956.779999999</v>
      </c>
      <c r="K450" s="15">
        <v>0</v>
      </c>
      <c r="L450" s="15">
        <v>0</v>
      </c>
      <c r="M450" s="15">
        <v>0</v>
      </c>
      <c r="N450" s="15">
        <f t="shared" si="134"/>
        <v>12201956.779999999</v>
      </c>
      <c r="O450" s="15">
        <v>0</v>
      </c>
      <c r="P450" s="15">
        <f t="shared" si="135"/>
        <v>2970</v>
      </c>
      <c r="Q450" s="15">
        <f>'Форма 2'!K1691</f>
        <v>3878</v>
      </c>
      <c r="R450" s="351" t="s">
        <v>379</v>
      </c>
      <c r="S450" s="153">
        <v>1</v>
      </c>
    </row>
    <row r="451" spans="1:19" s="41" customFormat="1" ht="15.75" customHeight="1" x14ac:dyDescent="0.25">
      <c r="A451" s="126">
        <f t="shared" si="133"/>
        <v>54</v>
      </c>
      <c r="B451" s="126">
        <v>1475</v>
      </c>
      <c r="C451" s="142" t="s">
        <v>201</v>
      </c>
      <c r="D451" s="134">
        <v>1970</v>
      </c>
      <c r="E451" s="134" t="s">
        <v>68</v>
      </c>
      <c r="F451" s="134" t="s">
        <v>82</v>
      </c>
      <c r="G451" s="15">
        <v>3376</v>
      </c>
      <c r="H451" s="15">
        <v>3125</v>
      </c>
      <c r="I451" s="10">
        <v>118</v>
      </c>
      <c r="J451" s="15">
        <f>'Форма 2'!I1694</f>
        <v>8409809.2200000007</v>
      </c>
      <c r="K451" s="15">
        <v>0</v>
      </c>
      <c r="L451" s="15">
        <v>0</v>
      </c>
      <c r="M451" s="15">
        <v>0</v>
      </c>
      <c r="N451" s="15">
        <f>J451-K451-L451-M451-O451</f>
        <v>8409809.2200000007</v>
      </c>
      <c r="O451" s="15">
        <v>0</v>
      </c>
      <c r="P451" s="15">
        <f t="shared" si="135"/>
        <v>2691.14</v>
      </c>
      <c r="Q451" s="15">
        <f>'Форма 2'!K1694</f>
        <v>3878</v>
      </c>
      <c r="R451" s="351" t="s">
        <v>379</v>
      </c>
      <c r="S451" s="153">
        <v>1</v>
      </c>
    </row>
    <row r="452" spans="1:19" s="41" customFormat="1" ht="15.75" customHeight="1" x14ac:dyDescent="0.25">
      <c r="A452" s="184" t="s">
        <v>105</v>
      </c>
      <c r="B452" s="184"/>
      <c r="C452" s="184"/>
      <c r="D452" s="134" t="s">
        <v>13</v>
      </c>
      <c r="E452" s="126" t="s">
        <v>13</v>
      </c>
      <c r="F452" s="126" t="s">
        <v>13</v>
      </c>
      <c r="G452" s="15">
        <f t="shared" ref="G452:O452" si="136">SUM(G453:G504)</f>
        <v>348957.26</v>
      </c>
      <c r="H452" s="15">
        <f t="shared" si="136"/>
        <v>293712.39</v>
      </c>
      <c r="I452" s="10">
        <f t="shared" si="136"/>
        <v>10611</v>
      </c>
      <c r="J452" s="15">
        <f t="shared" si="136"/>
        <v>295052103.66000003</v>
      </c>
      <c r="K452" s="15">
        <f t="shared" si="136"/>
        <v>0</v>
      </c>
      <c r="L452" s="15">
        <f t="shared" si="136"/>
        <v>0</v>
      </c>
      <c r="M452" s="15">
        <f t="shared" si="136"/>
        <v>0</v>
      </c>
      <c r="N452" s="15">
        <f t="shared" si="136"/>
        <v>295052103.66000003</v>
      </c>
      <c r="O452" s="15">
        <f t="shared" si="136"/>
        <v>0</v>
      </c>
      <c r="P452" s="126" t="s">
        <v>13</v>
      </c>
      <c r="Q452" s="126" t="s">
        <v>13</v>
      </c>
      <c r="R452" s="126" t="s">
        <v>13</v>
      </c>
      <c r="S452" s="126" t="s">
        <v>13</v>
      </c>
    </row>
    <row r="453" spans="1:19" s="41" customFormat="1" ht="15.75" customHeight="1" x14ac:dyDescent="0.25">
      <c r="A453" s="126">
        <f>A451+1</f>
        <v>55</v>
      </c>
      <c r="B453" s="126">
        <v>3340</v>
      </c>
      <c r="C453" s="142" t="s">
        <v>376</v>
      </c>
      <c r="D453" s="134">
        <v>1986</v>
      </c>
      <c r="E453" s="134" t="s">
        <v>380</v>
      </c>
      <c r="F453" s="134" t="s">
        <v>82</v>
      </c>
      <c r="G453" s="15">
        <v>7280.46</v>
      </c>
      <c r="H453" s="15">
        <v>6156.86</v>
      </c>
      <c r="I453" s="10">
        <v>233</v>
      </c>
      <c r="J453" s="15">
        <f>'Форма 2'!I1697</f>
        <v>4597789.51</v>
      </c>
      <c r="K453" s="15">
        <v>0</v>
      </c>
      <c r="L453" s="15">
        <v>0</v>
      </c>
      <c r="M453" s="15">
        <v>0</v>
      </c>
      <c r="N453" s="15">
        <f t="shared" ref="N453:N504" si="137">J453-K453-L453-M453-O453</f>
        <v>4597789.51</v>
      </c>
      <c r="O453" s="15">
        <v>0</v>
      </c>
      <c r="P453" s="15">
        <f t="shared" ref="P453:P504" si="138">J453/H453</f>
        <v>746.78</v>
      </c>
      <c r="Q453" s="15">
        <f>'Форма 2'!K1697</f>
        <v>1573</v>
      </c>
      <c r="R453" s="351" t="s">
        <v>379</v>
      </c>
      <c r="S453" s="153">
        <v>1</v>
      </c>
    </row>
    <row r="454" spans="1:19" s="41" customFormat="1" ht="15" customHeight="1" x14ac:dyDescent="0.25">
      <c r="A454" s="126">
        <f>A453+1</f>
        <v>56</v>
      </c>
      <c r="B454" s="126">
        <v>3345</v>
      </c>
      <c r="C454" s="124" t="s">
        <v>604</v>
      </c>
      <c r="D454" s="134">
        <v>1993</v>
      </c>
      <c r="E454" s="134" t="s">
        <v>86</v>
      </c>
      <c r="F454" s="134" t="s">
        <v>82</v>
      </c>
      <c r="G454" s="15">
        <v>5751.94</v>
      </c>
      <c r="H454" s="15">
        <v>4732.1899999999996</v>
      </c>
      <c r="I454" s="10">
        <v>179</v>
      </c>
      <c r="J454" s="15">
        <f>'Форма 2'!I1704</f>
        <v>2289618</v>
      </c>
      <c r="K454" s="15">
        <v>0</v>
      </c>
      <c r="L454" s="15">
        <v>0</v>
      </c>
      <c r="M454" s="15">
        <v>0</v>
      </c>
      <c r="N454" s="15">
        <f t="shared" si="137"/>
        <v>2289618</v>
      </c>
      <c r="O454" s="15">
        <v>0</v>
      </c>
      <c r="P454" s="15">
        <f t="shared" si="138"/>
        <v>483.84</v>
      </c>
      <c r="Q454" s="15">
        <f>'Форма 2'!K1704</f>
        <v>483.84</v>
      </c>
      <c r="R454" s="351" t="s">
        <v>379</v>
      </c>
      <c r="S454" s="153">
        <v>1</v>
      </c>
    </row>
    <row r="455" spans="1:19" s="41" customFormat="1" ht="15" customHeight="1" x14ac:dyDescent="0.25">
      <c r="A455" s="126">
        <f t="shared" ref="A455:A504" si="139">A454+1</f>
        <v>57</v>
      </c>
      <c r="B455" s="126">
        <v>3379</v>
      </c>
      <c r="C455" s="124" t="s">
        <v>655</v>
      </c>
      <c r="D455" s="134">
        <v>1956</v>
      </c>
      <c r="E455" s="134" t="s">
        <v>68</v>
      </c>
      <c r="F455" s="134" t="s">
        <v>81</v>
      </c>
      <c r="G455" s="15">
        <v>2034.36</v>
      </c>
      <c r="H455" s="15">
        <v>1879.46</v>
      </c>
      <c r="I455" s="10">
        <v>77</v>
      </c>
      <c r="J455" s="15">
        <f>'Форма 2'!I1707</f>
        <v>473623.92</v>
      </c>
      <c r="K455" s="15">
        <v>0</v>
      </c>
      <c r="L455" s="15">
        <v>0</v>
      </c>
      <c r="M455" s="15">
        <v>0</v>
      </c>
      <c r="N455" s="15">
        <f>J455-K455-L455-M455-O455</f>
        <v>473623.92</v>
      </c>
      <c r="O455" s="15">
        <v>0</v>
      </c>
      <c r="P455" s="15">
        <f>J455/H455</f>
        <v>252</v>
      </c>
      <c r="Q455" s="15">
        <f>'Форма 2'!K1707</f>
        <v>252</v>
      </c>
      <c r="R455" s="351" t="s">
        <v>379</v>
      </c>
      <c r="S455" s="153">
        <v>1</v>
      </c>
    </row>
    <row r="456" spans="1:19" s="41" customFormat="1" ht="15.75" customHeight="1" x14ac:dyDescent="0.25">
      <c r="A456" s="126">
        <f t="shared" si="139"/>
        <v>58</v>
      </c>
      <c r="B456" s="126">
        <v>4290</v>
      </c>
      <c r="C456" s="142" t="s">
        <v>202</v>
      </c>
      <c r="D456" s="134">
        <v>1979</v>
      </c>
      <c r="E456" s="134" t="s">
        <v>68</v>
      </c>
      <c r="F456" s="134" t="s">
        <v>82</v>
      </c>
      <c r="G456" s="15">
        <v>3574.4</v>
      </c>
      <c r="H456" s="15">
        <v>3219.4</v>
      </c>
      <c r="I456" s="10">
        <v>122</v>
      </c>
      <c r="J456" s="15">
        <f>'Форма 2'!I1709</f>
        <v>7180978.9699999997</v>
      </c>
      <c r="K456" s="15">
        <v>0</v>
      </c>
      <c r="L456" s="15">
        <v>0</v>
      </c>
      <c r="M456" s="15">
        <v>0</v>
      </c>
      <c r="N456" s="15">
        <f t="shared" si="137"/>
        <v>7180978.9699999997</v>
      </c>
      <c r="O456" s="15">
        <v>0</v>
      </c>
      <c r="P456" s="15">
        <f t="shared" si="138"/>
        <v>2230.5300000000002</v>
      </c>
      <c r="Q456" s="15">
        <f>'Форма 2'!K1709</f>
        <v>2492</v>
      </c>
      <c r="R456" s="351" t="s">
        <v>379</v>
      </c>
      <c r="S456" s="153">
        <v>1</v>
      </c>
    </row>
    <row r="457" spans="1:19" s="41" customFormat="1" ht="15.75" customHeight="1" x14ac:dyDescent="0.25">
      <c r="A457" s="126">
        <f t="shared" si="139"/>
        <v>59</v>
      </c>
      <c r="B457" s="126">
        <v>3304</v>
      </c>
      <c r="C457" s="142" t="s">
        <v>249</v>
      </c>
      <c r="D457" s="134">
        <v>1993</v>
      </c>
      <c r="E457" s="134" t="s">
        <v>678</v>
      </c>
      <c r="F457" s="134" t="s">
        <v>82</v>
      </c>
      <c r="G457" s="15">
        <v>5107.1000000000004</v>
      </c>
      <c r="H457" s="15">
        <v>4426.3999999999996</v>
      </c>
      <c r="I457" s="10">
        <v>167</v>
      </c>
      <c r="J457" s="15">
        <f>'Форма 2'!I1712</f>
        <v>32945659.640000001</v>
      </c>
      <c r="K457" s="15">
        <v>0</v>
      </c>
      <c r="L457" s="15">
        <v>0</v>
      </c>
      <c r="M457" s="15">
        <v>0</v>
      </c>
      <c r="N457" s="15">
        <f t="shared" si="137"/>
        <v>32945659.640000001</v>
      </c>
      <c r="O457" s="15">
        <v>0</v>
      </c>
      <c r="P457" s="15">
        <f t="shared" si="138"/>
        <v>7442.99</v>
      </c>
      <c r="Q457" s="15">
        <f>'Форма 2'!K1712</f>
        <v>8765.74</v>
      </c>
      <c r="R457" s="351" t="s">
        <v>379</v>
      </c>
      <c r="S457" s="153">
        <v>1</v>
      </c>
    </row>
    <row r="458" spans="1:19" s="41" customFormat="1" ht="15.75" customHeight="1" x14ac:dyDescent="0.25">
      <c r="A458" s="126">
        <f t="shared" si="139"/>
        <v>60</v>
      </c>
      <c r="B458" s="126">
        <v>3305</v>
      </c>
      <c r="C458" s="142" t="s">
        <v>251</v>
      </c>
      <c r="D458" s="134">
        <v>1972</v>
      </c>
      <c r="E458" s="134" t="s">
        <v>68</v>
      </c>
      <c r="F458" s="134" t="s">
        <v>82</v>
      </c>
      <c r="G458" s="15">
        <v>3101.4</v>
      </c>
      <c r="H458" s="15">
        <v>2891.1</v>
      </c>
      <c r="I458" s="10">
        <v>124</v>
      </c>
      <c r="J458" s="15">
        <f>'Форма 2'!I1721</f>
        <v>8067745.4699999997</v>
      </c>
      <c r="K458" s="15">
        <v>0</v>
      </c>
      <c r="L458" s="15">
        <v>0</v>
      </c>
      <c r="M458" s="15">
        <v>0</v>
      </c>
      <c r="N458" s="15">
        <f t="shared" si="137"/>
        <v>8067745.4699999997</v>
      </c>
      <c r="O458" s="15">
        <v>0</v>
      </c>
      <c r="P458" s="15">
        <f t="shared" si="138"/>
        <v>2790.55</v>
      </c>
      <c r="Q458" s="15">
        <f>'Форма 2'!K1721</f>
        <v>3878</v>
      </c>
      <c r="R458" s="351" t="s">
        <v>379</v>
      </c>
      <c r="S458" s="153">
        <v>1</v>
      </c>
    </row>
    <row r="459" spans="1:19" s="41" customFormat="1" ht="15.75" customHeight="1" x14ac:dyDescent="0.25">
      <c r="A459" s="126">
        <f t="shared" si="139"/>
        <v>61</v>
      </c>
      <c r="B459" s="126">
        <v>3309</v>
      </c>
      <c r="C459" s="142" t="s">
        <v>252</v>
      </c>
      <c r="D459" s="134">
        <v>1974</v>
      </c>
      <c r="E459" s="134" t="s">
        <v>89</v>
      </c>
      <c r="F459" s="134" t="s">
        <v>82</v>
      </c>
      <c r="G459" s="15">
        <v>8625.4</v>
      </c>
      <c r="H459" s="15">
        <v>7883.8</v>
      </c>
      <c r="I459" s="10">
        <v>298</v>
      </c>
      <c r="J459" s="15">
        <f>'Форма 2'!I1724</f>
        <v>13472173.75</v>
      </c>
      <c r="K459" s="15">
        <v>0</v>
      </c>
      <c r="L459" s="15">
        <v>0</v>
      </c>
      <c r="M459" s="15">
        <v>0</v>
      </c>
      <c r="N459" s="15">
        <f t="shared" si="137"/>
        <v>13472173.75</v>
      </c>
      <c r="O459" s="15">
        <v>0</v>
      </c>
      <c r="P459" s="15">
        <f t="shared" si="138"/>
        <v>1708.84</v>
      </c>
      <c r="Q459" s="15">
        <f>'Форма 2'!K1724</f>
        <v>2341</v>
      </c>
      <c r="R459" s="351" t="s">
        <v>379</v>
      </c>
      <c r="S459" s="153">
        <v>1</v>
      </c>
    </row>
    <row r="460" spans="1:19" s="41" customFormat="1" ht="30" customHeight="1" x14ac:dyDescent="0.25">
      <c r="A460" s="126">
        <f t="shared" si="139"/>
        <v>62</v>
      </c>
      <c r="B460" s="126">
        <v>3877</v>
      </c>
      <c r="C460" s="124" t="s">
        <v>605</v>
      </c>
      <c r="D460" s="134" t="s">
        <v>660</v>
      </c>
      <c r="E460" s="134" t="s">
        <v>86</v>
      </c>
      <c r="F460" s="134" t="s">
        <v>82</v>
      </c>
      <c r="G460" s="15">
        <v>15313.39</v>
      </c>
      <c r="H460" s="15">
        <v>14684.6</v>
      </c>
      <c r="I460" s="10">
        <v>425</v>
      </c>
      <c r="J460" s="15">
        <f>'Форма 2'!I1727</f>
        <v>5022746</v>
      </c>
      <c r="K460" s="15">
        <v>0</v>
      </c>
      <c r="L460" s="15">
        <v>0</v>
      </c>
      <c r="M460" s="15">
        <v>0</v>
      </c>
      <c r="N460" s="15">
        <f t="shared" si="137"/>
        <v>5022746</v>
      </c>
      <c r="O460" s="15">
        <v>0</v>
      </c>
      <c r="P460" s="15">
        <f t="shared" si="138"/>
        <v>342.04</v>
      </c>
      <c r="Q460" s="15">
        <f>'Форма 2'!K1727</f>
        <v>342.04</v>
      </c>
      <c r="R460" s="351" t="s">
        <v>379</v>
      </c>
      <c r="S460" s="153">
        <v>1</v>
      </c>
    </row>
    <row r="461" spans="1:19" s="41" customFormat="1" ht="15" customHeight="1" x14ac:dyDescent="0.25">
      <c r="A461" s="126">
        <f t="shared" si="139"/>
        <v>63</v>
      </c>
      <c r="B461" s="126">
        <v>3081</v>
      </c>
      <c r="C461" s="124" t="s">
        <v>656</v>
      </c>
      <c r="D461" s="134">
        <v>1990</v>
      </c>
      <c r="E461" s="134" t="s">
        <v>86</v>
      </c>
      <c r="F461" s="134" t="s">
        <v>81</v>
      </c>
      <c r="G461" s="15">
        <v>15156.7</v>
      </c>
      <c r="H461" s="15">
        <v>12256.9</v>
      </c>
      <c r="I461" s="10">
        <v>379</v>
      </c>
      <c r="J461" s="15">
        <f>'Форма 2'!I1732</f>
        <v>96843</v>
      </c>
      <c r="K461" s="15">
        <v>0</v>
      </c>
      <c r="L461" s="15">
        <v>0</v>
      </c>
      <c r="M461" s="15">
        <v>0</v>
      </c>
      <c r="N461" s="15">
        <f>J461-K461-L461-M461-O461</f>
        <v>96843</v>
      </c>
      <c r="O461" s="15">
        <v>0</v>
      </c>
      <c r="P461" s="15">
        <f>J461/H461</f>
        <v>7.9</v>
      </c>
      <c r="Q461" s="15">
        <f>'Форма 2'!K1732</f>
        <v>7.9</v>
      </c>
      <c r="R461" s="351" t="s">
        <v>379</v>
      </c>
      <c r="S461" s="153">
        <v>1</v>
      </c>
    </row>
    <row r="462" spans="1:19" s="41" customFormat="1" ht="15.75" customHeight="1" x14ac:dyDescent="0.25">
      <c r="A462" s="126">
        <f t="shared" si="139"/>
        <v>64</v>
      </c>
      <c r="B462" s="126">
        <v>3166</v>
      </c>
      <c r="C462" s="142" t="s">
        <v>204</v>
      </c>
      <c r="D462" s="134">
        <v>1987</v>
      </c>
      <c r="E462" s="134" t="s">
        <v>68</v>
      </c>
      <c r="F462" s="134" t="s">
        <v>82</v>
      </c>
      <c r="G462" s="15">
        <v>5628.2</v>
      </c>
      <c r="H462" s="15">
        <v>5017.7</v>
      </c>
      <c r="I462" s="10">
        <v>190</v>
      </c>
      <c r="J462" s="15">
        <f>'Форма 2'!I1736</f>
        <v>7677191.2400000002</v>
      </c>
      <c r="K462" s="15">
        <v>0</v>
      </c>
      <c r="L462" s="15">
        <v>0</v>
      </c>
      <c r="M462" s="15">
        <v>0</v>
      </c>
      <c r="N462" s="15">
        <f t="shared" si="137"/>
        <v>7677191.2400000002</v>
      </c>
      <c r="O462" s="15">
        <v>0</v>
      </c>
      <c r="P462" s="15">
        <f t="shared" si="138"/>
        <v>1530.02</v>
      </c>
      <c r="Q462" s="15">
        <f>'Форма 2'!K1736</f>
        <v>2492</v>
      </c>
      <c r="R462" s="351" t="s">
        <v>379</v>
      </c>
      <c r="S462" s="153">
        <v>1</v>
      </c>
    </row>
    <row r="463" spans="1:19" s="41" customFormat="1" ht="15" customHeight="1" x14ac:dyDescent="0.25">
      <c r="A463" s="126">
        <f t="shared" si="139"/>
        <v>65</v>
      </c>
      <c r="B463" s="126">
        <v>4374</v>
      </c>
      <c r="C463" s="124" t="s">
        <v>657</v>
      </c>
      <c r="D463" s="134">
        <v>1995</v>
      </c>
      <c r="E463" s="134" t="s">
        <v>86</v>
      </c>
      <c r="F463" s="134" t="s">
        <v>81</v>
      </c>
      <c r="G463" s="15">
        <v>8883.2999999999993</v>
      </c>
      <c r="H463" s="15">
        <v>6931.5</v>
      </c>
      <c r="I463" s="10">
        <v>262</v>
      </c>
      <c r="J463" s="15">
        <f>'Форма 2'!I1739</f>
        <v>96843</v>
      </c>
      <c r="K463" s="15">
        <v>0</v>
      </c>
      <c r="L463" s="15">
        <v>0</v>
      </c>
      <c r="M463" s="15">
        <v>0</v>
      </c>
      <c r="N463" s="15">
        <f>J463-K463-L463-M463-O463</f>
        <v>96843</v>
      </c>
      <c r="O463" s="15">
        <v>0</v>
      </c>
      <c r="P463" s="15">
        <f>J463/H463</f>
        <v>13.97</v>
      </c>
      <c r="Q463" s="15">
        <f>'Форма 2'!K1739</f>
        <v>13.97</v>
      </c>
      <c r="R463" s="351" t="s">
        <v>379</v>
      </c>
      <c r="S463" s="153">
        <v>1</v>
      </c>
    </row>
    <row r="464" spans="1:19" s="41" customFormat="1" ht="15" customHeight="1" x14ac:dyDescent="0.25">
      <c r="A464" s="126">
        <f t="shared" si="139"/>
        <v>66</v>
      </c>
      <c r="B464" s="126">
        <v>4061</v>
      </c>
      <c r="C464" s="124" t="s">
        <v>607</v>
      </c>
      <c r="D464" s="134">
        <v>1994</v>
      </c>
      <c r="E464" s="134" t="s">
        <v>86</v>
      </c>
      <c r="F464" s="134" t="s">
        <v>82</v>
      </c>
      <c r="G464" s="15">
        <v>8770</v>
      </c>
      <c r="H464" s="15">
        <v>7554</v>
      </c>
      <c r="I464" s="10">
        <v>316</v>
      </c>
      <c r="J464" s="15">
        <f>'Форма 2'!I1743</f>
        <v>9158472</v>
      </c>
      <c r="K464" s="15">
        <v>0</v>
      </c>
      <c r="L464" s="15">
        <v>0</v>
      </c>
      <c r="M464" s="15">
        <v>0</v>
      </c>
      <c r="N464" s="15">
        <f>J464-K464-L464-M464-O464</f>
        <v>9158472</v>
      </c>
      <c r="O464" s="15">
        <v>0</v>
      </c>
      <c r="P464" s="15">
        <f>J464/H464</f>
        <v>1212.4000000000001</v>
      </c>
      <c r="Q464" s="15">
        <f>'Форма 2'!K1743</f>
        <v>1212.4000000000001</v>
      </c>
      <c r="R464" s="351" t="s">
        <v>379</v>
      </c>
      <c r="S464" s="153">
        <v>1</v>
      </c>
    </row>
    <row r="465" spans="1:19" s="41" customFormat="1" ht="15.75" customHeight="1" x14ac:dyDescent="0.25">
      <c r="A465" s="126">
        <f t="shared" si="139"/>
        <v>67</v>
      </c>
      <c r="B465" s="126">
        <v>4240</v>
      </c>
      <c r="C465" s="142" t="s">
        <v>205</v>
      </c>
      <c r="D465" s="134" t="s">
        <v>163</v>
      </c>
      <c r="E465" s="134" t="s">
        <v>679</v>
      </c>
      <c r="F465" s="134" t="s">
        <v>82</v>
      </c>
      <c r="G465" s="15">
        <v>18666.39</v>
      </c>
      <c r="H465" s="15">
        <v>16244.29</v>
      </c>
      <c r="I465" s="10">
        <v>614</v>
      </c>
      <c r="J465" s="15">
        <f>'Форма 2'!I1752</f>
        <v>35748928.130000003</v>
      </c>
      <c r="K465" s="15">
        <v>0</v>
      </c>
      <c r="L465" s="15">
        <v>0</v>
      </c>
      <c r="M465" s="15">
        <v>0</v>
      </c>
      <c r="N465" s="15">
        <f t="shared" si="137"/>
        <v>35748928.130000003</v>
      </c>
      <c r="O465" s="15">
        <v>0</v>
      </c>
      <c r="P465" s="15">
        <f t="shared" si="138"/>
        <v>2200.71</v>
      </c>
      <c r="Q465" s="15">
        <f>'Форма 2'!K1752</f>
        <v>3196.74</v>
      </c>
      <c r="R465" s="351" t="s">
        <v>379</v>
      </c>
      <c r="S465" s="153">
        <v>1</v>
      </c>
    </row>
    <row r="466" spans="1:19" s="41" customFormat="1" ht="15.75" customHeight="1" x14ac:dyDescent="0.25">
      <c r="A466" s="126">
        <f t="shared" si="139"/>
        <v>68</v>
      </c>
      <c r="B466" s="126">
        <v>4334</v>
      </c>
      <c r="C466" s="142" t="s">
        <v>206</v>
      </c>
      <c r="D466" s="134">
        <v>1993</v>
      </c>
      <c r="E466" s="134" t="s">
        <v>68</v>
      </c>
      <c r="F466" s="134" t="s">
        <v>82</v>
      </c>
      <c r="G466" s="15">
        <v>11323.6</v>
      </c>
      <c r="H466" s="15">
        <v>8925.1</v>
      </c>
      <c r="I466" s="10">
        <v>337</v>
      </c>
      <c r="J466" s="15">
        <f>'Форма 2'!I1765</f>
        <v>14425451.369999999</v>
      </c>
      <c r="K466" s="15">
        <v>0</v>
      </c>
      <c r="L466" s="15">
        <v>0</v>
      </c>
      <c r="M466" s="15">
        <v>0</v>
      </c>
      <c r="N466" s="15">
        <f t="shared" si="137"/>
        <v>14425451.369999999</v>
      </c>
      <c r="O466" s="15">
        <v>0</v>
      </c>
      <c r="P466" s="15">
        <f t="shared" si="138"/>
        <v>1616.28</v>
      </c>
      <c r="Q466" s="15">
        <f>'Форма 2'!K1765</f>
        <v>2492</v>
      </c>
      <c r="R466" s="351" t="s">
        <v>379</v>
      </c>
      <c r="S466" s="153">
        <v>1</v>
      </c>
    </row>
    <row r="467" spans="1:19" s="41" customFormat="1" ht="15.75" customHeight="1" x14ac:dyDescent="0.25">
      <c r="A467" s="126">
        <f t="shared" si="139"/>
        <v>69</v>
      </c>
      <c r="B467" s="126">
        <v>4093</v>
      </c>
      <c r="C467" s="124" t="s">
        <v>496</v>
      </c>
      <c r="D467" s="134" t="s">
        <v>502</v>
      </c>
      <c r="E467" s="134" t="s">
        <v>86</v>
      </c>
      <c r="F467" s="134" t="s">
        <v>82</v>
      </c>
      <c r="G467" s="15">
        <v>23779.8</v>
      </c>
      <c r="H467" s="15">
        <v>18536.900000000001</v>
      </c>
      <c r="I467" s="10">
        <v>519</v>
      </c>
      <c r="J467" s="15">
        <f>'Форма 2'!I1768</f>
        <v>4579236</v>
      </c>
      <c r="K467" s="15">
        <v>0</v>
      </c>
      <c r="L467" s="15">
        <v>0</v>
      </c>
      <c r="M467" s="15">
        <v>0</v>
      </c>
      <c r="N467" s="15">
        <f t="shared" si="137"/>
        <v>4579236</v>
      </c>
      <c r="O467" s="15">
        <v>0</v>
      </c>
      <c r="P467" s="15">
        <f t="shared" si="138"/>
        <v>247.03</v>
      </c>
      <c r="Q467" s="15">
        <f>'Форма 2'!K1768</f>
        <v>247.03</v>
      </c>
      <c r="R467" s="351" t="s">
        <v>379</v>
      </c>
      <c r="S467" s="153">
        <v>1</v>
      </c>
    </row>
    <row r="468" spans="1:19" s="41" customFormat="1" ht="15.75" customHeight="1" x14ac:dyDescent="0.25">
      <c r="A468" s="126">
        <f>A467+1</f>
        <v>70</v>
      </c>
      <c r="B468" s="126">
        <v>3112</v>
      </c>
      <c r="C468" s="142" t="s">
        <v>377</v>
      </c>
      <c r="D468" s="134">
        <v>1983</v>
      </c>
      <c r="E468" s="134" t="s">
        <v>68</v>
      </c>
      <c r="F468" s="134" t="s">
        <v>81</v>
      </c>
      <c r="G468" s="15">
        <v>21446.799999999999</v>
      </c>
      <c r="H468" s="15">
        <v>16849.099999999999</v>
      </c>
      <c r="I468" s="10">
        <v>546</v>
      </c>
      <c r="J468" s="15">
        <f>'Форма 2'!I1773</f>
        <v>1277782.8999999999</v>
      </c>
      <c r="K468" s="15">
        <v>0</v>
      </c>
      <c r="L468" s="15">
        <v>0</v>
      </c>
      <c r="M468" s="15">
        <v>0</v>
      </c>
      <c r="N468" s="15">
        <f t="shared" si="137"/>
        <v>1277782.8999999999</v>
      </c>
      <c r="O468" s="15">
        <v>0</v>
      </c>
      <c r="P468" s="15">
        <f t="shared" si="138"/>
        <v>75.84</v>
      </c>
      <c r="Q468" s="15">
        <f>'Форма 2'!K1773</f>
        <v>164</v>
      </c>
      <c r="R468" s="351" t="s">
        <v>379</v>
      </c>
      <c r="S468" s="153">
        <v>1</v>
      </c>
    </row>
    <row r="469" spans="1:19" s="41" customFormat="1" ht="15" customHeight="1" x14ac:dyDescent="0.25">
      <c r="A469" s="126">
        <f t="shared" si="139"/>
        <v>71</v>
      </c>
      <c r="B469" s="126">
        <v>3103</v>
      </c>
      <c r="C469" s="124" t="s">
        <v>658</v>
      </c>
      <c r="D469" s="134">
        <v>1960</v>
      </c>
      <c r="E469" s="134" t="s">
        <v>95</v>
      </c>
      <c r="F469" s="134" t="s">
        <v>81</v>
      </c>
      <c r="G469" s="15">
        <v>3257.1</v>
      </c>
      <c r="H469" s="15">
        <v>2533.89</v>
      </c>
      <c r="I469" s="10">
        <v>109</v>
      </c>
      <c r="J469" s="15">
        <f>'Форма 2'!I1775</f>
        <v>119092.83</v>
      </c>
      <c r="K469" s="15">
        <v>0</v>
      </c>
      <c r="L469" s="15">
        <v>0</v>
      </c>
      <c r="M469" s="15">
        <v>0</v>
      </c>
      <c r="N469" s="15">
        <f>J469-K469-L469-M469-O469</f>
        <v>119092.83</v>
      </c>
      <c r="O469" s="15">
        <v>0</v>
      </c>
      <c r="P469" s="15">
        <f>J469/H469</f>
        <v>47</v>
      </c>
      <c r="Q469" s="15">
        <f>'Форма 2'!K1775</f>
        <v>47</v>
      </c>
      <c r="R469" s="351" t="s">
        <v>379</v>
      </c>
      <c r="S469" s="153">
        <v>1</v>
      </c>
    </row>
    <row r="470" spans="1:19" s="41" customFormat="1" ht="15.75" customHeight="1" x14ac:dyDescent="0.25">
      <c r="A470" s="126">
        <f t="shared" si="139"/>
        <v>72</v>
      </c>
      <c r="B470" s="126">
        <v>3105</v>
      </c>
      <c r="C470" s="142" t="s">
        <v>208</v>
      </c>
      <c r="D470" s="134">
        <v>1995</v>
      </c>
      <c r="E470" s="134" t="s">
        <v>679</v>
      </c>
      <c r="F470" s="134" t="s">
        <v>87</v>
      </c>
      <c r="G470" s="15">
        <v>14149.1</v>
      </c>
      <c r="H470" s="15">
        <v>11658.1</v>
      </c>
      <c r="I470" s="10">
        <v>440</v>
      </c>
      <c r="J470" s="15">
        <f>'Форма 2'!I1777</f>
        <v>14355919.6</v>
      </c>
      <c r="K470" s="15">
        <v>0</v>
      </c>
      <c r="L470" s="15">
        <v>0</v>
      </c>
      <c r="M470" s="15">
        <v>0</v>
      </c>
      <c r="N470" s="15">
        <f t="shared" si="137"/>
        <v>14355919.6</v>
      </c>
      <c r="O470" s="15">
        <v>0</v>
      </c>
      <c r="P470" s="15">
        <f t="shared" si="138"/>
        <v>1231.4100000000001</v>
      </c>
      <c r="Q470" s="15">
        <f>'Форма 2'!K1777</f>
        <v>2505.85</v>
      </c>
      <c r="R470" s="351" t="s">
        <v>379</v>
      </c>
      <c r="S470" s="153">
        <v>1</v>
      </c>
    </row>
    <row r="471" spans="1:19" s="41" customFormat="1" ht="15" customHeight="1" x14ac:dyDescent="0.25">
      <c r="A471" s="126">
        <f t="shared" si="139"/>
        <v>73</v>
      </c>
      <c r="B471" s="126">
        <v>4261</v>
      </c>
      <c r="C471" s="124" t="s">
        <v>608</v>
      </c>
      <c r="D471" s="134">
        <v>1995</v>
      </c>
      <c r="E471" s="134" t="s">
        <v>86</v>
      </c>
      <c r="F471" s="134" t="s">
        <v>82</v>
      </c>
      <c r="G471" s="15">
        <v>3560.1</v>
      </c>
      <c r="H471" s="15">
        <v>3106.9</v>
      </c>
      <c r="I471" s="10">
        <v>117</v>
      </c>
      <c r="J471" s="15">
        <f>'Форма 2'!I1785</f>
        <v>2511373</v>
      </c>
      <c r="K471" s="15">
        <v>0</v>
      </c>
      <c r="L471" s="15">
        <v>0</v>
      </c>
      <c r="M471" s="15">
        <v>0</v>
      </c>
      <c r="N471" s="15">
        <f t="shared" si="137"/>
        <v>2511373</v>
      </c>
      <c r="O471" s="15">
        <v>0</v>
      </c>
      <c r="P471" s="15">
        <f t="shared" si="138"/>
        <v>808.32</v>
      </c>
      <c r="Q471" s="15">
        <f>'Форма 2'!K1785</f>
        <v>808.33</v>
      </c>
      <c r="R471" s="351" t="s">
        <v>379</v>
      </c>
      <c r="S471" s="153">
        <v>1</v>
      </c>
    </row>
    <row r="472" spans="1:19" s="41" customFormat="1" ht="15" customHeight="1" x14ac:dyDescent="0.25">
      <c r="A472" s="126">
        <f t="shared" si="139"/>
        <v>74</v>
      </c>
      <c r="B472" s="126">
        <v>4378</v>
      </c>
      <c r="C472" s="124" t="s">
        <v>609</v>
      </c>
      <c r="D472" s="134">
        <v>1994</v>
      </c>
      <c r="E472" s="134" t="s">
        <v>86</v>
      </c>
      <c r="F472" s="134" t="s">
        <v>82</v>
      </c>
      <c r="G472" s="15">
        <v>4584</v>
      </c>
      <c r="H472" s="15">
        <v>3900.4</v>
      </c>
      <c r="I472" s="10">
        <v>147</v>
      </c>
      <c r="J472" s="15">
        <f>'Форма 2'!I1788</f>
        <v>2511373</v>
      </c>
      <c r="K472" s="15">
        <v>0</v>
      </c>
      <c r="L472" s="15">
        <v>0</v>
      </c>
      <c r="M472" s="15">
        <v>0</v>
      </c>
      <c r="N472" s="15">
        <f t="shared" si="137"/>
        <v>2511373</v>
      </c>
      <c r="O472" s="15">
        <v>0</v>
      </c>
      <c r="P472" s="15">
        <f t="shared" si="138"/>
        <v>643.88</v>
      </c>
      <c r="Q472" s="15">
        <f>'Форма 2'!K1788</f>
        <v>643.88</v>
      </c>
      <c r="R472" s="351" t="s">
        <v>379</v>
      </c>
      <c r="S472" s="153">
        <v>1</v>
      </c>
    </row>
    <row r="473" spans="1:19" s="41" customFormat="1" ht="15" customHeight="1" x14ac:dyDescent="0.25">
      <c r="A473" s="126">
        <f t="shared" si="139"/>
        <v>75</v>
      </c>
      <c r="B473" s="126">
        <v>4243</v>
      </c>
      <c r="C473" s="124" t="s">
        <v>610</v>
      </c>
      <c r="D473" s="134">
        <v>1994</v>
      </c>
      <c r="E473" s="134" t="s">
        <v>86</v>
      </c>
      <c r="F473" s="134" t="s">
        <v>82</v>
      </c>
      <c r="G473" s="15">
        <v>4356.18</v>
      </c>
      <c r="H473" s="15">
        <v>3950.38</v>
      </c>
      <c r="I473" s="10">
        <v>151</v>
      </c>
      <c r="J473" s="15">
        <f>'Форма 2'!I1791</f>
        <v>4579236</v>
      </c>
      <c r="K473" s="15">
        <v>0</v>
      </c>
      <c r="L473" s="15">
        <v>0</v>
      </c>
      <c r="M473" s="15">
        <v>0</v>
      </c>
      <c r="N473" s="15">
        <f>J473-K473-L473-M473-O473</f>
        <v>4579236</v>
      </c>
      <c r="O473" s="15">
        <v>0</v>
      </c>
      <c r="P473" s="15">
        <f>J473/H473</f>
        <v>1159.19</v>
      </c>
      <c r="Q473" s="15">
        <f>'Форма 2'!K1791</f>
        <v>1159.19</v>
      </c>
      <c r="R473" s="351" t="s">
        <v>379</v>
      </c>
      <c r="S473" s="153">
        <v>1</v>
      </c>
    </row>
    <row r="474" spans="1:19" s="41" customFormat="1" ht="15" customHeight="1" x14ac:dyDescent="0.25">
      <c r="A474" s="126">
        <f t="shared" si="139"/>
        <v>76</v>
      </c>
      <c r="B474" s="126">
        <v>4379</v>
      </c>
      <c r="C474" s="124" t="s">
        <v>611</v>
      </c>
      <c r="D474" s="134">
        <v>1994</v>
      </c>
      <c r="E474" s="134" t="s">
        <v>86</v>
      </c>
      <c r="F474" s="134" t="s">
        <v>82</v>
      </c>
      <c r="G474" s="15">
        <v>4563.1000000000004</v>
      </c>
      <c r="H474" s="15">
        <v>3914.2</v>
      </c>
      <c r="I474" s="10">
        <v>148</v>
      </c>
      <c r="J474" s="15">
        <f>'Форма 2'!I1796</f>
        <v>2511373</v>
      </c>
      <c r="K474" s="15">
        <v>0</v>
      </c>
      <c r="L474" s="15">
        <v>0</v>
      </c>
      <c r="M474" s="15">
        <v>0</v>
      </c>
      <c r="N474" s="15">
        <f t="shared" si="137"/>
        <v>2511373</v>
      </c>
      <c r="O474" s="15">
        <v>0</v>
      </c>
      <c r="P474" s="15">
        <f t="shared" si="138"/>
        <v>641.61</v>
      </c>
      <c r="Q474" s="15">
        <f>'Форма 2'!K1796</f>
        <v>641.6</v>
      </c>
      <c r="R474" s="351" t="s">
        <v>379</v>
      </c>
      <c r="S474" s="153">
        <v>1</v>
      </c>
    </row>
    <row r="475" spans="1:19" s="41" customFormat="1" ht="31.5" customHeight="1" x14ac:dyDescent="0.25">
      <c r="A475" s="126">
        <f t="shared" si="139"/>
        <v>77</v>
      </c>
      <c r="B475" s="126">
        <v>3131</v>
      </c>
      <c r="C475" s="142" t="s">
        <v>209</v>
      </c>
      <c r="D475" s="134" t="s">
        <v>246</v>
      </c>
      <c r="E475" s="134" t="s">
        <v>89</v>
      </c>
      <c r="F475" s="134" t="s">
        <v>82</v>
      </c>
      <c r="G475" s="15">
        <v>16198.1</v>
      </c>
      <c r="H475" s="15">
        <v>12715.9</v>
      </c>
      <c r="I475" s="10">
        <v>410</v>
      </c>
      <c r="J475" s="15">
        <f>'Форма 2'!I1799</f>
        <v>20701485.199999999</v>
      </c>
      <c r="K475" s="15">
        <v>0</v>
      </c>
      <c r="L475" s="15">
        <v>0</v>
      </c>
      <c r="M475" s="15">
        <v>0</v>
      </c>
      <c r="N475" s="15">
        <f t="shared" si="137"/>
        <v>20701485.199999999</v>
      </c>
      <c r="O475" s="15">
        <v>0</v>
      </c>
      <c r="P475" s="15">
        <f t="shared" si="138"/>
        <v>1628</v>
      </c>
      <c r="Q475" s="15">
        <f>'Форма 2'!K1799</f>
        <v>1628</v>
      </c>
      <c r="R475" s="351" t="s">
        <v>379</v>
      </c>
      <c r="S475" s="153">
        <v>1</v>
      </c>
    </row>
    <row r="476" spans="1:19" s="41" customFormat="1" ht="15.75" customHeight="1" x14ac:dyDescent="0.25">
      <c r="A476" s="126">
        <f t="shared" si="139"/>
        <v>78</v>
      </c>
      <c r="B476" s="126">
        <v>4343</v>
      </c>
      <c r="C476" s="142" t="s">
        <v>210</v>
      </c>
      <c r="D476" s="134">
        <v>1981</v>
      </c>
      <c r="E476" s="134" t="s">
        <v>68</v>
      </c>
      <c r="F476" s="134" t="s">
        <v>82</v>
      </c>
      <c r="G476" s="15">
        <v>3624.8</v>
      </c>
      <c r="H476" s="15">
        <v>2708.3</v>
      </c>
      <c r="I476" s="10">
        <v>102</v>
      </c>
      <c r="J476" s="15">
        <f>'Форма 2'!I1802</f>
        <v>8045193.8700000001</v>
      </c>
      <c r="K476" s="15">
        <v>0</v>
      </c>
      <c r="L476" s="15">
        <v>0</v>
      </c>
      <c r="M476" s="15">
        <v>0</v>
      </c>
      <c r="N476" s="15">
        <f t="shared" si="137"/>
        <v>8045193.8700000001</v>
      </c>
      <c r="O476" s="15">
        <v>0</v>
      </c>
      <c r="P476" s="15">
        <f t="shared" si="138"/>
        <v>2970.57</v>
      </c>
      <c r="Q476" s="15">
        <f>'Форма 2'!K1802</f>
        <v>3749</v>
      </c>
      <c r="R476" s="351" t="s">
        <v>379</v>
      </c>
      <c r="S476" s="153">
        <v>1</v>
      </c>
    </row>
    <row r="477" spans="1:19" s="41" customFormat="1" ht="15" customHeight="1" x14ac:dyDescent="0.25">
      <c r="A477" s="126">
        <f t="shared" si="139"/>
        <v>79</v>
      </c>
      <c r="B477" s="126">
        <v>3172</v>
      </c>
      <c r="C477" s="124" t="s">
        <v>612</v>
      </c>
      <c r="D477" s="134">
        <v>1994</v>
      </c>
      <c r="E477" s="134" t="s">
        <v>86</v>
      </c>
      <c r="F477" s="134" t="s">
        <v>82</v>
      </c>
      <c r="G477" s="15">
        <v>11811.72</v>
      </c>
      <c r="H477" s="15">
        <v>9843.1</v>
      </c>
      <c r="I477" s="10">
        <v>347</v>
      </c>
      <c r="J477" s="15">
        <f>'Форма 2'!I1805</f>
        <v>5022746</v>
      </c>
      <c r="K477" s="15">
        <v>0</v>
      </c>
      <c r="L477" s="15">
        <v>0</v>
      </c>
      <c r="M477" s="15">
        <v>0</v>
      </c>
      <c r="N477" s="15">
        <f t="shared" si="137"/>
        <v>5022746</v>
      </c>
      <c r="O477" s="15">
        <v>0</v>
      </c>
      <c r="P477" s="15">
        <f t="shared" si="138"/>
        <v>510.28</v>
      </c>
      <c r="Q477" s="15">
        <f>'Форма 2'!K1805</f>
        <v>510.28</v>
      </c>
      <c r="R477" s="351" t="s">
        <v>379</v>
      </c>
      <c r="S477" s="153">
        <v>1</v>
      </c>
    </row>
    <row r="478" spans="1:19" s="41" customFormat="1" ht="15.75" customHeight="1" x14ac:dyDescent="0.25">
      <c r="A478" s="126">
        <f t="shared" si="139"/>
        <v>80</v>
      </c>
      <c r="B478" s="126">
        <v>4360</v>
      </c>
      <c r="C478" s="142" t="s">
        <v>211</v>
      </c>
      <c r="D478" s="134" t="s">
        <v>88</v>
      </c>
      <c r="E478" s="134" t="s">
        <v>68</v>
      </c>
      <c r="F478" s="134" t="s">
        <v>82</v>
      </c>
      <c r="G478" s="15">
        <v>14794.05</v>
      </c>
      <c r="H478" s="15">
        <v>11758.85</v>
      </c>
      <c r="I478" s="10">
        <v>474</v>
      </c>
      <c r="J478" s="15">
        <f>'Форма 2'!I1810</f>
        <v>24353354.449999999</v>
      </c>
      <c r="K478" s="15">
        <v>0</v>
      </c>
      <c r="L478" s="15">
        <v>0</v>
      </c>
      <c r="M478" s="15">
        <v>0</v>
      </c>
      <c r="N478" s="15">
        <f t="shared" si="137"/>
        <v>24353354.449999999</v>
      </c>
      <c r="O478" s="15">
        <v>0</v>
      </c>
      <c r="P478" s="15">
        <f t="shared" si="138"/>
        <v>2071.0700000000002</v>
      </c>
      <c r="Q478" s="15">
        <f>'Форма 2'!K1810</f>
        <v>2492</v>
      </c>
      <c r="R478" s="351" t="s">
        <v>379</v>
      </c>
      <c r="S478" s="153">
        <v>1</v>
      </c>
    </row>
    <row r="479" spans="1:19" s="41" customFormat="1" ht="15.75" customHeight="1" x14ac:dyDescent="0.25">
      <c r="A479" s="126">
        <f t="shared" si="139"/>
        <v>81</v>
      </c>
      <c r="B479" s="126">
        <v>3433</v>
      </c>
      <c r="C479" s="142" t="s">
        <v>365</v>
      </c>
      <c r="D479" s="134">
        <v>1992</v>
      </c>
      <c r="E479" s="134" t="s">
        <v>372</v>
      </c>
      <c r="F479" s="134" t="s">
        <v>82</v>
      </c>
      <c r="G479" s="15">
        <v>4578.6000000000004</v>
      </c>
      <c r="H479" s="15">
        <v>3939</v>
      </c>
      <c r="I479" s="10">
        <v>149</v>
      </c>
      <c r="J479" s="15">
        <f>'Форма 2'!I1813</f>
        <v>13490350.77</v>
      </c>
      <c r="K479" s="15">
        <v>0</v>
      </c>
      <c r="L479" s="15">
        <v>0</v>
      </c>
      <c r="M479" s="15">
        <v>0</v>
      </c>
      <c r="N479" s="15">
        <f t="shared" si="137"/>
        <v>13490350.77</v>
      </c>
      <c r="O479" s="15">
        <v>0</v>
      </c>
      <c r="P479" s="15">
        <f t="shared" si="138"/>
        <v>3424.82</v>
      </c>
      <c r="Q479" s="15">
        <f>'Форма 2'!K1813</f>
        <v>4074</v>
      </c>
      <c r="R479" s="351" t="s">
        <v>379</v>
      </c>
      <c r="S479" s="153">
        <v>1</v>
      </c>
    </row>
    <row r="480" spans="1:19" s="41" customFormat="1" ht="15.75" customHeight="1" x14ac:dyDescent="0.25">
      <c r="A480" s="126">
        <f t="shared" si="139"/>
        <v>82</v>
      </c>
      <c r="B480" s="126">
        <v>4250</v>
      </c>
      <c r="C480" s="142" t="s">
        <v>556</v>
      </c>
      <c r="D480" s="134">
        <v>1969</v>
      </c>
      <c r="E480" s="134" t="s">
        <v>95</v>
      </c>
      <c r="F480" s="134" t="s">
        <v>82</v>
      </c>
      <c r="G480" s="15">
        <v>6170</v>
      </c>
      <c r="H480" s="15">
        <v>5742.5</v>
      </c>
      <c r="I480" s="10">
        <v>217</v>
      </c>
      <c r="J480" s="15">
        <f>'Форма 2'!I1822</f>
        <v>2337197.5</v>
      </c>
      <c r="K480" s="15">
        <v>0</v>
      </c>
      <c r="L480" s="15">
        <v>0</v>
      </c>
      <c r="M480" s="15">
        <v>0</v>
      </c>
      <c r="N480" s="15">
        <f t="shared" si="137"/>
        <v>2337197.5</v>
      </c>
      <c r="O480" s="15">
        <v>0</v>
      </c>
      <c r="P480" s="15">
        <f t="shared" si="138"/>
        <v>407</v>
      </c>
      <c r="Q480" s="15">
        <f>'Форма 2'!K1822</f>
        <v>407</v>
      </c>
      <c r="R480" s="351" t="s">
        <v>379</v>
      </c>
      <c r="S480" s="153">
        <v>1</v>
      </c>
    </row>
    <row r="481" spans="1:19" s="41" customFormat="1" ht="15" customHeight="1" x14ac:dyDescent="0.25">
      <c r="A481" s="126">
        <f t="shared" si="139"/>
        <v>83</v>
      </c>
      <c r="B481" s="126">
        <v>3141</v>
      </c>
      <c r="C481" s="124" t="s">
        <v>212</v>
      </c>
      <c r="D481" s="134" t="s">
        <v>382</v>
      </c>
      <c r="E481" s="134" t="s">
        <v>86</v>
      </c>
      <c r="F481" s="134" t="s">
        <v>82</v>
      </c>
      <c r="G481" s="15">
        <v>11490.4</v>
      </c>
      <c r="H481" s="15">
        <v>8978.6</v>
      </c>
      <c r="I481" s="10">
        <v>271</v>
      </c>
      <c r="J481" s="15">
        <f>'Форма 2'!I1825</f>
        <v>4579236</v>
      </c>
      <c r="K481" s="15">
        <v>0</v>
      </c>
      <c r="L481" s="15">
        <v>0</v>
      </c>
      <c r="M481" s="15">
        <v>0</v>
      </c>
      <c r="N481" s="15">
        <f t="shared" si="137"/>
        <v>4579236</v>
      </c>
      <c r="O481" s="15">
        <v>0</v>
      </c>
      <c r="P481" s="15">
        <f t="shared" si="138"/>
        <v>510.02</v>
      </c>
      <c r="Q481" s="15">
        <f>'Форма 2'!K1825</f>
        <v>510.02</v>
      </c>
      <c r="R481" s="351" t="s">
        <v>379</v>
      </c>
      <c r="S481" s="153">
        <v>1</v>
      </c>
    </row>
    <row r="482" spans="1:19" s="41" customFormat="1" ht="15" customHeight="1" x14ac:dyDescent="0.25">
      <c r="A482" s="126">
        <f t="shared" si="139"/>
        <v>84</v>
      </c>
      <c r="B482" s="126">
        <v>4375</v>
      </c>
      <c r="C482" s="124" t="s">
        <v>661</v>
      </c>
      <c r="D482" s="134" t="s">
        <v>680</v>
      </c>
      <c r="E482" s="134" t="s">
        <v>86</v>
      </c>
      <c r="F482" s="134" t="s">
        <v>81</v>
      </c>
      <c r="G482" s="15">
        <v>14326.5</v>
      </c>
      <c r="H482" s="15">
        <v>11594.1</v>
      </c>
      <c r="I482" s="10">
        <v>438</v>
      </c>
      <c r="J482" s="15">
        <f>'Форма 2'!I1830</f>
        <v>96843</v>
      </c>
      <c r="K482" s="15">
        <v>0</v>
      </c>
      <c r="L482" s="15">
        <v>0</v>
      </c>
      <c r="M482" s="15">
        <v>0</v>
      </c>
      <c r="N482" s="15">
        <f>J482-K482-L482-M482-O482</f>
        <v>96843</v>
      </c>
      <c r="O482" s="15">
        <v>0</v>
      </c>
      <c r="P482" s="15">
        <f>J482/H482</f>
        <v>8.35</v>
      </c>
      <c r="Q482" s="15">
        <f>'Форма 2'!K1830</f>
        <v>8.35</v>
      </c>
      <c r="R482" s="351" t="s">
        <v>379</v>
      </c>
      <c r="S482" s="153">
        <v>1</v>
      </c>
    </row>
    <row r="483" spans="1:19" s="41" customFormat="1" ht="15" customHeight="1" x14ac:dyDescent="0.25">
      <c r="A483" s="126">
        <f t="shared" si="139"/>
        <v>85</v>
      </c>
      <c r="B483" s="126">
        <v>4376</v>
      </c>
      <c r="C483" s="124" t="s">
        <v>662</v>
      </c>
      <c r="D483" s="134">
        <v>1994</v>
      </c>
      <c r="E483" s="134" t="s">
        <v>86</v>
      </c>
      <c r="F483" s="134" t="s">
        <v>81</v>
      </c>
      <c r="G483" s="15">
        <v>4860.7</v>
      </c>
      <c r="H483" s="15">
        <v>3878.2</v>
      </c>
      <c r="I483" s="10">
        <v>147</v>
      </c>
      <c r="J483" s="15">
        <f>'Форма 2'!I1834</f>
        <v>64562</v>
      </c>
      <c r="K483" s="15">
        <v>0</v>
      </c>
      <c r="L483" s="15">
        <v>0</v>
      </c>
      <c r="M483" s="15">
        <v>0</v>
      </c>
      <c r="N483" s="15">
        <f>J483-K483-L483-M483-O483</f>
        <v>64562</v>
      </c>
      <c r="O483" s="15">
        <v>0</v>
      </c>
      <c r="P483" s="15">
        <f>J483/H483</f>
        <v>16.649999999999999</v>
      </c>
      <c r="Q483" s="15">
        <f>'Форма 2'!K1834</f>
        <v>16.649999999999999</v>
      </c>
      <c r="R483" s="351" t="s">
        <v>379</v>
      </c>
      <c r="S483" s="153">
        <v>1</v>
      </c>
    </row>
    <row r="484" spans="1:19" s="41" customFormat="1" ht="15" customHeight="1" x14ac:dyDescent="0.25">
      <c r="A484" s="126">
        <f>A483+1</f>
        <v>86</v>
      </c>
      <c r="B484" s="126">
        <v>4122</v>
      </c>
      <c r="C484" s="124" t="s">
        <v>613</v>
      </c>
      <c r="D484" s="134">
        <v>1994</v>
      </c>
      <c r="E484" s="134" t="s">
        <v>86</v>
      </c>
      <c r="F484" s="134" t="s">
        <v>82</v>
      </c>
      <c r="G484" s="15">
        <v>3846</v>
      </c>
      <c r="H484" s="15">
        <v>3489.9</v>
      </c>
      <c r="I484" s="10">
        <v>143</v>
      </c>
      <c r="J484" s="15">
        <f>'Форма 2'!I1837</f>
        <v>4579236</v>
      </c>
      <c r="K484" s="15">
        <v>0</v>
      </c>
      <c r="L484" s="15">
        <v>0</v>
      </c>
      <c r="M484" s="15">
        <v>0</v>
      </c>
      <c r="N484" s="15">
        <f>J484-K484-L484-M484-O484</f>
        <v>4579236</v>
      </c>
      <c r="O484" s="15">
        <v>0</v>
      </c>
      <c r="P484" s="15">
        <f>J484/H484</f>
        <v>1312.14</v>
      </c>
      <c r="Q484" s="15">
        <f>'Форма 2'!K1837</f>
        <v>1312.14</v>
      </c>
      <c r="R484" s="351" t="s">
        <v>379</v>
      </c>
      <c r="S484" s="153">
        <v>1</v>
      </c>
    </row>
    <row r="485" spans="1:19" s="41" customFormat="1" ht="15" customHeight="1" x14ac:dyDescent="0.25">
      <c r="A485" s="126">
        <f>A484+1</f>
        <v>87</v>
      </c>
      <c r="B485" s="126">
        <v>3403</v>
      </c>
      <c r="C485" s="124" t="s">
        <v>614</v>
      </c>
      <c r="D485" s="134">
        <v>1940</v>
      </c>
      <c r="E485" s="134" t="s">
        <v>95</v>
      </c>
      <c r="F485" s="134" t="s">
        <v>82</v>
      </c>
      <c r="G485" s="15">
        <v>902.03</v>
      </c>
      <c r="H485" s="15">
        <v>812.03</v>
      </c>
      <c r="I485" s="10">
        <v>31</v>
      </c>
      <c r="J485" s="15">
        <f>'Форма 2'!I1842</f>
        <v>293954.86</v>
      </c>
      <c r="K485" s="15">
        <v>0</v>
      </c>
      <c r="L485" s="15">
        <v>0</v>
      </c>
      <c r="M485" s="15">
        <v>0</v>
      </c>
      <c r="N485" s="15">
        <f t="shared" si="137"/>
        <v>293954.86</v>
      </c>
      <c r="O485" s="15">
        <v>0</v>
      </c>
      <c r="P485" s="15">
        <f t="shared" si="138"/>
        <v>362</v>
      </c>
      <c r="Q485" s="15">
        <f>'Форма 2'!K1842</f>
        <v>362</v>
      </c>
      <c r="R485" s="351" t="s">
        <v>379</v>
      </c>
      <c r="S485" s="153">
        <v>1</v>
      </c>
    </row>
    <row r="486" spans="1:19" s="41" customFormat="1" ht="15" customHeight="1" x14ac:dyDescent="0.25">
      <c r="A486" s="126">
        <f t="shared" si="139"/>
        <v>88</v>
      </c>
      <c r="B486" s="126">
        <v>3404</v>
      </c>
      <c r="C486" s="124" t="s">
        <v>615</v>
      </c>
      <c r="D486" s="134">
        <v>1951</v>
      </c>
      <c r="E486" s="134" t="s">
        <v>95</v>
      </c>
      <c r="F486" s="134" t="s">
        <v>82</v>
      </c>
      <c r="G486" s="15">
        <v>1279.28</v>
      </c>
      <c r="H486" s="15">
        <v>1165.78</v>
      </c>
      <c r="I486" s="10">
        <v>52</v>
      </c>
      <c r="J486" s="15">
        <f>'Форма 2'!I1845</f>
        <v>422012.36</v>
      </c>
      <c r="K486" s="15">
        <v>0</v>
      </c>
      <c r="L486" s="15">
        <v>0</v>
      </c>
      <c r="M486" s="15">
        <v>0</v>
      </c>
      <c r="N486" s="15">
        <f t="shared" si="137"/>
        <v>422012.36</v>
      </c>
      <c r="O486" s="15">
        <v>0</v>
      </c>
      <c r="P486" s="15">
        <f t="shared" si="138"/>
        <v>362</v>
      </c>
      <c r="Q486" s="15">
        <f>'Форма 2'!K1845</f>
        <v>362</v>
      </c>
      <c r="R486" s="351" t="s">
        <v>379</v>
      </c>
      <c r="S486" s="153">
        <v>1</v>
      </c>
    </row>
    <row r="487" spans="1:19" s="41" customFormat="1" ht="15" customHeight="1" x14ac:dyDescent="0.25">
      <c r="A487" s="126">
        <f t="shared" si="139"/>
        <v>89</v>
      </c>
      <c r="B487" s="126">
        <v>3406</v>
      </c>
      <c r="C487" s="124" t="s">
        <v>547</v>
      </c>
      <c r="D487" s="134">
        <v>1956</v>
      </c>
      <c r="E487" s="134" t="s">
        <v>95</v>
      </c>
      <c r="F487" s="134" t="s">
        <v>81</v>
      </c>
      <c r="G487" s="15">
        <v>1344.96</v>
      </c>
      <c r="H487" s="15">
        <v>1229.96</v>
      </c>
      <c r="I487" s="10">
        <v>46</v>
      </c>
      <c r="J487" s="15">
        <f>'Форма 2'!I1848</f>
        <v>57808.12</v>
      </c>
      <c r="K487" s="15">
        <v>0</v>
      </c>
      <c r="L487" s="15">
        <v>0</v>
      </c>
      <c r="M487" s="15">
        <v>0</v>
      </c>
      <c r="N487" s="15">
        <f t="shared" si="137"/>
        <v>57808.12</v>
      </c>
      <c r="O487" s="15">
        <v>0</v>
      </c>
      <c r="P487" s="15">
        <f t="shared" si="138"/>
        <v>47</v>
      </c>
      <c r="Q487" s="15">
        <f>'Форма 2'!K1848</f>
        <v>47</v>
      </c>
      <c r="R487" s="351" t="s">
        <v>379</v>
      </c>
      <c r="S487" s="153">
        <v>1</v>
      </c>
    </row>
    <row r="488" spans="1:19" s="41" customFormat="1" ht="15" customHeight="1" x14ac:dyDescent="0.25">
      <c r="A488" s="126">
        <f t="shared" si="139"/>
        <v>90</v>
      </c>
      <c r="B488" s="126">
        <v>3407</v>
      </c>
      <c r="C488" s="124" t="s">
        <v>663</v>
      </c>
      <c r="D488" s="134">
        <v>1957</v>
      </c>
      <c r="E488" s="134" t="s">
        <v>95</v>
      </c>
      <c r="F488" s="134" t="s">
        <v>81</v>
      </c>
      <c r="G488" s="15">
        <v>2119.12</v>
      </c>
      <c r="H488" s="15">
        <v>2004.12</v>
      </c>
      <c r="I488" s="10">
        <v>76</v>
      </c>
      <c r="J488" s="15">
        <f>'Форма 2'!I1850</f>
        <v>94193.64</v>
      </c>
      <c r="K488" s="15">
        <v>0</v>
      </c>
      <c r="L488" s="15">
        <v>0</v>
      </c>
      <c r="M488" s="15">
        <v>0</v>
      </c>
      <c r="N488" s="15">
        <f t="shared" si="137"/>
        <v>94193.64</v>
      </c>
      <c r="O488" s="15">
        <v>0</v>
      </c>
      <c r="P488" s="15">
        <f t="shared" si="138"/>
        <v>47</v>
      </c>
      <c r="Q488" s="15">
        <f>'Форма 2'!K1850</f>
        <v>47</v>
      </c>
      <c r="R488" s="351" t="s">
        <v>379</v>
      </c>
      <c r="S488" s="153">
        <v>1</v>
      </c>
    </row>
    <row r="489" spans="1:19" s="41" customFormat="1" ht="15" customHeight="1" x14ac:dyDescent="0.25">
      <c r="A489" s="126">
        <f t="shared" si="139"/>
        <v>91</v>
      </c>
      <c r="B489" s="126">
        <v>3408</v>
      </c>
      <c r="C489" s="124" t="s">
        <v>664</v>
      </c>
      <c r="D489" s="134">
        <v>1959</v>
      </c>
      <c r="E489" s="134" t="s">
        <v>95</v>
      </c>
      <c r="F489" s="134" t="s">
        <v>81</v>
      </c>
      <c r="G489" s="15">
        <v>3389.51</v>
      </c>
      <c r="H489" s="15">
        <v>3143.51</v>
      </c>
      <c r="I489" s="10">
        <v>119</v>
      </c>
      <c r="J489" s="15">
        <f>'Форма 2'!I1852</f>
        <v>75444.240000000005</v>
      </c>
      <c r="K489" s="15">
        <v>0</v>
      </c>
      <c r="L489" s="15">
        <v>0</v>
      </c>
      <c r="M489" s="15">
        <v>0</v>
      </c>
      <c r="N489" s="15">
        <f t="shared" si="137"/>
        <v>75444.240000000005</v>
      </c>
      <c r="O489" s="15">
        <v>0</v>
      </c>
      <c r="P489" s="15">
        <f t="shared" si="138"/>
        <v>24</v>
      </c>
      <c r="Q489" s="15">
        <f>'Форма 2'!K1852</f>
        <v>24</v>
      </c>
      <c r="R489" s="351" t="s">
        <v>379</v>
      </c>
      <c r="S489" s="153">
        <v>1</v>
      </c>
    </row>
    <row r="490" spans="1:19" s="41" customFormat="1" ht="15" customHeight="1" x14ac:dyDescent="0.25">
      <c r="A490" s="126">
        <f t="shared" si="139"/>
        <v>92</v>
      </c>
      <c r="B490" s="126">
        <v>3409</v>
      </c>
      <c r="C490" s="124" t="s">
        <v>616</v>
      </c>
      <c r="D490" s="134">
        <v>1939</v>
      </c>
      <c r="E490" s="134" t="s">
        <v>95</v>
      </c>
      <c r="F490" s="134" t="s">
        <v>82</v>
      </c>
      <c r="G490" s="15">
        <v>1900.24</v>
      </c>
      <c r="H490" s="15">
        <v>1702.64</v>
      </c>
      <c r="I490" s="10">
        <v>64</v>
      </c>
      <c r="J490" s="15">
        <f>'Форма 2'!I1854</f>
        <v>616355.68000000005</v>
      </c>
      <c r="K490" s="15">
        <v>0</v>
      </c>
      <c r="L490" s="15">
        <v>0</v>
      </c>
      <c r="M490" s="15">
        <v>0</v>
      </c>
      <c r="N490" s="15">
        <f t="shared" si="137"/>
        <v>616355.68000000005</v>
      </c>
      <c r="O490" s="15">
        <v>0</v>
      </c>
      <c r="P490" s="15">
        <f t="shared" si="138"/>
        <v>362</v>
      </c>
      <c r="Q490" s="15">
        <f>'Форма 2'!K1854</f>
        <v>362</v>
      </c>
      <c r="R490" s="351" t="s">
        <v>379</v>
      </c>
      <c r="S490" s="153">
        <v>1</v>
      </c>
    </row>
    <row r="491" spans="1:19" s="41" customFormat="1" ht="15" customHeight="1" x14ac:dyDescent="0.25">
      <c r="A491" s="126">
        <f t="shared" si="139"/>
        <v>93</v>
      </c>
      <c r="B491" s="126">
        <v>3410</v>
      </c>
      <c r="C491" s="124" t="s">
        <v>665</v>
      </c>
      <c r="D491" s="134">
        <v>1959</v>
      </c>
      <c r="E491" s="134" t="s">
        <v>95</v>
      </c>
      <c r="F491" s="134" t="s">
        <v>81</v>
      </c>
      <c r="G491" s="15">
        <v>3418.61</v>
      </c>
      <c r="H491" s="15">
        <v>3172.61</v>
      </c>
      <c r="I491" s="10">
        <v>138</v>
      </c>
      <c r="J491" s="15">
        <f>'Форма 2'!I1857</f>
        <v>76142.64</v>
      </c>
      <c r="K491" s="15">
        <v>0</v>
      </c>
      <c r="L491" s="15">
        <v>0</v>
      </c>
      <c r="M491" s="15">
        <v>0</v>
      </c>
      <c r="N491" s="15">
        <f t="shared" si="137"/>
        <v>76142.64</v>
      </c>
      <c r="O491" s="15">
        <v>0</v>
      </c>
      <c r="P491" s="15">
        <f t="shared" si="138"/>
        <v>24</v>
      </c>
      <c r="Q491" s="15">
        <f>'Форма 2'!K1857</f>
        <v>24</v>
      </c>
      <c r="R491" s="351" t="s">
        <v>379</v>
      </c>
      <c r="S491" s="153">
        <v>1</v>
      </c>
    </row>
    <row r="492" spans="1:19" s="41" customFormat="1" ht="15" customHeight="1" x14ac:dyDescent="0.25">
      <c r="A492" s="126">
        <f t="shared" si="139"/>
        <v>94</v>
      </c>
      <c r="B492" s="126">
        <v>3411</v>
      </c>
      <c r="C492" s="124" t="s">
        <v>617</v>
      </c>
      <c r="D492" s="134">
        <v>1939</v>
      </c>
      <c r="E492" s="134" t="s">
        <v>95</v>
      </c>
      <c r="F492" s="134" t="s">
        <v>82</v>
      </c>
      <c r="G492" s="15">
        <v>1840.09</v>
      </c>
      <c r="H492" s="15">
        <v>1642.49</v>
      </c>
      <c r="I492" s="10">
        <v>62</v>
      </c>
      <c r="J492" s="15">
        <f>'Форма 2'!I1859</f>
        <v>594581.38</v>
      </c>
      <c r="K492" s="15">
        <v>0</v>
      </c>
      <c r="L492" s="15">
        <v>0</v>
      </c>
      <c r="M492" s="15">
        <v>0</v>
      </c>
      <c r="N492" s="15">
        <f t="shared" si="137"/>
        <v>594581.38</v>
      </c>
      <c r="O492" s="15">
        <v>0</v>
      </c>
      <c r="P492" s="15">
        <f t="shared" si="138"/>
        <v>362</v>
      </c>
      <c r="Q492" s="15">
        <f>'Форма 2'!K1859</f>
        <v>362</v>
      </c>
      <c r="R492" s="351" t="s">
        <v>379</v>
      </c>
      <c r="S492" s="153">
        <v>1</v>
      </c>
    </row>
    <row r="493" spans="1:19" s="41" customFormat="1" ht="15" customHeight="1" x14ac:dyDescent="0.25">
      <c r="A493" s="126">
        <f t="shared" si="139"/>
        <v>95</v>
      </c>
      <c r="B493" s="126">
        <v>3413</v>
      </c>
      <c r="C493" s="124" t="s">
        <v>666</v>
      </c>
      <c r="D493" s="134">
        <v>1917</v>
      </c>
      <c r="E493" s="134" t="s">
        <v>95</v>
      </c>
      <c r="F493" s="134" t="s">
        <v>81</v>
      </c>
      <c r="G493" s="15">
        <v>1289.3800000000001</v>
      </c>
      <c r="H493" s="15">
        <v>1249.18</v>
      </c>
      <c r="I493" s="10">
        <v>47</v>
      </c>
      <c r="J493" s="15">
        <f>'Форма 2'!I1862</f>
        <v>58711.46</v>
      </c>
      <c r="K493" s="15">
        <v>0</v>
      </c>
      <c r="L493" s="15">
        <v>0</v>
      </c>
      <c r="M493" s="15">
        <v>0</v>
      </c>
      <c r="N493" s="15">
        <f t="shared" si="137"/>
        <v>58711.46</v>
      </c>
      <c r="O493" s="15">
        <v>0</v>
      </c>
      <c r="P493" s="15">
        <f t="shared" si="138"/>
        <v>47</v>
      </c>
      <c r="Q493" s="15">
        <f>'Форма 2'!K1862</f>
        <v>47</v>
      </c>
      <c r="R493" s="351" t="s">
        <v>379</v>
      </c>
      <c r="S493" s="153">
        <v>1</v>
      </c>
    </row>
    <row r="494" spans="1:19" s="41" customFormat="1" ht="15" customHeight="1" x14ac:dyDescent="0.25">
      <c r="A494" s="126">
        <f t="shared" si="139"/>
        <v>96</v>
      </c>
      <c r="B494" s="126">
        <v>4365</v>
      </c>
      <c r="C494" s="124" t="s">
        <v>667</v>
      </c>
      <c r="D494" s="134">
        <v>1904</v>
      </c>
      <c r="E494" s="134" t="s">
        <v>95</v>
      </c>
      <c r="F494" s="134" t="s">
        <v>81</v>
      </c>
      <c r="G494" s="15">
        <v>1569</v>
      </c>
      <c r="H494" s="15">
        <v>1319.4</v>
      </c>
      <c r="I494" s="10">
        <v>51</v>
      </c>
      <c r="J494" s="15">
        <f>'Форма 2'!I1864</f>
        <v>62011.8</v>
      </c>
      <c r="K494" s="15">
        <v>0</v>
      </c>
      <c r="L494" s="15">
        <v>0</v>
      </c>
      <c r="M494" s="15">
        <v>0</v>
      </c>
      <c r="N494" s="15">
        <f t="shared" si="137"/>
        <v>62011.8</v>
      </c>
      <c r="O494" s="15">
        <v>0</v>
      </c>
      <c r="P494" s="15">
        <f t="shared" si="138"/>
        <v>47</v>
      </c>
      <c r="Q494" s="15">
        <f>'Форма 2'!K1864</f>
        <v>47</v>
      </c>
      <c r="R494" s="351" t="s">
        <v>379</v>
      </c>
      <c r="S494" s="153">
        <v>1</v>
      </c>
    </row>
    <row r="495" spans="1:19" s="41" customFormat="1" ht="15" customHeight="1" x14ac:dyDescent="0.25">
      <c r="A495" s="126">
        <f t="shared" si="139"/>
        <v>97</v>
      </c>
      <c r="B495" s="126">
        <v>3414</v>
      </c>
      <c r="C495" s="124" t="s">
        <v>668</v>
      </c>
      <c r="D495" s="134">
        <v>1917</v>
      </c>
      <c r="E495" s="134" t="s">
        <v>95</v>
      </c>
      <c r="F495" s="134" t="s">
        <v>81</v>
      </c>
      <c r="G495" s="15">
        <v>959.11</v>
      </c>
      <c r="H495" s="15">
        <v>905.11</v>
      </c>
      <c r="I495" s="10">
        <v>34</v>
      </c>
      <c r="J495" s="15">
        <f>'Форма 2'!I1866</f>
        <v>66073.03</v>
      </c>
      <c r="K495" s="15">
        <v>0</v>
      </c>
      <c r="L495" s="15">
        <v>0</v>
      </c>
      <c r="M495" s="15">
        <v>0</v>
      </c>
      <c r="N495" s="15">
        <f t="shared" si="137"/>
        <v>66073.03</v>
      </c>
      <c r="O495" s="15">
        <v>0</v>
      </c>
      <c r="P495" s="15">
        <f t="shared" si="138"/>
        <v>73</v>
      </c>
      <c r="Q495" s="15">
        <f>'Форма 2'!K1866</f>
        <v>73</v>
      </c>
      <c r="R495" s="351" t="s">
        <v>379</v>
      </c>
      <c r="S495" s="153">
        <v>1</v>
      </c>
    </row>
    <row r="496" spans="1:19" s="41" customFormat="1" ht="15" customHeight="1" x14ac:dyDescent="0.25">
      <c r="A496" s="126">
        <f t="shared" si="139"/>
        <v>98</v>
      </c>
      <c r="B496" s="126">
        <v>3415</v>
      </c>
      <c r="C496" s="124" t="s">
        <v>669</v>
      </c>
      <c r="D496" s="134">
        <v>1917</v>
      </c>
      <c r="E496" s="134" t="s">
        <v>95</v>
      </c>
      <c r="F496" s="134" t="s">
        <v>81</v>
      </c>
      <c r="G496" s="15">
        <v>721.9</v>
      </c>
      <c r="H496" s="15">
        <v>667.9</v>
      </c>
      <c r="I496" s="10">
        <v>25</v>
      </c>
      <c r="J496" s="15">
        <f>'Форма 2'!I1868</f>
        <v>48756.7</v>
      </c>
      <c r="K496" s="15">
        <v>0</v>
      </c>
      <c r="L496" s="15">
        <v>0</v>
      </c>
      <c r="M496" s="15">
        <v>0</v>
      </c>
      <c r="N496" s="15">
        <f t="shared" si="137"/>
        <v>48756.7</v>
      </c>
      <c r="O496" s="15">
        <v>0</v>
      </c>
      <c r="P496" s="15">
        <f t="shared" si="138"/>
        <v>73</v>
      </c>
      <c r="Q496" s="15">
        <f>'Форма 2'!K1868</f>
        <v>73</v>
      </c>
      <c r="R496" s="351" t="s">
        <v>379</v>
      </c>
      <c r="S496" s="153">
        <v>1</v>
      </c>
    </row>
    <row r="497" spans="1:19" s="41" customFormat="1" ht="15" customHeight="1" x14ac:dyDescent="0.25">
      <c r="A497" s="126">
        <f t="shared" si="139"/>
        <v>99</v>
      </c>
      <c r="B497" s="126">
        <v>3416</v>
      </c>
      <c r="C497" s="124" t="s">
        <v>497</v>
      </c>
      <c r="D497" s="134">
        <v>1917</v>
      </c>
      <c r="E497" s="134" t="s">
        <v>95</v>
      </c>
      <c r="F497" s="134" t="s">
        <v>81</v>
      </c>
      <c r="G497" s="15">
        <v>941</v>
      </c>
      <c r="H497" s="15">
        <v>887</v>
      </c>
      <c r="I497" s="10">
        <v>34</v>
      </c>
      <c r="J497" s="15">
        <f>'Форма 2'!I1870</f>
        <v>64751</v>
      </c>
      <c r="K497" s="15">
        <v>0</v>
      </c>
      <c r="L497" s="15">
        <v>0</v>
      </c>
      <c r="M497" s="15">
        <v>0</v>
      </c>
      <c r="N497" s="15">
        <f t="shared" si="137"/>
        <v>64751</v>
      </c>
      <c r="O497" s="15">
        <v>0</v>
      </c>
      <c r="P497" s="15">
        <f t="shared" si="138"/>
        <v>73</v>
      </c>
      <c r="Q497" s="15">
        <f>'Форма 2'!K1870</f>
        <v>73</v>
      </c>
      <c r="R497" s="351" t="s">
        <v>379</v>
      </c>
      <c r="S497" s="153">
        <v>1</v>
      </c>
    </row>
    <row r="498" spans="1:19" s="41" customFormat="1" ht="15" customHeight="1" x14ac:dyDescent="0.25">
      <c r="A498" s="126">
        <f t="shared" si="139"/>
        <v>100</v>
      </c>
      <c r="B498" s="126">
        <v>3417</v>
      </c>
      <c r="C498" s="124" t="s">
        <v>498</v>
      </c>
      <c r="D498" s="134">
        <v>1917</v>
      </c>
      <c r="E498" s="134" t="s">
        <v>95</v>
      </c>
      <c r="F498" s="134" t="s">
        <v>81</v>
      </c>
      <c r="G498" s="15">
        <v>975.5</v>
      </c>
      <c r="H498" s="15">
        <v>921.5</v>
      </c>
      <c r="I498" s="10">
        <v>35</v>
      </c>
      <c r="J498" s="15">
        <f>'Форма 2'!I1872</f>
        <v>67269.5</v>
      </c>
      <c r="K498" s="15">
        <v>0</v>
      </c>
      <c r="L498" s="15">
        <v>0</v>
      </c>
      <c r="M498" s="15">
        <v>0</v>
      </c>
      <c r="N498" s="15">
        <f t="shared" si="137"/>
        <v>67269.5</v>
      </c>
      <c r="O498" s="15">
        <v>0</v>
      </c>
      <c r="P498" s="15">
        <f t="shared" si="138"/>
        <v>73</v>
      </c>
      <c r="Q498" s="15">
        <f>'Форма 2'!K1872</f>
        <v>73</v>
      </c>
      <c r="R498" s="351" t="s">
        <v>379</v>
      </c>
      <c r="S498" s="153">
        <v>1</v>
      </c>
    </row>
    <row r="499" spans="1:19" s="41" customFormat="1" ht="15" customHeight="1" x14ac:dyDescent="0.25">
      <c r="A499" s="126">
        <f t="shared" si="139"/>
        <v>101</v>
      </c>
      <c r="B499" s="126">
        <v>4314</v>
      </c>
      <c r="C499" s="124" t="s">
        <v>618</v>
      </c>
      <c r="D499" s="134">
        <v>1995</v>
      </c>
      <c r="E499" s="134" t="s">
        <v>86</v>
      </c>
      <c r="F499" s="134" t="s">
        <v>82</v>
      </c>
      <c r="G499" s="15">
        <v>5431.51</v>
      </c>
      <c r="H499" s="15">
        <v>4047.51</v>
      </c>
      <c r="I499" s="10">
        <v>182</v>
      </c>
      <c r="J499" s="15">
        <f>'Форма 2'!I1874</f>
        <v>2289618</v>
      </c>
      <c r="K499" s="15">
        <v>0</v>
      </c>
      <c r="L499" s="15">
        <v>0</v>
      </c>
      <c r="M499" s="15">
        <v>0</v>
      </c>
      <c r="N499" s="15">
        <f>J499-K499-L499-M499-O499</f>
        <v>2289618</v>
      </c>
      <c r="O499" s="15">
        <v>0</v>
      </c>
      <c r="P499" s="15">
        <f>J499/H499</f>
        <v>565.69000000000005</v>
      </c>
      <c r="Q499" s="15">
        <f>'Форма 2'!K1874</f>
        <v>565.67999999999995</v>
      </c>
      <c r="R499" s="351" t="s">
        <v>379</v>
      </c>
      <c r="S499" s="153">
        <v>1</v>
      </c>
    </row>
    <row r="500" spans="1:19" s="41" customFormat="1" ht="15" customHeight="1" x14ac:dyDescent="0.25">
      <c r="A500" s="126">
        <f>A499+1</f>
        <v>102</v>
      </c>
      <c r="B500" s="126">
        <v>4105</v>
      </c>
      <c r="C500" s="124" t="s">
        <v>619</v>
      </c>
      <c r="D500" s="134">
        <v>1994</v>
      </c>
      <c r="E500" s="134" t="s">
        <v>86</v>
      </c>
      <c r="F500" s="134" t="s">
        <v>82</v>
      </c>
      <c r="G500" s="15">
        <v>5022.7</v>
      </c>
      <c r="H500" s="15">
        <v>4424.8999999999996</v>
      </c>
      <c r="I500" s="10">
        <v>167</v>
      </c>
      <c r="J500" s="15">
        <f>'Форма 2'!I1877</f>
        <v>2511373</v>
      </c>
      <c r="K500" s="15">
        <v>0</v>
      </c>
      <c r="L500" s="15">
        <v>0</v>
      </c>
      <c r="M500" s="15">
        <v>0</v>
      </c>
      <c r="N500" s="15">
        <f>J500-K500-L500-M500-O500</f>
        <v>2511373</v>
      </c>
      <c r="O500" s="15">
        <v>0</v>
      </c>
      <c r="P500" s="15">
        <f>J500/H500</f>
        <v>567.54999999999995</v>
      </c>
      <c r="Q500" s="15">
        <f>'Форма 2'!K1877</f>
        <v>567.54999999999995</v>
      </c>
      <c r="R500" s="351" t="s">
        <v>379</v>
      </c>
      <c r="S500" s="153">
        <v>1</v>
      </c>
    </row>
    <row r="501" spans="1:19" s="41" customFormat="1" ht="15.75" customHeight="1" x14ac:dyDescent="0.25">
      <c r="A501" s="126">
        <f>A500+1</f>
        <v>103</v>
      </c>
      <c r="B501" s="126">
        <v>8156</v>
      </c>
      <c r="C501" s="142" t="s">
        <v>215</v>
      </c>
      <c r="D501" s="134">
        <v>1983</v>
      </c>
      <c r="E501" s="134" t="s">
        <v>68</v>
      </c>
      <c r="F501" s="134" t="s">
        <v>82</v>
      </c>
      <c r="G501" s="15">
        <v>4327.3999999999996</v>
      </c>
      <c r="H501" s="15">
        <v>3902.7</v>
      </c>
      <c r="I501" s="10">
        <v>148</v>
      </c>
      <c r="J501" s="15">
        <f>'Форма 2'!I1880</f>
        <v>11610964.23</v>
      </c>
      <c r="K501" s="15">
        <v>0</v>
      </c>
      <c r="L501" s="15">
        <v>0</v>
      </c>
      <c r="M501" s="15">
        <v>0</v>
      </c>
      <c r="N501" s="15">
        <f t="shared" si="137"/>
        <v>11610964.23</v>
      </c>
      <c r="O501" s="15">
        <v>0</v>
      </c>
      <c r="P501" s="15">
        <f t="shared" si="138"/>
        <v>2975.11</v>
      </c>
      <c r="Q501" s="15">
        <f>'Форма 2'!K1880</f>
        <v>3878</v>
      </c>
      <c r="R501" s="351" t="s">
        <v>379</v>
      </c>
      <c r="S501" s="153">
        <v>1</v>
      </c>
    </row>
    <row r="502" spans="1:19" s="41" customFormat="1" ht="15.75" customHeight="1" x14ac:dyDescent="0.25">
      <c r="A502" s="126">
        <f t="shared" si="139"/>
        <v>104</v>
      </c>
      <c r="B502" s="126">
        <v>3438</v>
      </c>
      <c r="C502" s="142" t="s">
        <v>216</v>
      </c>
      <c r="D502" s="134">
        <v>1980</v>
      </c>
      <c r="E502" s="134" t="s">
        <v>68</v>
      </c>
      <c r="F502" s="134" t="s">
        <v>82</v>
      </c>
      <c r="G502" s="15">
        <v>11134.22</v>
      </c>
      <c r="H502" s="15">
        <v>10071.02</v>
      </c>
      <c r="I502" s="10">
        <v>380</v>
      </c>
      <c r="J502" s="15">
        <f>'Форма 2'!I1883</f>
        <v>18517782.129999999</v>
      </c>
      <c r="K502" s="15">
        <v>0</v>
      </c>
      <c r="L502" s="15">
        <v>0</v>
      </c>
      <c r="M502" s="15">
        <v>0</v>
      </c>
      <c r="N502" s="15">
        <f t="shared" si="137"/>
        <v>18517782.129999999</v>
      </c>
      <c r="O502" s="15">
        <v>0</v>
      </c>
      <c r="P502" s="15">
        <f t="shared" si="138"/>
        <v>1838.72</v>
      </c>
      <c r="Q502" s="15">
        <f>'Форма 2'!K1883</f>
        <v>2492</v>
      </c>
      <c r="R502" s="351" t="s">
        <v>379</v>
      </c>
      <c r="S502" s="153">
        <v>1</v>
      </c>
    </row>
    <row r="503" spans="1:19" s="41" customFormat="1" ht="15" customHeight="1" x14ac:dyDescent="0.25">
      <c r="A503" s="126">
        <f t="shared" si="139"/>
        <v>105</v>
      </c>
      <c r="B503" s="126">
        <v>4256</v>
      </c>
      <c r="C503" s="124" t="s">
        <v>670</v>
      </c>
      <c r="D503" s="134" t="s">
        <v>681</v>
      </c>
      <c r="E503" s="134" t="s">
        <v>86</v>
      </c>
      <c r="F503" s="134" t="s">
        <v>81</v>
      </c>
      <c r="G503" s="15">
        <v>5910.2</v>
      </c>
      <c r="H503" s="15">
        <v>5120</v>
      </c>
      <c r="I503" s="10">
        <v>193</v>
      </c>
      <c r="J503" s="15">
        <f>'Форма 2'!I1886</f>
        <v>32281</v>
      </c>
      <c r="K503" s="15">
        <v>0</v>
      </c>
      <c r="L503" s="15">
        <v>0</v>
      </c>
      <c r="M503" s="15">
        <v>0</v>
      </c>
      <c r="N503" s="15">
        <f t="shared" si="137"/>
        <v>32281</v>
      </c>
      <c r="O503" s="15">
        <v>0</v>
      </c>
      <c r="P503" s="15">
        <f t="shared" si="138"/>
        <v>6.3</v>
      </c>
      <c r="Q503" s="15">
        <f>'Форма 2'!K1886</f>
        <v>6.3</v>
      </c>
      <c r="R503" s="351" t="s">
        <v>379</v>
      </c>
      <c r="S503" s="153">
        <v>1</v>
      </c>
    </row>
    <row r="504" spans="1:19" s="41" customFormat="1" ht="15.75" customHeight="1" x14ac:dyDescent="0.25">
      <c r="A504" s="126">
        <f t="shared" si="139"/>
        <v>106</v>
      </c>
      <c r="B504" s="126">
        <v>3423</v>
      </c>
      <c r="C504" s="142" t="s">
        <v>378</v>
      </c>
      <c r="D504" s="134">
        <v>1997</v>
      </c>
      <c r="E504" s="134" t="s">
        <v>68</v>
      </c>
      <c r="F504" s="134" t="s">
        <v>81</v>
      </c>
      <c r="G504" s="15">
        <v>3867.81</v>
      </c>
      <c r="H504" s="15">
        <v>3421.41</v>
      </c>
      <c r="I504" s="10">
        <v>129</v>
      </c>
      <c r="J504" s="15">
        <f>'Форма 2'!I1888</f>
        <v>522363.77</v>
      </c>
      <c r="K504" s="15">
        <v>0</v>
      </c>
      <c r="L504" s="15">
        <v>0</v>
      </c>
      <c r="M504" s="15">
        <v>0</v>
      </c>
      <c r="N504" s="15">
        <f t="shared" si="137"/>
        <v>522363.77</v>
      </c>
      <c r="O504" s="15">
        <v>0</v>
      </c>
      <c r="P504" s="15">
        <f t="shared" si="138"/>
        <v>152.66999999999999</v>
      </c>
      <c r="Q504" s="15">
        <f>'Форма 2'!K1888</f>
        <v>164</v>
      </c>
      <c r="R504" s="351" t="s">
        <v>379</v>
      </c>
      <c r="S504" s="153">
        <v>1</v>
      </c>
    </row>
    <row r="505" spans="1:19" s="41" customFormat="1" ht="15.75" customHeight="1" x14ac:dyDescent="0.25">
      <c r="A505" s="184" t="s">
        <v>111</v>
      </c>
      <c r="B505" s="184"/>
      <c r="C505" s="184"/>
      <c r="D505" s="134" t="s">
        <v>13</v>
      </c>
      <c r="E505" s="126" t="s">
        <v>13</v>
      </c>
      <c r="F505" s="126" t="s">
        <v>13</v>
      </c>
      <c r="G505" s="15">
        <f t="shared" ref="G505:O505" si="140">SUM(G506:G536)</f>
        <v>233858.86</v>
      </c>
      <c r="H505" s="15">
        <f t="shared" si="140"/>
        <v>189664.07</v>
      </c>
      <c r="I505" s="10">
        <f t="shared" si="140"/>
        <v>7594</v>
      </c>
      <c r="J505" s="15">
        <f t="shared" si="140"/>
        <v>227348646.33000001</v>
      </c>
      <c r="K505" s="15">
        <f t="shared" si="140"/>
        <v>0</v>
      </c>
      <c r="L505" s="15">
        <f t="shared" si="140"/>
        <v>0</v>
      </c>
      <c r="M505" s="15">
        <f t="shared" si="140"/>
        <v>0</v>
      </c>
      <c r="N505" s="15">
        <f t="shared" si="140"/>
        <v>227348646.33000001</v>
      </c>
      <c r="O505" s="15">
        <f t="shared" si="140"/>
        <v>0</v>
      </c>
      <c r="P505" s="126" t="s">
        <v>13</v>
      </c>
      <c r="Q505" s="126" t="s">
        <v>13</v>
      </c>
      <c r="R505" s="126" t="s">
        <v>13</v>
      </c>
      <c r="S505" s="126" t="s">
        <v>13</v>
      </c>
    </row>
    <row r="506" spans="1:19" s="41" customFormat="1" ht="15" customHeight="1" x14ac:dyDescent="0.25">
      <c r="A506" s="126">
        <f>A504+1</f>
        <v>107</v>
      </c>
      <c r="B506" s="126">
        <v>2292</v>
      </c>
      <c r="C506" s="124" t="s">
        <v>671</v>
      </c>
      <c r="D506" s="134">
        <v>1993</v>
      </c>
      <c r="E506" s="134" t="s">
        <v>68</v>
      </c>
      <c r="F506" s="134" t="s">
        <v>81</v>
      </c>
      <c r="G506" s="15">
        <v>2801.2</v>
      </c>
      <c r="H506" s="15">
        <v>2567.1999999999998</v>
      </c>
      <c r="I506" s="10">
        <v>97</v>
      </c>
      <c r="J506" s="15">
        <f>'Форма 2'!I1890</f>
        <v>433856.8</v>
      </c>
      <c r="K506" s="15">
        <v>0</v>
      </c>
      <c r="L506" s="15">
        <v>0</v>
      </c>
      <c r="M506" s="15">
        <v>0</v>
      </c>
      <c r="N506" s="15">
        <f t="shared" ref="N506" si="141">J506-K506-L506-M506-O506</f>
        <v>433856.8</v>
      </c>
      <c r="O506" s="15">
        <v>0</v>
      </c>
      <c r="P506" s="15">
        <f t="shared" ref="P506" si="142">J506/H506</f>
        <v>169</v>
      </c>
      <c r="Q506" s="15">
        <f>'Форма 2'!K1890</f>
        <v>169</v>
      </c>
      <c r="R506" s="351" t="s">
        <v>379</v>
      </c>
      <c r="S506" s="153">
        <v>1</v>
      </c>
    </row>
    <row r="507" spans="1:19" s="41" customFormat="1" ht="15.75" customHeight="1" x14ac:dyDescent="0.25">
      <c r="A507" s="126">
        <f>A506+1</f>
        <v>108</v>
      </c>
      <c r="B507" s="126">
        <v>2466</v>
      </c>
      <c r="C507" s="142" t="s">
        <v>557</v>
      </c>
      <c r="D507" s="134">
        <v>1966</v>
      </c>
      <c r="E507" s="134" t="s">
        <v>95</v>
      </c>
      <c r="F507" s="134" t="s">
        <v>82</v>
      </c>
      <c r="G507" s="15">
        <v>3317.9</v>
      </c>
      <c r="H507" s="15">
        <v>2570.9</v>
      </c>
      <c r="I507" s="10">
        <v>94</v>
      </c>
      <c r="J507" s="15">
        <f>'Форма 2'!I1892</f>
        <v>930665.8</v>
      </c>
      <c r="K507" s="15">
        <v>0</v>
      </c>
      <c r="L507" s="15">
        <v>0</v>
      </c>
      <c r="M507" s="15">
        <v>0</v>
      </c>
      <c r="N507" s="15">
        <f>J507-K507-L507-M507-O507</f>
        <v>930665.8</v>
      </c>
      <c r="O507" s="15">
        <v>0</v>
      </c>
      <c r="P507" s="15">
        <f>J507/H507</f>
        <v>362</v>
      </c>
      <c r="Q507" s="15">
        <f>'Форма 2'!K1892</f>
        <v>362</v>
      </c>
      <c r="R507" s="351" t="s">
        <v>379</v>
      </c>
      <c r="S507" s="153">
        <v>1</v>
      </c>
    </row>
    <row r="508" spans="1:19" s="41" customFormat="1" ht="15.75" customHeight="1" x14ac:dyDescent="0.25">
      <c r="A508" s="126">
        <f>A507+1</f>
        <v>109</v>
      </c>
      <c r="B508" s="126">
        <v>2255</v>
      </c>
      <c r="C508" s="124" t="s">
        <v>620</v>
      </c>
      <c r="D508" s="134">
        <v>1994</v>
      </c>
      <c r="E508" s="134" t="s">
        <v>86</v>
      </c>
      <c r="F508" s="134" t="s">
        <v>82</v>
      </c>
      <c r="G508" s="15">
        <v>5784</v>
      </c>
      <c r="H508" s="15">
        <v>4870</v>
      </c>
      <c r="I508" s="10">
        <v>184</v>
      </c>
      <c r="J508" s="15">
        <f>'Форма 2'!I1895</f>
        <v>4579236</v>
      </c>
      <c r="K508" s="15">
        <v>0</v>
      </c>
      <c r="L508" s="15">
        <v>0</v>
      </c>
      <c r="M508" s="15">
        <v>0</v>
      </c>
      <c r="N508" s="15">
        <f t="shared" ref="N508" si="143">J508-K508-L508-M508-O508</f>
        <v>4579236</v>
      </c>
      <c r="O508" s="15">
        <v>0</v>
      </c>
      <c r="P508" s="15">
        <f t="shared" ref="P508" si="144">J508/H508</f>
        <v>940.29</v>
      </c>
      <c r="Q508" s="15">
        <f>'Форма 2'!K1895</f>
        <v>940.29</v>
      </c>
      <c r="R508" s="351" t="s">
        <v>379</v>
      </c>
      <c r="S508" s="153">
        <v>1</v>
      </c>
    </row>
    <row r="509" spans="1:19" s="41" customFormat="1" ht="30" customHeight="1" x14ac:dyDescent="0.25">
      <c r="A509" s="126">
        <f>A508+1</f>
        <v>110</v>
      </c>
      <c r="B509" s="126">
        <v>2475</v>
      </c>
      <c r="C509" s="124" t="s">
        <v>672</v>
      </c>
      <c r="D509" s="134" t="s">
        <v>682</v>
      </c>
      <c r="E509" s="134" t="s">
        <v>86</v>
      </c>
      <c r="F509" s="134" t="s">
        <v>81</v>
      </c>
      <c r="G509" s="15">
        <v>20736.3</v>
      </c>
      <c r="H509" s="15">
        <v>16349</v>
      </c>
      <c r="I509" s="10">
        <v>604</v>
      </c>
      <c r="J509" s="15">
        <f>'Форма 2'!I1900</f>
        <v>96843</v>
      </c>
      <c r="K509" s="15">
        <v>0</v>
      </c>
      <c r="L509" s="15">
        <v>0</v>
      </c>
      <c r="M509" s="15">
        <v>0</v>
      </c>
      <c r="N509" s="15">
        <f t="shared" ref="N509:N511" si="145">J509-K509-L509-M509-O509</f>
        <v>96843</v>
      </c>
      <c r="O509" s="15">
        <v>0</v>
      </c>
      <c r="P509" s="15">
        <f t="shared" ref="P509:P511" si="146">J509/H509</f>
        <v>5.92</v>
      </c>
      <c r="Q509" s="15">
        <f>'Форма 2'!K1900</f>
        <v>5.92</v>
      </c>
      <c r="R509" s="351" t="s">
        <v>379</v>
      </c>
      <c r="S509" s="153">
        <v>1</v>
      </c>
    </row>
    <row r="510" spans="1:19" s="41" customFormat="1" ht="15" customHeight="1" x14ac:dyDescent="0.25">
      <c r="A510" s="126">
        <f t="shared" ref="A510:A536" si="147">A509+1</f>
        <v>111</v>
      </c>
      <c r="B510" s="126">
        <v>3048</v>
      </c>
      <c r="C510" s="124" t="s">
        <v>621</v>
      </c>
      <c r="D510" s="134">
        <v>1991</v>
      </c>
      <c r="E510" s="134" t="s">
        <v>86</v>
      </c>
      <c r="F510" s="134" t="s">
        <v>82</v>
      </c>
      <c r="G510" s="15">
        <v>12899.3</v>
      </c>
      <c r="H510" s="15">
        <v>11324.3</v>
      </c>
      <c r="I510" s="10">
        <v>436</v>
      </c>
      <c r="J510" s="15">
        <f>'Форма 2'!I1904</f>
        <v>4579236</v>
      </c>
      <c r="K510" s="15">
        <v>0</v>
      </c>
      <c r="L510" s="15">
        <v>0</v>
      </c>
      <c r="M510" s="15">
        <v>0</v>
      </c>
      <c r="N510" s="15">
        <f t="shared" si="145"/>
        <v>4579236</v>
      </c>
      <c r="O510" s="15">
        <v>0</v>
      </c>
      <c r="P510" s="15">
        <f t="shared" si="146"/>
        <v>404.37</v>
      </c>
      <c r="Q510" s="15">
        <f>'Форма 2'!K1904</f>
        <v>404.37</v>
      </c>
      <c r="R510" s="351" t="s">
        <v>379</v>
      </c>
      <c r="S510" s="153">
        <v>1</v>
      </c>
    </row>
    <row r="511" spans="1:19" s="41" customFormat="1" ht="15" customHeight="1" x14ac:dyDescent="0.25">
      <c r="A511" s="126">
        <f t="shared" si="147"/>
        <v>112</v>
      </c>
      <c r="B511" s="126">
        <v>2406</v>
      </c>
      <c r="C511" s="124" t="s">
        <v>622</v>
      </c>
      <c r="D511" s="134">
        <v>1994</v>
      </c>
      <c r="E511" s="134" t="s">
        <v>86</v>
      </c>
      <c r="F511" s="134" t="s">
        <v>82</v>
      </c>
      <c r="G511" s="15">
        <v>3084.6</v>
      </c>
      <c r="H511" s="15">
        <v>2388.21</v>
      </c>
      <c r="I511" s="10">
        <v>104</v>
      </c>
      <c r="J511" s="15">
        <f>'Форма 2'!I1909</f>
        <v>2289618</v>
      </c>
      <c r="K511" s="15">
        <v>0</v>
      </c>
      <c r="L511" s="15">
        <v>0</v>
      </c>
      <c r="M511" s="15">
        <v>0</v>
      </c>
      <c r="N511" s="15">
        <f t="shared" si="145"/>
        <v>2289618</v>
      </c>
      <c r="O511" s="15">
        <v>0</v>
      </c>
      <c r="P511" s="15">
        <f t="shared" si="146"/>
        <v>958.72</v>
      </c>
      <c r="Q511" s="15">
        <f>'Форма 2'!K1909</f>
        <v>958.72</v>
      </c>
      <c r="R511" s="351" t="s">
        <v>379</v>
      </c>
      <c r="S511" s="153">
        <v>1</v>
      </c>
    </row>
    <row r="512" spans="1:19" s="41" customFormat="1" ht="15.75" customHeight="1" x14ac:dyDescent="0.25">
      <c r="A512" s="126">
        <f t="shared" si="147"/>
        <v>113</v>
      </c>
      <c r="B512" s="126">
        <v>2235</v>
      </c>
      <c r="C512" s="142" t="s">
        <v>80</v>
      </c>
      <c r="D512" s="134">
        <v>1985</v>
      </c>
      <c r="E512" s="134" t="s">
        <v>112</v>
      </c>
      <c r="F512" s="134" t="s">
        <v>82</v>
      </c>
      <c r="G512" s="15">
        <v>4453.7</v>
      </c>
      <c r="H512" s="15">
        <v>4058.1</v>
      </c>
      <c r="I512" s="10">
        <v>131</v>
      </c>
      <c r="J512" s="15">
        <f>'Форма 2'!I1912</f>
        <v>23889155.219999999</v>
      </c>
      <c r="K512" s="15">
        <v>0</v>
      </c>
      <c r="L512" s="15">
        <v>0</v>
      </c>
      <c r="M512" s="15">
        <v>0</v>
      </c>
      <c r="N512" s="15">
        <f t="shared" ref="N512:N536" si="148">J512-K512-L512-M512-O512</f>
        <v>23889155.219999999</v>
      </c>
      <c r="O512" s="15">
        <v>0</v>
      </c>
      <c r="P512" s="15">
        <f t="shared" ref="P512:P536" si="149">J512/H512</f>
        <v>5886.78</v>
      </c>
      <c r="Q512" s="15">
        <f>'Форма 2'!K1912</f>
        <v>7631</v>
      </c>
      <c r="R512" s="351" t="s">
        <v>379</v>
      </c>
      <c r="S512" s="153">
        <v>1</v>
      </c>
    </row>
    <row r="513" spans="1:19" s="41" customFormat="1" ht="15.75" customHeight="1" x14ac:dyDescent="0.25">
      <c r="A513" s="126">
        <f t="shared" si="147"/>
        <v>114</v>
      </c>
      <c r="B513" s="126">
        <v>2411</v>
      </c>
      <c r="C513" s="142" t="s">
        <v>549</v>
      </c>
      <c r="D513" s="134">
        <v>1907</v>
      </c>
      <c r="E513" s="134" t="s">
        <v>484</v>
      </c>
      <c r="F513" s="134" t="s">
        <v>82</v>
      </c>
      <c r="G513" s="15">
        <v>991.1</v>
      </c>
      <c r="H513" s="15">
        <v>812.8</v>
      </c>
      <c r="I513" s="10">
        <v>49</v>
      </c>
      <c r="J513" s="15">
        <f>'Форма 2'!I1917</f>
        <v>4606950.4000000004</v>
      </c>
      <c r="K513" s="15">
        <v>0</v>
      </c>
      <c r="L513" s="15">
        <v>0</v>
      </c>
      <c r="M513" s="15">
        <v>0</v>
      </c>
      <c r="N513" s="15">
        <f>J513-K513-L513-M513-O513</f>
        <v>4606950.4000000004</v>
      </c>
      <c r="O513" s="15">
        <v>0</v>
      </c>
      <c r="P513" s="15">
        <f>J513/H513</f>
        <v>5668</v>
      </c>
      <c r="Q513" s="15">
        <f>'Форма 2'!K1917</f>
        <v>5668</v>
      </c>
      <c r="R513" s="351" t="s">
        <v>379</v>
      </c>
      <c r="S513" s="153">
        <v>1</v>
      </c>
    </row>
    <row r="514" spans="1:19" s="41" customFormat="1" ht="15.75" customHeight="1" x14ac:dyDescent="0.25">
      <c r="A514" s="126">
        <f t="shared" si="147"/>
        <v>115</v>
      </c>
      <c r="B514" s="126">
        <v>2237</v>
      </c>
      <c r="C514" s="142" t="s">
        <v>561</v>
      </c>
      <c r="D514" s="134">
        <v>1971</v>
      </c>
      <c r="E514" s="134" t="s">
        <v>95</v>
      </c>
      <c r="F514" s="134" t="s">
        <v>82</v>
      </c>
      <c r="G514" s="15">
        <v>3617.3</v>
      </c>
      <c r="H514" s="15">
        <v>3373.3</v>
      </c>
      <c r="I514" s="10">
        <v>132</v>
      </c>
      <c r="J514" s="15">
        <f>'Форма 2'!I1920</f>
        <v>1372933.1</v>
      </c>
      <c r="K514" s="15">
        <v>0</v>
      </c>
      <c r="L514" s="15">
        <v>0</v>
      </c>
      <c r="M514" s="15">
        <v>0</v>
      </c>
      <c r="N514" s="15">
        <f>J514-K514-L514-M514-O514</f>
        <v>1372933.1</v>
      </c>
      <c r="O514" s="15">
        <v>0</v>
      </c>
      <c r="P514" s="15">
        <f>J514/H514</f>
        <v>407</v>
      </c>
      <c r="Q514" s="15">
        <f>'Форма 2'!K1920</f>
        <v>407</v>
      </c>
      <c r="R514" s="351" t="s">
        <v>379</v>
      </c>
      <c r="S514" s="153">
        <v>1</v>
      </c>
    </row>
    <row r="515" spans="1:19" s="41" customFormat="1" ht="15.75" customHeight="1" x14ac:dyDescent="0.25">
      <c r="A515" s="126">
        <f t="shared" si="147"/>
        <v>116</v>
      </c>
      <c r="B515" s="126">
        <v>2414</v>
      </c>
      <c r="C515" s="142" t="s">
        <v>551</v>
      </c>
      <c r="D515" s="134">
        <v>1965</v>
      </c>
      <c r="E515" s="134" t="s">
        <v>95</v>
      </c>
      <c r="F515" s="134" t="s">
        <v>82</v>
      </c>
      <c r="G515" s="15">
        <v>4119.5</v>
      </c>
      <c r="H515" s="15">
        <v>3168.9</v>
      </c>
      <c r="I515" s="10">
        <v>111</v>
      </c>
      <c r="J515" s="15">
        <f>'Форма 2'!I1923</f>
        <v>1147141.8</v>
      </c>
      <c r="K515" s="15">
        <v>0</v>
      </c>
      <c r="L515" s="15">
        <v>0</v>
      </c>
      <c r="M515" s="15">
        <v>0</v>
      </c>
      <c r="N515" s="15">
        <f t="shared" ref="N515" si="150">J515-K515-L515-M515-O515</f>
        <v>1147141.8</v>
      </c>
      <c r="O515" s="15">
        <v>0</v>
      </c>
      <c r="P515" s="15">
        <f t="shared" ref="P515" si="151">J515/H515</f>
        <v>362</v>
      </c>
      <c r="Q515" s="15">
        <f>'Форма 2'!K1923</f>
        <v>362</v>
      </c>
      <c r="R515" s="351" t="s">
        <v>379</v>
      </c>
      <c r="S515" s="153">
        <v>1</v>
      </c>
    </row>
    <row r="516" spans="1:19" s="41" customFormat="1" ht="15.75" customHeight="1" x14ac:dyDescent="0.25">
      <c r="A516" s="126">
        <f t="shared" si="147"/>
        <v>117</v>
      </c>
      <c r="B516" s="126">
        <v>2489</v>
      </c>
      <c r="C516" s="142" t="s">
        <v>217</v>
      </c>
      <c r="D516" s="134">
        <v>1984</v>
      </c>
      <c r="E516" s="134" t="s">
        <v>68</v>
      </c>
      <c r="F516" s="134" t="s">
        <v>82</v>
      </c>
      <c r="G516" s="15">
        <v>4947.7</v>
      </c>
      <c r="H516" s="15">
        <v>4049.2</v>
      </c>
      <c r="I516" s="10">
        <v>153</v>
      </c>
      <c r="J516" s="15">
        <f>'Форма 2'!I1926</f>
        <v>9017733.9499999993</v>
      </c>
      <c r="K516" s="15">
        <v>0</v>
      </c>
      <c r="L516" s="15">
        <v>0</v>
      </c>
      <c r="M516" s="15">
        <v>0</v>
      </c>
      <c r="N516" s="15">
        <f t="shared" si="148"/>
        <v>9017733.9499999993</v>
      </c>
      <c r="O516" s="15">
        <v>0</v>
      </c>
      <c r="P516" s="15">
        <f t="shared" si="149"/>
        <v>2227.04</v>
      </c>
      <c r="Q516" s="15">
        <f>'Форма 2'!K1926</f>
        <v>2492</v>
      </c>
      <c r="R516" s="351" t="s">
        <v>379</v>
      </c>
      <c r="S516" s="153">
        <v>1</v>
      </c>
    </row>
    <row r="517" spans="1:19" s="41" customFormat="1" ht="15.75" customHeight="1" x14ac:dyDescent="0.25">
      <c r="A517" s="126">
        <f t="shared" si="147"/>
        <v>118</v>
      </c>
      <c r="B517" s="126">
        <v>2239</v>
      </c>
      <c r="C517" s="142" t="s">
        <v>218</v>
      </c>
      <c r="D517" s="134">
        <v>1989</v>
      </c>
      <c r="E517" s="134" t="s">
        <v>367</v>
      </c>
      <c r="F517" s="134" t="s">
        <v>82</v>
      </c>
      <c r="G517" s="15">
        <v>5087.6000000000004</v>
      </c>
      <c r="H517" s="15">
        <v>4698.6000000000004</v>
      </c>
      <c r="I517" s="10">
        <v>178</v>
      </c>
      <c r="J517" s="15">
        <f>'Форма 2'!I1929</f>
        <v>38222905.960000001</v>
      </c>
      <c r="K517" s="15">
        <v>0</v>
      </c>
      <c r="L517" s="15">
        <v>0</v>
      </c>
      <c r="M517" s="15">
        <v>0</v>
      </c>
      <c r="N517" s="15">
        <f t="shared" si="148"/>
        <v>38222905.960000001</v>
      </c>
      <c r="O517" s="15">
        <v>0</v>
      </c>
      <c r="P517" s="15">
        <f t="shared" si="149"/>
        <v>8134.96</v>
      </c>
      <c r="Q517" s="15">
        <f>'Форма 2'!K1929</f>
        <v>11509</v>
      </c>
      <c r="R517" s="351" t="s">
        <v>379</v>
      </c>
      <c r="S517" s="153">
        <v>1</v>
      </c>
    </row>
    <row r="518" spans="1:19" s="41" customFormat="1" ht="15.75" customHeight="1" x14ac:dyDescent="0.25">
      <c r="A518" s="126">
        <f t="shared" si="147"/>
        <v>119</v>
      </c>
      <c r="B518" s="126">
        <v>2422</v>
      </c>
      <c r="C518" s="142" t="s">
        <v>219</v>
      </c>
      <c r="D518" s="134">
        <v>1987</v>
      </c>
      <c r="E518" s="134" t="s">
        <v>89</v>
      </c>
      <c r="F518" s="134" t="s">
        <v>82</v>
      </c>
      <c r="G518" s="15">
        <v>7977.9</v>
      </c>
      <c r="H518" s="15">
        <v>6937.3</v>
      </c>
      <c r="I518" s="10">
        <v>297</v>
      </c>
      <c r="J518" s="15">
        <f>'Форма 2'!I1936</f>
        <v>14106089.42</v>
      </c>
      <c r="K518" s="15">
        <v>0</v>
      </c>
      <c r="L518" s="15">
        <v>0</v>
      </c>
      <c r="M518" s="15">
        <v>0</v>
      </c>
      <c r="N518" s="15">
        <f t="shared" si="148"/>
        <v>14106089.42</v>
      </c>
      <c r="O518" s="15">
        <v>0</v>
      </c>
      <c r="P518" s="15">
        <f t="shared" si="149"/>
        <v>2033.37</v>
      </c>
      <c r="Q518" s="15">
        <f>'Форма 2'!K1936</f>
        <v>2341</v>
      </c>
      <c r="R518" s="351" t="s">
        <v>379</v>
      </c>
      <c r="S518" s="153">
        <v>1</v>
      </c>
    </row>
    <row r="519" spans="1:19" s="41" customFormat="1" ht="15" customHeight="1" x14ac:dyDescent="0.25">
      <c r="A519" s="126">
        <f t="shared" si="147"/>
        <v>120</v>
      </c>
      <c r="B519" s="126">
        <v>2243</v>
      </c>
      <c r="C519" s="124" t="s">
        <v>673</v>
      </c>
      <c r="D519" s="134">
        <v>1996</v>
      </c>
      <c r="E519" s="134" t="s">
        <v>86</v>
      </c>
      <c r="F519" s="134" t="s">
        <v>81</v>
      </c>
      <c r="G519" s="15">
        <v>13863</v>
      </c>
      <c r="H519" s="15">
        <v>13145.2</v>
      </c>
      <c r="I519" s="10">
        <v>344</v>
      </c>
      <c r="J519" s="15">
        <f>'Форма 2'!I1939</f>
        <v>193686</v>
      </c>
      <c r="K519" s="15">
        <v>0</v>
      </c>
      <c r="L519" s="15">
        <v>0</v>
      </c>
      <c r="M519" s="15">
        <v>0</v>
      </c>
      <c r="N519" s="15">
        <f>J519-K519-L519-M519-O519</f>
        <v>193686</v>
      </c>
      <c r="O519" s="15">
        <v>0</v>
      </c>
      <c r="P519" s="15">
        <f>J519/H519</f>
        <v>14.73</v>
      </c>
      <c r="Q519" s="15">
        <f>'Форма 2'!K1939</f>
        <v>14.73</v>
      </c>
      <c r="R519" s="351" t="s">
        <v>379</v>
      </c>
      <c r="S519" s="153">
        <v>1</v>
      </c>
    </row>
    <row r="520" spans="1:19" s="41" customFormat="1" ht="15" customHeight="1" x14ac:dyDescent="0.25">
      <c r="A520" s="126">
        <f>A519+1</f>
        <v>121</v>
      </c>
      <c r="B520" s="126">
        <v>2245</v>
      </c>
      <c r="C520" s="124" t="s">
        <v>623</v>
      </c>
      <c r="D520" s="134">
        <v>1994</v>
      </c>
      <c r="E520" s="134" t="s">
        <v>86</v>
      </c>
      <c r="F520" s="134" t="s">
        <v>82</v>
      </c>
      <c r="G520" s="15">
        <v>8632.7999999999993</v>
      </c>
      <c r="H520" s="15">
        <v>7261.8</v>
      </c>
      <c r="I520" s="10">
        <v>274</v>
      </c>
      <c r="J520" s="15">
        <f>'Форма 2'!I1946</f>
        <v>6786464.5199999996</v>
      </c>
      <c r="K520" s="15">
        <v>0</v>
      </c>
      <c r="L520" s="15">
        <v>0</v>
      </c>
      <c r="M520" s="15">
        <v>0</v>
      </c>
      <c r="N520" s="15">
        <f t="shared" ref="N520" si="152">J520-K520-L520-M520-O520</f>
        <v>6786464.5199999996</v>
      </c>
      <c r="O520" s="15">
        <v>0</v>
      </c>
      <c r="P520" s="15">
        <f t="shared" ref="P520" si="153">J520/H520</f>
        <v>934.54</v>
      </c>
      <c r="Q520" s="15">
        <f>'Форма 2'!K1946</f>
        <v>945.9</v>
      </c>
      <c r="R520" s="351" t="s">
        <v>379</v>
      </c>
      <c r="S520" s="153">
        <v>1</v>
      </c>
    </row>
    <row r="521" spans="1:19" s="41" customFormat="1" ht="15" customHeight="1" x14ac:dyDescent="0.25">
      <c r="A521" s="126">
        <f>A520+1</f>
        <v>122</v>
      </c>
      <c r="B521" s="126">
        <v>2289</v>
      </c>
      <c r="C521" s="124" t="s">
        <v>624</v>
      </c>
      <c r="D521" s="134">
        <v>1994</v>
      </c>
      <c r="E521" s="134" t="s">
        <v>86</v>
      </c>
      <c r="F521" s="134" t="s">
        <v>82</v>
      </c>
      <c r="G521" s="15">
        <v>4595.8999999999996</v>
      </c>
      <c r="H521" s="15">
        <v>3975.9</v>
      </c>
      <c r="I521" s="10">
        <v>150</v>
      </c>
      <c r="J521" s="15">
        <f>'Форма 2'!I1953</f>
        <v>4579236</v>
      </c>
      <c r="K521" s="15">
        <v>0</v>
      </c>
      <c r="L521" s="15">
        <v>0</v>
      </c>
      <c r="M521" s="15">
        <v>0</v>
      </c>
      <c r="N521" s="15">
        <f>J521-K521-L521-M521-O521</f>
        <v>4579236</v>
      </c>
      <c r="O521" s="15">
        <v>0</v>
      </c>
      <c r="P521" s="15">
        <f>J521/H521</f>
        <v>1151.75</v>
      </c>
      <c r="Q521" s="15">
        <f>'Форма 2'!K1953</f>
        <v>1151.76</v>
      </c>
      <c r="R521" s="351" t="s">
        <v>379</v>
      </c>
      <c r="S521" s="153">
        <v>1</v>
      </c>
    </row>
    <row r="522" spans="1:19" s="41" customFormat="1" ht="31.5" customHeight="1" x14ac:dyDescent="0.25">
      <c r="A522" s="126">
        <f t="shared" si="147"/>
        <v>123</v>
      </c>
      <c r="B522" s="126">
        <v>2163</v>
      </c>
      <c r="C522" s="142" t="s">
        <v>221</v>
      </c>
      <c r="D522" s="134" t="s">
        <v>277</v>
      </c>
      <c r="E522" s="134" t="s">
        <v>683</v>
      </c>
      <c r="F522" s="134" t="s">
        <v>82</v>
      </c>
      <c r="G522" s="15">
        <v>14853.3</v>
      </c>
      <c r="H522" s="15">
        <v>13205.4</v>
      </c>
      <c r="I522" s="10">
        <v>689</v>
      </c>
      <c r="J522" s="15">
        <f>'Форма 2'!I1958</f>
        <v>20080940.350000001</v>
      </c>
      <c r="K522" s="15">
        <v>0</v>
      </c>
      <c r="L522" s="15">
        <v>0</v>
      </c>
      <c r="M522" s="15">
        <v>0</v>
      </c>
      <c r="N522" s="15">
        <f t="shared" si="148"/>
        <v>20080940.350000001</v>
      </c>
      <c r="O522" s="15">
        <v>0</v>
      </c>
      <c r="P522" s="15">
        <f t="shared" si="149"/>
        <v>1520.66</v>
      </c>
      <c r="Q522" s="15">
        <f>'Форма 2'!K1958</f>
        <v>2008.35</v>
      </c>
      <c r="R522" s="351" t="s">
        <v>379</v>
      </c>
      <c r="S522" s="153">
        <v>1</v>
      </c>
    </row>
    <row r="523" spans="1:19" s="41" customFormat="1" ht="15.75" customHeight="1" x14ac:dyDescent="0.25">
      <c r="A523" s="126">
        <f t="shared" si="147"/>
        <v>124</v>
      </c>
      <c r="B523" s="126">
        <v>2438</v>
      </c>
      <c r="C523" s="142" t="s">
        <v>222</v>
      </c>
      <c r="D523" s="134">
        <v>1981</v>
      </c>
      <c r="E523" s="134" t="s">
        <v>68</v>
      </c>
      <c r="F523" s="134" t="s">
        <v>82</v>
      </c>
      <c r="G523" s="15">
        <v>2629.57</v>
      </c>
      <c r="H523" s="15">
        <v>2393.4699999999998</v>
      </c>
      <c r="I523" s="10">
        <v>90</v>
      </c>
      <c r="J523" s="15">
        <f>'Форма 2'!I1965</f>
        <v>7016449.5199999996</v>
      </c>
      <c r="K523" s="15">
        <v>0</v>
      </c>
      <c r="L523" s="15">
        <v>0</v>
      </c>
      <c r="M523" s="15">
        <v>0</v>
      </c>
      <c r="N523" s="15">
        <f t="shared" si="148"/>
        <v>7016449.5199999996</v>
      </c>
      <c r="O523" s="15">
        <v>0</v>
      </c>
      <c r="P523" s="15">
        <f t="shared" si="149"/>
        <v>2931.5</v>
      </c>
      <c r="Q523" s="15">
        <f>'Форма 2'!K1965</f>
        <v>3749</v>
      </c>
      <c r="R523" s="351" t="s">
        <v>379</v>
      </c>
      <c r="S523" s="153">
        <v>1</v>
      </c>
    </row>
    <row r="524" spans="1:19" s="41" customFormat="1" ht="15.75" customHeight="1" x14ac:dyDescent="0.25">
      <c r="A524" s="126">
        <f t="shared" si="147"/>
        <v>125</v>
      </c>
      <c r="B524" s="126">
        <v>2297</v>
      </c>
      <c r="C524" s="124" t="s">
        <v>625</v>
      </c>
      <c r="D524" s="134">
        <v>1995</v>
      </c>
      <c r="E524" s="134" t="s">
        <v>86</v>
      </c>
      <c r="F524" s="134" t="s">
        <v>82</v>
      </c>
      <c r="G524" s="15">
        <v>6636.5</v>
      </c>
      <c r="H524" s="15">
        <v>6000.5</v>
      </c>
      <c r="I524" s="10">
        <v>227</v>
      </c>
      <c r="J524" s="15">
        <f>'Форма 2'!I1968</f>
        <v>4579236</v>
      </c>
      <c r="K524" s="15">
        <v>0</v>
      </c>
      <c r="L524" s="15">
        <v>0</v>
      </c>
      <c r="M524" s="15">
        <v>0</v>
      </c>
      <c r="N524" s="15">
        <f t="shared" si="148"/>
        <v>4579236</v>
      </c>
      <c r="O524" s="15">
        <v>0</v>
      </c>
      <c r="P524" s="15">
        <f t="shared" si="149"/>
        <v>763.14</v>
      </c>
      <c r="Q524" s="15">
        <f>'Форма 2'!K1968</f>
        <v>763.14</v>
      </c>
      <c r="R524" s="351" t="s">
        <v>379</v>
      </c>
      <c r="S524" s="153">
        <v>1</v>
      </c>
    </row>
    <row r="525" spans="1:19" s="41" customFormat="1" ht="15.75" customHeight="1" x14ac:dyDescent="0.25">
      <c r="A525" s="126">
        <f>A524+1</f>
        <v>126</v>
      </c>
      <c r="B525" s="126">
        <v>2454</v>
      </c>
      <c r="C525" s="142" t="s">
        <v>153</v>
      </c>
      <c r="D525" s="134">
        <v>1980</v>
      </c>
      <c r="E525" s="134" t="s">
        <v>68</v>
      </c>
      <c r="F525" s="134" t="s">
        <v>82</v>
      </c>
      <c r="G525" s="15">
        <v>5451.1</v>
      </c>
      <c r="H525" s="15">
        <v>3983</v>
      </c>
      <c r="I525" s="10">
        <v>178</v>
      </c>
      <c r="J525" s="15">
        <f>'Форма 2'!I1973</f>
        <v>10999507.01</v>
      </c>
      <c r="K525" s="15">
        <v>0</v>
      </c>
      <c r="L525" s="15">
        <v>0</v>
      </c>
      <c r="M525" s="15">
        <v>0</v>
      </c>
      <c r="N525" s="15">
        <f t="shared" si="148"/>
        <v>10999507.01</v>
      </c>
      <c r="O525" s="15">
        <v>0</v>
      </c>
      <c r="P525" s="15">
        <f t="shared" si="149"/>
        <v>2761.61</v>
      </c>
      <c r="Q525" s="15">
        <f>'Форма 2'!K1973</f>
        <v>3878</v>
      </c>
      <c r="R525" s="351" t="s">
        <v>379</v>
      </c>
      <c r="S525" s="153">
        <v>1</v>
      </c>
    </row>
    <row r="526" spans="1:19" s="41" customFormat="1" ht="15.75" customHeight="1" x14ac:dyDescent="0.25">
      <c r="A526" s="126">
        <f t="shared" si="147"/>
        <v>127</v>
      </c>
      <c r="B526" s="126">
        <v>2303</v>
      </c>
      <c r="C526" s="142" t="s">
        <v>156</v>
      </c>
      <c r="D526" s="134">
        <v>1976</v>
      </c>
      <c r="E526" s="134" t="s">
        <v>68</v>
      </c>
      <c r="F526" s="134" t="s">
        <v>82</v>
      </c>
      <c r="G526" s="15">
        <v>14384.1</v>
      </c>
      <c r="H526" s="15">
        <v>12308.1</v>
      </c>
      <c r="I526" s="10">
        <v>520</v>
      </c>
      <c r="J526" s="15">
        <f>'Форма 2'!I1976</f>
        <v>5412242.3799999999</v>
      </c>
      <c r="K526" s="15">
        <v>0</v>
      </c>
      <c r="L526" s="15">
        <v>0</v>
      </c>
      <c r="M526" s="15">
        <v>0</v>
      </c>
      <c r="N526" s="15">
        <f t="shared" si="148"/>
        <v>5412242.3799999999</v>
      </c>
      <c r="O526" s="15">
        <v>0</v>
      </c>
      <c r="P526" s="15">
        <f t="shared" si="149"/>
        <v>439.73</v>
      </c>
      <c r="Q526" s="15">
        <f>'Форма 2'!K1976</f>
        <v>2492</v>
      </c>
      <c r="R526" s="351" t="s">
        <v>379</v>
      </c>
      <c r="S526" s="153">
        <v>1</v>
      </c>
    </row>
    <row r="527" spans="1:19" s="41" customFormat="1" ht="15.75" customHeight="1" x14ac:dyDescent="0.25">
      <c r="A527" s="126">
        <f t="shared" si="147"/>
        <v>128</v>
      </c>
      <c r="B527" s="126">
        <v>2983</v>
      </c>
      <c r="C527" s="142" t="s">
        <v>560</v>
      </c>
      <c r="D527" s="134">
        <v>1961</v>
      </c>
      <c r="E527" s="134" t="s">
        <v>95</v>
      </c>
      <c r="F527" s="134" t="s">
        <v>82</v>
      </c>
      <c r="G527" s="15">
        <v>974</v>
      </c>
      <c r="H527" s="15">
        <v>933.8</v>
      </c>
      <c r="I527" s="10">
        <v>37</v>
      </c>
      <c r="J527" s="15">
        <f>'Форма 2'!I1979</f>
        <v>338035.6</v>
      </c>
      <c r="K527" s="15">
        <v>0</v>
      </c>
      <c r="L527" s="15">
        <v>0</v>
      </c>
      <c r="M527" s="15">
        <v>0</v>
      </c>
      <c r="N527" s="15">
        <f t="shared" si="148"/>
        <v>338035.6</v>
      </c>
      <c r="O527" s="15">
        <v>0</v>
      </c>
      <c r="P527" s="15">
        <f t="shared" si="149"/>
        <v>362</v>
      </c>
      <c r="Q527" s="15">
        <f>'Форма 2'!K1979</f>
        <v>362</v>
      </c>
      <c r="R527" s="351" t="s">
        <v>379</v>
      </c>
      <c r="S527" s="153">
        <v>1</v>
      </c>
    </row>
    <row r="528" spans="1:19" s="41" customFormat="1" ht="15" customHeight="1" x14ac:dyDescent="0.25">
      <c r="A528" s="126">
        <f t="shared" si="147"/>
        <v>129</v>
      </c>
      <c r="B528" s="126">
        <v>2374</v>
      </c>
      <c r="C528" s="124" t="s">
        <v>627</v>
      </c>
      <c r="D528" s="134">
        <v>1993</v>
      </c>
      <c r="E528" s="134" t="s">
        <v>86</v>
      </c>
      <c r="F528" s="134" t="s">
        <v>82</v>
      </c>
      <c r="G528" s="15">
        <v>19028.7</v>
      </c>
      <c r="H528" s="15">
        <v>16028.7</v>
      </c>
      <c r="I528" s="10">
        <v>568</v>
      </c>
      <c r="J528" s="15">
        <f>'Форма 2'!I1982</f>
        <v>16027326</v>
      </c>
      <c r="K528" s="15">
        <v>0</v>
      </c>
      <c r="L528" s="15">
        <v>0</v>
      </c>
      <c r="M528" s="15">
        <v>0</v>
      </c>
      <c r="N528" s="15">
        <f t="shared" si="148"/>
        <v>16027326</v>
      </c>
      <c r="O528" s="15">
        <v>0</v>
      </c>
      <c r="P528" s="15">
        <f t="shared" si="149"/>
        <v>999.91</v>
      </c>
      <c r="Q528" s="15">
        <f>'Форма 2'!K1982</f>
        <v>999.91</v>
      </c>
      <c r="R528" s="351" t="s">
        <v>379</v>
      </c>
      <c r="S528" s="153">
        <v>1</v>
      </c>
    </row>
    <row r="529" spans="1:19" s="41" customFormat="1" ht="15" customHeight="1" x14ac:dyDescent="0.25">
      <c r="A529" s="126">
        <f t="shared" si="147"/>
        <v>130</v>
      </c>
      <c r="B529" s="126">
        <v>2389</v>
      </c>
      <c r="C529" s="124" t="s">
        <v>628</v>
      </c>
      <c r="D529" s="134">
        <v>1996</v>
      </c>
      <c r="E529" s="134" t="s">
        <v>86</v>
      </c>
      <c r="F529" s="134" t="s">
        <v>82</v>
      </c>
      <c r="G529" s="15">
        <v>13756.89</v>
      </c>
      <c r="H529" s="15">
        <v>11256.89</v>
      </c>
      <c r="I529" s="10">
        <v>298</v>
      </c>
      <c r="J529" s="15">
        <f>'Форма 2'!I1997</f>
        <v>11448090</v>
      </c>
      <c r="K529" s="15">
        <v>0</v>
      </c>
      <c r="L529" s="15">
        <v>0</v>
      </c>
      <c r="M529" s="15">
        <v>0</v>
      </c>
      <c r="N529" s="15">
        <f t="shared" si="148"/>
        <v>11448090</v>
      </c>
      <c r="O529" s="15">
        <v>0</v>
      </c>
      <c r="P529" s="15">
        <f t="shared" si="149"/>
        <v>1016.99</v>
      </c>
      <c r="Q529" s="15">
        <f>'Форма 2'!K1997</f>
        <v>1016.99</v>
      </c>
      <c r="R529" s="351" t="s">
        <v>379</v>
      </c>
      <c r="S529" s="153">
        <v>1</v>
      </c>
    </row>
    <row r="530" spans="1:19" s="41" customFormat="1" ht="15" customHeight="1" x14ac:dyDescent="0.25">
      <c r="A530" s="126">
        <f t="shared" si="147"/>
        <v>131</v>
      </c>
      <c r="B530" s="126">
        <v>2392</v>
      </c>
      <c r="C530" s="124" t="s">
        <v>629</v>
      </c>
      <c r="D530" s="134">
        <v>1993</v>
      </c>
      <c r="E530" s="134" t="s">
        <v>86</v>
      </c>
      <c r="F530" s="134" t="s">
        <v>82</v>
      </c>
      <c r="G530" s="15">
        <v>24032.3</v>
      </c>
      <c r="H530" s="15">
        <v>14133.9</v>
      </c>
      <c r="I530" s="10">
        <v>853</v>
      </c>
      <c r="J530" s="15">
        <f>'Форма 2'!I2008</f>
        <v>25185798</v>
      </c>
      <c r="K530" s="15">
        <v>0</v>
      </c>
      <c r="L530" s="15">
        <v>0</v>
      </c>
      <c r="M530" s="15">
        <v>0</v>
      </c>
      <c r="N530" s="15">
        <f>J530-K530-L530-M530-O530</f>
        <v>25185798</v>
      </c>
      <c r="O530" s="15">
        <v>0</v>
      </c>
      <c r="P530" s="15">
        <f>J530/H530</f>
        <v>1781.94</v>
      </c>
      <c r="Q530" s="15">
        <f>'Форма 2'!K2008</f>
        <v>1781.94</v>
      </c>
      <c r="R530" s="351" t="s">
        <v>379</v>
      </c>
      <c r="S530" s="153">
        <v>1</v>
      </c>
    </row>
    <row r="531" spans="1:19" s="41" customFormat="1" ht="15" customHeight="1" x14ac:dyDescent="0.25">
      <c r="A531" s="126">
        <f t="shared" si="147"/>
        <v>132</v>
      </c>
      <c r="B531" s="126">
        <v>2394</v>
      </c>
      <c r="C531" s="124" t="s">
        <v>633</v>
      </c>
      <c r="D531" s="134">
        <v>1994</v>
      </c>
      <c r="E531" s="134" t="s">
        <v>86</v>
      </c>
      <c r="F531" s="134" t="s">
        <v>82</v>
      </c>
      <c r="G531" s="15">
        <v>4485.5</v>
      </c>
      <c r="H531" s="15">
        <v>2686.6</v>
      </c>
      <c r="I531" s="10">
        <v>131</v>
      </c>
      <c r="J531" s="15">
        <f>'Форма 2'!I2031</f>
        <v>4579236</v>
      </c>
      <c r="K531" s="15">
        <v>0</v>
      </c>
      <c r="L531" s="15">
        <v>0</v>
      </c>
      <c r="M531" s="15">
        <v>0</v>
      </c>
      <c r="N531" s="15">
        <f>J531-K531-L531-M531-O531</f>
        <v>4579236</v>
      </c>
      <c r="O531" s="15">
        <v>0</v>
      </c>
      <c r="P531" s="15">
        <f>J531/H531</f>
        <v>1704.47</v>
      </c>
      <c r="Q531" s="15">
        <f>'Форма 2'!K2031</f>
        <v>1704.47</v>
      </c>
      <c r="R531" s="351" t="s">
        <v>379</v>
      </c>
      <c r="S531" s="153">
        <v>1</v>
      </c>
    </row>
    <row r="532" spans="1:19" s="41" customFormat="1" ht="15" customHeight="1" x14ac:dyDescent="0.25">
      <c r="A532" s="126">
        <f t="shared" si="147"/>
        <v>133</v>
      </c>
      <c r="B532" s="126">
        <v>2395</v>
      </c>
      <c r="C532" s="124" t="s">
        <v>634</v>
      </c>
      <c r="D532" s="134">
        <v>1994</v>
      </c>
      <c r="E532" s="134" t="s">
        <v>86</v>
      </c>
      <c r="F532" s="134" t="s">
        <v>82</v>
      </c>
      <c r="G532" s="15">
        <v>4785.3999999999996</v>
      </c>
      <c r="H532" s="15">
        <v>2878.2</v>
      </c>
      <c r="I532" s="10">
        <v>117</v>
      </c>
      <c r="J532" s="15">
        <f>'Форма 2'!I2036</f>
        <v>4579236</v>
      </c>
      <c r="K532" s="15">
        <v>0</v>
      </c>
      <c r="L532" s="15">
        <v>0</v>
      </c>
      <c r="M532" s="15">
        <v>0</v>
      </c>
      <c r="N532" s="15">
        <f>J532-K532-L532-M532-O532</f>
        <v>4579236</v>
      </c>
      <c r="O532" s="15">
        <v>0</v>
      </c>
      <c r="P532" s="15">
        <f>J532/H532</f>
        <v>1591.01</v>
      </c>
      <c r="Q532" s="15">
        <f>'Форма 2'!K2036</f>
        <v>1591.01</v>
      </c>
      <c r="R532" s="351" t="s">
        <v>379</v>
      </c>
      <c r="S532" s="153">
        <v>1</v>
      </c>
    </row>
    <row r="533" spans="1:19" s="41" customFormat="1" ht="15" customHeight="1" x14ac:dyDescent="0.25">
      <c r="A533" s="126">
        <f>A532+1</f>
        <v>134</v>
      </c>
      <c r="B533" s="126">
        <v>2397</v>
      </c>
      <c r="C533" s="124" t="s">
        <v>674</v>
      </c>
      <c r="D533" s="134">
        <v>1995</v>
      </c>
      <c r="E533" s="134" t="s">
        <v>86</v>
      </c>
      <c r="F533" s="134" t="s">
        <v>81</v>
      </c>
      <c r="G533" s="15">
        <v>4514.7</v>
      </c>
      <c r="H533" s="15">
        <v>2703.3</v>
      </c>
      <c r="I533" s="10">
        <v>135</v>
      </c>
      <c r="J533" s="15">
        <f>'Форма 2'!I2041</f>
        <v>64562</v>
      </c>
      <c r="K533" s="15">
        <v>0</v>
      </c>
      <c r="L533" s="15">
        <v>0</v>
      </c>
      <c r="M533" s="15">
        <v>0</v>
      </c>
      <c r="N533" s="15">
        <f>J533-K533-L533-M533-O533</f>
        <v>64562</v>
      </c>
      <c r="O533" s="15">
        <v>0</v>
      </c>
      <c r="P533" s="15">
        <f>J533/H533</f>
        <v>23.88</v>
      </c>
      <c r="Q533" s="15">
        <f>'Форма 2'!K2041</f>
        <v>23.88</v>
      </c>
      <c r="R533" s="351" t="s">
        <v>379</v>
      </c>
      <c r="S533" s="153">
        <v>1</v>
      </c>
    </row>
    <row r="534" spans="1:19" s="41" customFormat="1" ht="15" customHeight="1" x14ac:dyDescent="0.25">
      <c r="A534" s="126">
        <f t="shared" si="147"/>
        <v>135</v>
      </c>
      <c r="B534" s="126">
        <v>2379</v>
      </c>
      <c r="C534" s="124" t="s">
        <v>675</v>
      </c>
      <c r="D534" s="134">
        <v>1997</v>
      </c>
      <c r="E534" s="134" t="s">
        <v>86</v>
      </c>
      <c r="F534" s="134" t="s">
        <v>81</v>
      </c>
      <c r="G534" s="15">
        <v>8774</v>
      </c>
      <c r="H534" s="15">
        <v>7274</v>
      </c>
      <c r="I534" s="10">
        <v>209</v>
      </c>
      <c r="J534" s="15">
        <f>'Форма 2'!I2044</f>
        <v>96843</v>
      </c>
      <c r="K534" s="15">
        <v>0</v>
      </c>
      <c r="L534" s="15">
        <v>0</v>
      </c>
      <c r="M534" s="15">
        <v>0</v>
      </c>
      <c r="N534" s="15">
        <f>J534-K534-L534-M534-O534</f>
        <v>96843</v>
      </c>
      <c r="O534" s="15">
        <v>0</v>
      </c>
      <c r="P534" s="15">
        <f>J534/H534</f>
        <v>13.31</v>
      </c>
      <c r="Q534" s="15">
        <f>'Форма 2'!K2044</f>
        <v>13.31</v>
      </c>
      <c r="R534" s="351" t="s">
        <v>379</v>
      </c>
      <c r="S534" s="153">
        <v>1</v>
      </c>
    </row>
    <row r="535" spans="1:19" s="41" customFormat="1" ht="15" customHeight="1" x14ac:dyDescent="0.25">
      <c r="A535" s="126">
        <f t="shared" si="147"/>
        <v>136</v>
      </c>
      <c r="B535" s="126">
        <v>2954</v>
      </c>
      <c r="C535" s="124" t="s">
        <v>676</v>
      </c>
      <c r="D535" s="134">
        <v>1959</v>
      </c>
      <c r="E535" s="134" t="s">
        <v>95</v>
      </c>
      <c r="F535" s="134" t="s">
        <v>81</v>
      </c>
      <c r="G535" s="15">
        <v>1298.2</v>
      </c>
      <c r="H535" s="15">
        <v>1238.2</v>
      </c>
      <c r="I535" s="10">
        <v>107</v>
      </c>
      <c r="J535" s="15">
        <f>'Форма 2'!I2048</f>
        <v>58195.4</v>
      </c>
      <c r="K535" s="15">
        <v>0</v>
      </c>
      <c r="L535" s="15">
        <v>0</v>
      </c>
      <c r="M535" s="15">
        <v>0</v>
      </c>
      <c r="N535" s="15">
        <f t="shared" si="148"/>
        <v>58195.4</v>
      </c>
      <c r="O535" s="15">
        <v>0</v>
      </c>
      <c r="P535" s="15">
        <f t="shared" si="149"/>
        <v>47</v>
      </c>
      <c r="Q535" s="15">
        <f>'Форма 2'!K2048</f>
        <v>47</v>
      </c>
      <c r="R535" s="351" t="s">
        <v>379</v>
      </c>
      <c r="S535" s="153">
        <v>1</v>
      </c>
    </row>
    <row r="536" spans="1:19" s="41" customFormat="1" ht="15" customHeight="1" x14ac:dyDescent="0.25">
      <c r="A536" s="126">
        <f t="shared" si="147"/>
        <v>137</v>
      </c>
      <c r="B536" s="126">
        <v>2955</v>
      </c>
      <c r="C536" s="124" t="s">
        <v>677</v>
      </c>
      <c r="D536" s="134">
        <v>1960</v>
      </c>
      <c r="E536" s="134" t="s">
        <v>95</v>
      </c>
      <c r="F536" s="134" t="s">
        <v>81</v>
      </c>
      <c r="G536" s="15">
        <v>1344.8</v>
      </c>
      <c r="H536" s="15">
        <v>1089.3</v>
      </c>
      <c r="I536" s="10">
        <v>97</v>
      </c>
      <c r="J536" s="15">
        <f>'Форма 2'!I2050</f>
        <v>51197.1</v>
      </c>
      <c r="K536" s="15">
        <v>0</v>
      </c>
      <c r="L536" s="15">
        <v>0</v>
      </c>
      <c r="M536" s="15">
        <v>0</v>
      </c>
      <c r="N536" s="15">
        <f t="shared" si="148"/>
        <v>51197.1</v>
      </c>
      <c r="O536" s="15">
        <v>0</v>
      </c>
      <c r="P536" s="15">
        <f t="shared" si="149"/>
        <v>47</v>
      </c>
      <c r="Q536" s="15">
        <f>'Форма 2'!K2050</f>
        <v>47</v>
      </c>
      <c r="R536" s="351" t="s">
        <v>379</v>
      </c>
      <c r="S536" s="153">
        <v>1</v>
      </c>
    </row>
    <row r="537" spans="1:19" ht="15.75" customHeight="1" x14ac:dyDescent="0.25">
      <c r="A537" s="175" t="s">
        <v>31</v>
      </c>
      <c r="B537" s="175"/>
      <c r="C537" s="175"/>
      <c r="D537" s="5" t="s">
        <v>13</v>
      </c>
      <c r="E537" s="15" t="s">
        <v>13</v>
      </c>
      <c r="F537" s="15" t="s">
        <v>13</v>
      </c>
      <c r="G537" s="15">
        <f t="shared" ref="G537:O537" si="154">SUM(G538:G540)</f>
        <v>1110.7</v>
      </c>
      <c r="H537" s="15">
        <f t="shared" si="154"/>
        <v>1056.7</v>
      </c>
      <c r="I537" s="10">
        <f t="shared" si="154"/>
        <v>36</v>
      </c>
      <c r="J537" s="15">
        <f t="shared" si="154"/>
        <v>2772678.89</v>
      </c>
      <c r="K537" s="15">
        <f t="shared" si="154"/>
        <v>0</v>
      </c>
      <c r="L537" s="15">
        <f t="shared" si="154"/>
        <v>0</v>
      </c>
      <c r="M537" s="15">
        <f t="shared" si="154"/>
        <v>0</v>
      </c>
      <c r="N537" s="15">
        <f t="shared" si="154"/>
        <v>2772678.89</v>
      </c>
      <c r="O537" s="15">
        <f t="shared" si="154"/>
        <v>0</v>
      </c>
      <c r="P537" s="15" t="s">
        <v>13</v>
      </c>
      <c r="Q537" s="15" t="s">
        <v>13</v>
      </c>
      <c r="R537" s="15" t="s">
        <v>13</v>
      </c>
      <c r="S537" s="10" t="s">
        <v>13</v>
      </c>
    </row>
    <row r="538" spans="1:19" ht="15.75" customHeight="1" x14ac:dyDescent="0.25">
      <c r="A538" s="22">
        <v>1</v>
      </c>
      <c r="B538" s="22">
        <v>4859</v>
      </c>
      <c r="C538" s="340" t="s">
        <v>439</v>
      </c>
      <c r="D538" s="126">
        <v>1970</v>
      </c>
      <c r="E538" s="126" t="s">
        <v>232</v>
      </c>
      <c r="F538" s="126" t="s">
        <v>82</v>
      </c>
      <c r="G538" s="15">
        <v>360</v>
      </c>
      <c r="H538" s="15">
        <v>336</v>
      </c>
      <c r="I538" s="10">
        <v>12</v>
      </c>
      <c r="J538" s="15">
        <f>'Форма 2'!I2053</f>
        <v>176064</v>
      </c>
      <c r="K538" s="15">
        <v>0</v>
      </c>
      <c r="L538" s="15">
        <v>0</v>
      </c>
      <c r="M538" s="15">
        <v>0</v>
      </c>
      <c r="N538" s="15">
        <f>J538-O538</f>
        <v>176064</v>
      </c>
      <c r="O538" s="15">
        <v>0</v>
      </c>
      <c r="P538" s="15">
        <f>J538/H538</f>
        <v>524</v>
      </c>
      <c r="Q538" s="15">
        <f>'Форма 2'!K2053</f>
        <v>524</v>
      </c>
      <c r="R538" s="18">
        <v>2021</v>
      </c>
      <c r="S538" s="153">
        <v>1</v>
      </c>
    </row>
    <row r="539" spans="1:19" ht="15.75" customHeight="1" x14ac:dyDescent="0.25">
      <c r="A539" s="22">
        <f>A538+1</f>
        <v>2</v>
      </c>
      <c r="B539" s="22">
        <v>8046</v>
      </c>
      <c r="C539" s="340" t="s">
        <v>289</v>
      </c>
      <c r="D539" s="126">
        <v>1960</v>
      </c>
      <c r="E539" s="126" t="s">
        <v>68</v>
      </c>
      <c r="F539" s="126" t="s">
        <v>82</v>
      </c>
      <c r="G539" s="15">
        <v>340</v>
      </c>
      <c r="H539" s="15">
        <v>325</v>
      </c>
      <c r="I539" s="10">
        <v>12</v>
      </c>
      <c r="J539" s="15">
        <f>'Форма 2'!I2056</f>
        <v>2498600</v>
      </c>
      <c r="K539" s="15">
        <v>0</v>
      </c>
      <c r="L539" s="15">
        <v>0</v>
      </c>
      <c r="M539" s="15">
        <v>0</v>
      </c>
      <c r="N539" s="15">
        <f>J539-O539</f>
        <v>2498600</v>
      </c>
      <c r="O539" s="15">
        <v>0</v>
      </c>
      <c r="P539" s="15">
        <f>J539/H539</f>
        <v>7688</v>
      </c>
      <c r="Q539" s="15">
        <f>'Форма 2'!K2056</f>
        <v>7688</v>
      </c>
      <c r="R539" s="18">
        <v>2021</v>
      </c>
      <c r="S539" s="153">
        <v>1</v>
      </c>
    </row>
    <row r="540" spans="1:19" ht="15.75" customHeight="1" x14ac:dyDescent="0.25">
      <c r="A540" s="22">
        <f>A539+1</f>
        <v>3</v>
      </c>
      <c r="B540" s="22">
        <v>8047</v>
      </c>
      <c r="C540" s="340" t="s">
        <v>440</v>
      </c>
      <c r="D540" s="126">
        <v>1964</v>
      </c>
      <c r="E540" s="126" t="s">
        <v>68</v>
      </c>
      <c r="F540" s="126" t="s">
        <v>81</v>
      </c>
      <c r="G540" s="15">
        <v>410.7</v>
      </c>
      <c r="H540" s="15">
        <v>395.7</v>
      </c>
      <c r="I540" s="10">
        <v>12</v>
      </c>
      <c r="J540" s="15">
        <f>'Форма 2'!I2059</f>
        <v>98014.89</v>
      </c>
      <c r="K540" s="15">
        <v>0</v>
      </c>
      <c r="L540" s="15">
        <v>0</v>
      </c>
      <c r="M540" s="15">
        <v>0</v>
      </c>
      <c r="N540" s="15">
        <f>J540-O540</f>
        <v>98014.89</v>
      </c>
      <c r="O540" s="15">
        <v>0</v>
      </c>
      <c r="P540" s="15">
        <f>J540/H540</f>
        <v>247.7</v>
      </c>
      <c r="Q540" s="15">
        <f>'Форма 2'!K2059</f>
        <v>260</v>
      </c>
      <c r="R540" s="18">
        <v>2021</v>
      </c>
      <c r="S540" s="153">
        <v>1</v>
      </c>
    </row>
    <row r="541" spans="1:19" s="41" customFormat="1" ht="15.75" customHeight="1" x14ac:dyDescent="0.25">
      <c r="A541" s="195" t="s">
        <v>32</v>
      </c>
      <c r="B541" s="195"/>
      <c r="C541" s="195"/>
      <c r="D541" s="126" t="s">
        <v>13</v>
      </c>
      <c r="E541" s="126" t="s">
        <v>13</v>
      </c>
      <c r="F541" s="126" t="s">
        <v>13</v>
      </c>
      <c r="G541" s="25">
        <f>SUM(G542:G546)</f>
        <v>2165.77</v>
      </c>
      <c r="H541" s="25">
        <f t="shared" ref="H541:O541" si="155">SUM(H542:H546)</f>
        <v>1951.63</v>
      </c>
      <c r="I541" s="33">
        <f t="shared" si="155"/>
        <v>73</v>
      </c>
      <c r="J541" s="25">
        <f t="shared" si="155"/>
        <v>11934633.85</v>
      </c>
      <c r="K541" s="25">
        <f t="shared" si="155"/>
        <v>0</v>
      </c>
      <c r="L541" s="25">
        <f t="shared" si="155"/>
        <v>0</v>
      </c>
      <c r="M541" s="25">
        <f t="shared" si="155"/>
        <v>0</v>
      </c>
      <c r="N541" s="25">
        <f t="shared" si="155"/>
        <v>11934633.85</v>
      </c>
      <c r="O541" s="25">
        <f t="shared" si="155"/>
        <v>0</v>
      </c>
      <c r="P541" s="15" t="s">
        <v>13</v>
      </c>
      <c r="Q541" s="15" t="s">
        <v>13</v>
      </c>
      <c r="R541" s="15" t="s">
        <v>13</v>
      </c>
      <c r="S541" s="10" t="s">
        <v>13</v>
      </c>
    </row>
    <row r="542" spans="1:19" s="41" customFormat="1" ht="15.75" customHeight="1" x14ac:dyDescent="0.25">
      <c r="A542" s="113">
        <v>1</v>
      </c>
      <c r="B542" s="131">
        <v>7260</v>
      </c>
      <c r="C542" s="150" t="s">
        <v>454</v>
      </c>
      <c r="D542" s="22">
        <v>1969</v>
      </c>
      <c r="E542" s="22" t="s">
        <v>68</v>
      </c>
      <c r="F542" s="22" t="s">
        <v>82</v>
      </c>
      <c r="G542" s="25">
        <v>362.6</v>
      </c>
      <c r="H542" s="25">
        <v>335.4</v>
      </c>
      <c r="I542" s="33">
        <v>14</v>
      </c>
      <c r="J542" s="25">
        <f>'Форма 2'!I2062</f>
        <v>1990221.69</v>
      </c>
      <c r="K542" s="25">
        <v>0</v>
      </c>
      <c r="L542" s="25">
        <v>0</v>
      </c>
      <c r="M542" s="25">
        <v>0</v>
      </c>
      <c r="N542" s="25">
        <f>J542-K542-L542-M542-O542</f>
        <v>1990221.69</v>
      </c>
      <c r="O542" s="25">
        <v>0</v>
      </c>
      <c r="P542" s="15">
        <f>J542/H542</f>
        <v>5933.88</v>
      </c>
      <c r="Q542" s="15">
        <f>'Форма 2'!K2062</f>
        <v>8203</v>
      </c>
      <c r="R542" s="351" t="s">
        <v>379</v>
      </c>
      <c r="S542" s="10">
        <v>1</v>
      </c>
    </row>
    <row r="543" spans="1:19" s="41" customFormat="1" ht="15.75" customHeight="1" x14ac:dyDescent="0.25">
      <c r="A543" s="113">
        <f>A542+1</f>
        <v>2</v>
      </c>
      <c r="B543" s="131">
        <v>7261</v>
      </c>
      <c r="C543" s="150" t="s">
        <v>455</v>
      </c>
      <c r="D543" s="22">
        <v>1969</v>
      </c>
      <c r="E543" s="22" t="s">
        <v>68</v>
      </c>
      <c r="F543" s="22" t="s">
        <v>82</v>
      </c>
      <c r="G543" s="25">
        <v>376.32</v>
      </c>
      <c r="H543" s="25">
        <v>344.34</v>
      </c>
      <c r="I543" s="33">
        <v>12</v>
      </c>
      <c r="J543" s="25">
        <f>'Форма 2'!I2065</f>
        <v>1975579.81</v>
      </c>
      <c r="K543" s="25">
        <v>0</v>
      </c>
      <c r="L543" s="25">
        <v>0</v>
      </c>
      <c r="M543" s="25">
        <v>0</v>
      </c>
      <c r="N543" s="25">
        <f>J543-K543-L543-M543-O543</f>
        <v>1975579.81</v>
      </c>
      <c r="O543" s="25">
        <v>0</v>
      </c>
      <c r="P543" s="15">
        <f>J543/H543</f>
        <v>5737.29</v>
      </c>
      <c r="Q543" s="15">
        <f>'Форма 2'!K2065</f>
        <v>8203</v>
      </c>
      <c r="R543" s="351" t="s">
        <v>379</v>
      </c>
      <c r="S543" s="10">
        <v>1</v>
      </c>
    </row>
    <row r="544" spans="1:19" s="41" customFormat="1" ht="15.75" customHeight="1" x14ac:dyDescent="0.25">
      <c r="A544" s="113">
        <v>3</v>
      </c>
      <c r="B544" s="131">
        <v>7275</v>
      </c>
      <c r="C544" s="150" t="s">
        <v>503</v>
      </c>
      <c r="D544" s="22">
        <v>1971</v>
      </c>
      <c r="E544" s="22" t="s">
        <v>112</v>
      </c>
      <c r="F544" s="22" t="s">
        <v>82</v>
      </c>
      <c r="G544" s="25">
        <v>408.72</v>
      </c>
      <c r="H544" s="25">
        <v>365.52</v>
      </c>
      <c r="I544" s="33">
        <v>14</v>
      </c>
      <c r="J544" s="25">
        <f>'Форма 2'!I2068</f>
        <v>3818587.44</v>
      </c>
      <c r="K544" s="25">
        <v>0</v>
      </c>
      <c r="L544" s="25">
        <v>0</v>
      </c>
      <c r="M544" s="25">
        <v>0</v>
      </c>
      <c r="N544" s="25">
        <f>J544-K544-L544-M544-O544</f>
        <v>3818587.44</v>
      </c>
      <c r="O544" s="25">
        <v>0</v>
      </c>
      <c r="P544" s="15">
        <f>J544/H544</f>
        <v>10447</v>
      </c>
      <c r="Q544" s="15">
        <f>'Форма 2'!K2068</f>
        <v>10447</v>
      </c>
      <c r="R544" s="351" t="s">
        <v>379</v>
      </c>
      <c r="S544" s="10">
        <v>1</v>
      </c>
    </row>
    <row r="545" spans="1:19" s="41" customFormat="1" ht="15.75" customHeight="1" x14ac:dyDescent="0.25">
      <c r="A545" s="113">
        <v>4</v>
      </c>
      <c r="B545" s="131">
        <v>7317</v>
      </c>
      <c r="C545" s="150" t="s">
        <v>505</v>
      </c>
      <c r="D545" s="22">
        <v>1969</v>
      </c>
      <c r="E545" s="22" t="s">
        <v>68</v>
      </c>
      <c r="F545" s="22" t="s">
        <v>223</v>
      </c>
      <c r="G545" s="25">
        <v>585.54</v>
      </c>
      <c r="H545" s="25">
        <v>519.54</v>
      </c>
      <c r="I545" s="33">
        <v>19</v>
      </c>
      <c r="J545" s="25">
        <f>'Форма 2'!I2073</f>
        <v>1251727.72</v>
      </c>
      <c r="K545" s="25">
        <v>0</v>
      </c>
      <c r="L545" s="25">
        <v>0</v>
      </c>
      <c r="M545" s="25">
        <v>0</v>
      </c>
      <c r="N545" s="25">
        <f>J545-K545-L545-M545-O545</f>
        <v>1251727.72</v>
      </c>
      <c r="O545" s="25">
        <v>0</v>
      </c>
      <c r="P545" s="15">
        <f>J545/H545</f>
        <v>2409.3000000000002</v>
      </c>
      <c r="Q545" s="15">
        <f>'Форма 2'!K2073</f>
        <v>8031</v>
      </c>
      <c r="R545" s="351" t="s">
        <v>381</v>
      </c>
      <c r="S545" s="10">
        <v>1</v>
      </c>
    </row>
    <row r="546" spans="1:19" s="41" customFormat="1" ht="15.75" customHeight="1" x14ac:dyDescent="0.25">
      <c r="A546" s="113">
        <v>5</v>
      </c>
      <c r="B546" s="131">
        <v>7357</v>
      </c>
      <c r="C546" s="150" t="s">
        <v>506</v>
      </c>
      <c r="D546" s="22">
        <v>1968</v>
      </c>
      <c r="E546" s="22" t="s">
        <v>112</v>
      </c>
      <c r="F546" s="22" t="s">
        <v>82</v>
      </c>
      <c r="G546" s="25">
        <v>432.59</v>
      </c>
      <c r="H546" s="25">
        <v>386.83</v>
      </c>
      <c r="I546" s="33">
        <v>14</v>
      </c>
      <c r="J546" s="25">
        <f>'Форма 2'!I2075</f>
        <v>2898517.19</v>
      </c>
      <c r="K546" s="25">
        <v>0</v>
      </c>
      <c r="L546" s="25">
        <v>0</v>
      </c>
      <c r="M546" s="25">
        <v>0</v>
      </c>
      <c r="N546" s="25">
        <f>J546-K546-L546-M546-O546</f>
        <v>2898517.19</v>
      </c>
      <c r="O546" s="25">
        <v>0</v>
      </c>
      <c r="P546" s="15">
        <f>J546/H546</f>
        <v>7493</v>
      </c>
      <c r="Q546" s="15">
        <f>'Форма 2'!K2075</f>
        <v>7493</v>
      </c>
      <c r="R546" s="351" t="s">
        <v>379</v>
      </c>
      <c r="S546" s="10">
        <v>1</v>
      </c>
    </row>
    <row r="547" spans="1:19" ht="15.75" customHeight="1" x14ac:dyDescent="0.25">
      <c r="A547" s="194" t="s">
        <v>34</v>
      </c>
      <c r="B547" s="194"/>
      <c r="C547" s="194"/>
      <c r="D547" s="5" t="s">
        <v>13</v>
      </c>
      <c r="E547" s="15" t="s">
        <v>13</v>
      </c>
      <c r="F547" s="15" t="s">
        <v>13</v>
      </c>
      <c r="G547" s="15">
        <f t="shared" ref="G547:O547" si="156">SUM(G548:G551)</f>
        <v>1923.1</v>
      </c>
      <c r="H547" s="15">
        <f t="shared" si="156"/>
        <v>1578.1</v>
      </c>
      <c r="I547" s="10">
        <f t="shared" si="156"/>
        <v>59</v>
      </c>
      <c r="J547" s="15">
        <f t="shared" si="156"/>
        <v>4654941.4000000004</v>
      </c>
      <c r="K547" s="15">
        <f t="shared" si="156"/>
        <v>0</v>
      </c>
      <c r="L547" s="15">
        <f t="shared" si="156"/>
        <v>0</v>
      </c>
      <c r="M547" s="15">
        <f t="shared" si="156"/>
        <v>0</v>
      </c>
      <c r="N547" s="15">
        <f t="shared" si="156"/>
        <v>4654941.4000000004</v>
      </c>
      <c r="O547" s="15">
        <f t="shared" si="156"/>
        <v>0</v>
      </c>
      <c r="P547" s="15" t="s">
        <v>13</v>
      </c>
      <c r="Q547" s="15" t="s">
        <v>13</v>
      </c>
      <c r="R547" s="15" t="s">
        <v>13</v>
      </c>
      <c r="S547" s="10" t="s">
        <v>13</v>
      </c>
    </row>
    <row r="548" spans="1:19" ht="15.75" customHeight="1" x14ac:dyDescent="0.25">
      <c r="A548" s="21">
        <v>1</v>
      </c>
      <c r="B548" s="21">
        <v>6737</v>
      </c>
      <c r="C548" s="142" t="s">
        <v>291</v>
      </c>
      <c r="D548" s="134">
        <v>1966</v>
      </c>
      <c r="E548" s="134" t="s">
        <v>230</v>
      </c>
      <c r="F548" s="134" t="s">
        <v>82</v>
      </c>
      <c r="G548" s="354">
        <v>914.5</v>
      </c>
      <c r="H548" s="135">
        <v>699.5</v>
      </c>
      <c r="I548" s="138">
        <v>26</v>
      </c>
      <c r="J548" s="15">
        <f>'Форма 2'!I2081</f>
        <v>2442654</v>
      </c>
      <c r="K548" s="15">
        <v>0</v>
      </c>
      <c r="L548" s="15">
        <v>0</v>
      </c>
      <c r="M548" s="15">
        <v>0</v>
      </c>
      <c r="N548" s="15">
        <f>J548-O548</f>
        <v>2442654</v>
      </c>
      <c r="O548" s="15">
        <v>0</v>
      </c>
      <c r="P548" s="15">
        <f>J548/H548</f>
        <v>3492</v>
      </c>
      <c r="Q548" s="15">
        <f>'Форма 2'!K2081</f>
        <v>3497</v>
      </c>
      <c r="R548" s="353">
        <v>2021</v>
      </c>
      <c r="S548" s="153">
        <v>1</v>
      </c>
    </row>
    <row r="549" spans="1:19" ht="15.75" customHeight="1" x14ac:dyDescent="0.25">
      <c r="A549" s="21">
        <v>2</v>
      </c>
      <c r="B549" s="21">
        <v>6749</v>
      </c>
      <c r="C549" s="142" t="s">
        <v>292</v>
      </c>
      <c r="D549" s="134">
        <v>1966</v>
      </c>
      <c r="E549" s="141" t="s">
        <v>534</v>
      </c>
      <c r="F549" s="134" t="s">
        <v>82</v>
      </c>
      <c r="G549" s="354">
        <v>348.7</v>
      </c>
      <c r="H549" s="135">
        <v>288.7</v>
      </c>
      <c r="I549" s="138">
        <v>11</v>
      </c>
      <c r="J549" s="15">
        <f>'Форма 2'!I2086</f>
        <v>150990.1</v>
      </c>
      <c r="K549" s="15">
        <v>0</v>
      </c>
      <c r="L549" s="15">
        <v>0</v>
      </c>
      <c r="M549" s="15">
        <v>0</v>
      </c>
      <c r="N549" s="15">
        <f>J549-O549</f>
        <v>150990.1</v>
      </c>
      <c r="O549" s="15">
        <v>0</v>
      </c>
      <c r="P549" s="15">
        <f>J549/H549</f>
        <v>523</v>
      </c>
      <c r="Q549" s="15">
        <f>'Форма 2'!K2086</f>
        <v>524</v>
      </c>
      <c r="R549" s="353">
        <v>2021</v>
      </c>
      <c r="S549" s="153">
        <v>1</v>
      </c>
    </row>
    <row r="550" spans="1:19" ht="15.75" customHeight="1" x14ac:dyDescent="0.25">
      <c r="A550" s="21">
        <f>A549+1</f>
        <v>3</v>
      </c>
      <c r="B550" s="21">
        <v>6727</v>
      </c>
      <c r="C550" s="142" t="s">
        <v>293</v>
      </c>
      <c r="D550" s="134">
        <v>1966</v>
      </c>
      <c r="E550" s="134" t="s">
        <v>230</v>
      </c>
      <c r="F550" s="134" t="s">
        <v>82</v>
      </c>
      <c r="G550" s="354">
        <v>346.6</v>
      </c>
      <c r="H550" s="135">
        <v>316.60000000000002</v>
      </c>
      <c r="I550" s="138">
        <v>12</v>
      </c>
      <c r="J550" s="15">
        <f>'Форма 2'!I2089</f>
        <v>1105567.2</v>
      </c>
      <c r="K550" s="15">
        <v>0</v>
      </c>
      <c r="L550" s="15">
        <v>0</v>
      </c>
      <c r="M550" s="15">
        <v>0</v>
      </c>
      <c r="N550" s="15">
        <f>J550-O550</f>
        <v>1105567.2</v>
      </c>
      <c r="O550" s="15">
        <v>0</v>
      </c>
      <c r="P550" s="15">
        <f>J550/H550</f>
        <v>3492</v>
      </c>
      <c r="Q550" s="15">
        <f>'Форма 2'!K2089</f>
        <v>3497</v>
      </c>
      <c r="R550" s="353">
        <v>2021</v>
      </c>
      <c r="S550" s="153">
        <v>1</v>
      </c>
    </row>
    <row r="551" spans="1:19" s="158" customFormat="1" ht="15.75" customHeight="1" x14ac:dyDescent="0.25">
      <c r="A551" s="21">
        <f>A550+1</f>
        <v>4</v>
      </c>
      <c r="B551" s="21">
        <v>6733</v>
      </c>
      <c r="C551" s="142" t="s">
        <v>295</v>
      </c>
      <c r="D551" s="134">
        <v>1969</v>
      </c>
      <c r="E551" s="134" t="s">
        <v>230</v>
      </c>
      <c r="F551" s="141" t="s">
        <v>82</v>
      </c>
      <c r="G551" s="354">
        <v>313.3</v>
      </c>
      <c r="H551" s="135">
        <v>273.3</v>
      </c>
      <c r="I551" s="138">
        <v>10</v>
      </c>
      <c r="J551" s="15">
        <f>'Форма 2'!I2094</f>
        <v>955730.1</v>
      </c>
      <c r="K551" s="15">
        <v>0</v>
      </c>
      <c r="L551" s="15">
        <v>0</v>
      </c>
      <c r="M551" s="15">
        <v>0</v>
      </c>
      <c r="N551" s="15">
        <f>J551-O551</f>
        <v>955730.1</v>
      </c>
      <c r="O551" s="15">
        <v>0</v>
      </c>
      <c r="P551" s="15">
        <f>J551/H551</f>
        <v>3497</v>
      </c>
      <c r="Q551" s="15">
        <f>'Форма 2'!K2094</f>
        <v>3497</v>
      </c>
      <c r="R551" s="353">
        <v>2021</v>
      </c>
      <c r="S551" s="153">
        <v>1</v>
      </c>
    </row>
    <row r="552" spans="1:19" ht="15.75" customHeight="1" x14ac:dyDescent="0.25">
      <c r="A552" s="194" t="s">
        <v>35</v>
      </c>
      <c r="B552" s="194"/>
      <c r="C552" s="194"/>
      <c r="D552" s="5" t="s">
        <v>13</v>
      </c>
      <c r="E552" s="15" t="s">
        <v>13</v>
      </c>
      <c r="F552" s="15" t="s">
        <v>13</v>
      </c>
      <c r="G552" s="15">
        <f t="shared" ref="G552:O552" si="157">SUM(G553:G582)</f>
        <v>17853.8</v>
      </c>
      <c r="H552" s="15">
        <f t="shared" si="157"/>
        <v>16333.8</v>
      </c>
      <c r="I552" s="10">
        <f t="shared" si="157"/>
        <v>620</v>
      </c>
      <c r="J552" s="15">
        <f t="shared" si="157"/>
        <v>45227222.75</v>
      </c>
      <c r="K552" s="15">
        <f t="shared" si="157"/>
        <v>0</v>
      </c>
      <c r="L552" s="15">
        <f t="shared" si="157"/>
        <v>0</v>
      </c>
      <c r="M552" s="15">
        <f t="shared" si="157"/>
        <v>0</v>
      </c>
      <c r="N552" s="15">
        <f t="shared" si="157"/>
        <v>45227222.75</v>
      </c>
      <c r="O552" s="15">
        <f t="shared" si="157"/>
        <v>0</v>
      </c>
      <c r="P552" s="15" t="s">
        <v>13</v>
      </c>
      <c r="Q552" s="15" t="s">
        <v>13</v>
      </c>
      <c r="R552" s="15" t="s">
        <v>13</v>
      </c>
      <c r="S552" s="10" t="s">
        <v>13</v>
      </c>
    </row>
    <row r="553" spans="1:19" s="156" customFormat="1" ht="15.75" customHeight="1" x14ac:dyDescent="0.25">
      <c r="A553" s="113">
        <v>1</v>
      </c>
      <c r="B553" s="137">
        <v>5379</v>
      </c>
      <c r="C553" s="150" t="s">
        <v>535</v>
      </c>
      <c r="D553" s="22">
        <v>1966</v>
      </c>
      <c r="E553" s="22" t="s">
        <v>158</v>
      </c>
      <c r="F553" s="22" t="s">
        <v>81</v>
      </c>
      <c r="G553" s="25">
        <v>369.2</v>
      </c>
      <c r="H553" s="25">
        <v>327.39999999999998</v>
      </c>
      <c r="I553" s="33">
        <v>10</v>
      </c>
      <c r="J553" s="25">
        <f>'Форма 2'!I2100</f>
        <v>60896.4</v>
      </c>
      <c r="K553" s="25">
        <v>0</v>
      </c>
      <c r="L553" s="25">
        <v>0</v>
      </c>
      <c r="M553" s="25">
        <v>0</v>
      </c>
      <c r="N553" s="15">
        <f t="shared" ref="N553:N582" si="158">J553-K553-L553-M553-O553</f>
        <v>60896.4</v>
      </c>
      <c r="O553" s="25">
        <v>0</v>
      </c>
      <c r="P553" s="15">
        <f>J553/H553</f>
        <v>186</v>
      </c>
      <c r="Q553" s="25">
        <f>'Форма 2'!K2100</f>
        <v>186</v>
      </c>
      <c r="R553" s="18">
        <v>2021</v>
      </c>
      <c r="S553" s="153">
        <v>1</v>
      </c>
    </row>
    <row r="554" spans="1:19" s="156" customFormat="1" ht="15.75" customHeight="1" x14ac:dyDescent="0.25">
      <c r="A554" s="113">
        <f>A553+1</f>
        <v>2</v>
      </c>
      <c r="B554" s="137">
        <v>5672</v>
      </c>
      <c r="C554" s="157" t="s">
        <v>508</v>
      </c>
      <c r="D554" s="22">
        <v>1963</v>
      </c>
      <c r="E554" s="22" t="s">
        <v>484</v>
      </c>
      <c r="F554" s="22" t="s">
        <v>82</v>
      </c>
      <c r="G554" s="25">
        <v>340</v>
      </c>
      <c r="H554" s="25">
        <v>327.60000000000002</v>
      </c>
      <c r="I554" s="33">
        <v>18</v>
      </c>
      <c r="J554" s="25">
        <f>'Форма 2'!I2103</f>
        <v>1753971.61</v>
      </c>
      <c r="K554" s="25">
        <f>SUM(K563:K602)</f>
        <v>0</v>
      </c>
      <c r="L554" s="25">
        <f>SUM(L563:L602)</f>
        <v>0</v>
      </c>
      <c r="M554" s="25">
        <f>SUM(M563:M602)</f>
        <v>0</v>
      </c>
      <c r="N554" s="15">
        <f t="shared" si="158"/>
        <v>1753971.61</v>
      </c>
      <c r="O554" s="25">
        <v>0</v>
      </c>
      <c r="P554" s="15">
        <f>J554/H554</f>
        <v>5354</v>
      </c>
      <c r="Q554" s="25">
        <f>'Форма 2'!K2103</f>
        <v>6299</v>
      </c>
      <c r="R554" s="18">
        <v>2021</v>
      </c>
      <c r="S554" s="153">
        <v>1</v>
      </c>
    </row>
    <row r="555" spans="1:19" s="156" customFormat="1" ht="15.75" customHeight="1" x14ac:dyDescent="0.25">
      <c r="A555" s="113">
        <f t="shared" ref="A555:A582" si="159">A554+1</f>
        <v>3</v>
      </c>
      <c r="B555" s="137">
        <v>5674</v>
      </c>
      <c r="C555" s="157" t="s">
        <v>509</v>
      </c>
      <c r="D555" s="22">
        <v>1963</v>
      </c>
      <c r="E555" s="22" t="s">
        <v>158</v>
      </c>
      <c r="F555" s="22" t="s">
        <v>82</v>
      </c>
      <c r="G555" s="25">
        <v>542.70000000000005</v>
      </c>
      <c r="H555" s="25">
        <v>519.4</v>
      </c>
      <c r="I555" s="33">
        <v>17</v>
      </c>
      <c r="J555" s="25">
        <f>'Форма 2'!I2106</f>
        <v>1901523.4</v>
      </c>
      <c r="K555" s="25">
        <f t="shared" ref="K555:M556" si="160">SUM(K563:K607)</f>
        <v>0</v>
      </c>
      <c r="L555" s="25">
        <f t="shared" si="160"/>
        <v>0</v>
      </c>
      <c r="M555" s="25">
        <f t="shared" si="160"/>
        <v>0</v>
      </c>
      <c r="N555" s="15">
        <f t="shared" si="158"/>
        <v>1901523.4</v>
      </c>
      <c r="O555" s="25">
        <v>0</v>
      </c>
      <c r="P555" s="15">
        <f t="shared" ref="P555:P582" si="161">J555/H555</f>
        <v>3661</v>
      </c>
      <c r="Q555" s="25">
        <f>'Форма 2'!K2106</f>
        <v>3661</v>
      </c>
      <c r="R555" s="18">
        <v>2021</v>
      </c>
      <c r="S555" s="153">
        <v>1</v>
      </c>
    </row>
    <row r="556" spans="1:19" s="156" customFormat="1" ht="15.75" customHeight="1" x14ac:dyDescent="0.25">
      <c r="A556" s="113">
        <f t="shared" si="159"/>
        <v>4</v>
      </c>
      <c r="B556" s="137">
        <v>5584</v>
      </c>
      <c r="C556" s="157" t="s">
        <v>536</v>
      </c>
      <c r="D556" s="22">
        <v>1964</v>
      </c>
      <c r="E556" s="22" t="s">
        <v>68</v>
      </c>
      <c r="F556" s="22" t="s">
        <v>81</v>
      </c>
      <c r="G556" s="25">
        <v>313.7</v>
      </c>
      <c r="H556" s="25">
        <v>293.39999999999998</v>
      </c>
      <c r="I556" s="33">
        <v>16</v>
      </c>
      <c r="J556" s="25">
        <f>'Форма 2'!I2111</f>
        <v>75990.600000000006</v>
      </c>
      <c r="K556" s="25">
        <f t="shared" si="160"/>
        <v>0</v>
      </c>
      <c r="L556" s="25">
        <f t="shared" si="160"/>
        <v>0</v>
      </c>
      <c r="M556" s="25">
        <f t="shared" si="160"/>
        <v>0</v>
      </c>
      <c r="N556" s="15">
        <f t="shared" si="158"/>
        <v>75990.600000000006</v>
      </c>
      <c r="O556" s="25">
        <v>0</v>
      </c>
      <c r="P556" s="15">
        <f t="shared" si="161"/>
        <v>259</v>
      </c>
      <c r="Q556" s="25">
        <f>'Форма 2'!K2111</f>
        <v>259</v>
      </c>
      <c r="R556" s="18">
        <v>2021</v>
      </c>
      <c r="S556" s="153">
        <v>1</v>
      </c>
    </row>
    <row r="557" spans="1:19" s="156" customFormat="1" ht="15.75" customHeight="1" x14ac:dyDescent="0.25">
      <c r="A557" s="113">
        <f t="shared" si="159"/>
        <v>5</v>
      </c>
      <c r="B557" s="137">
        <v>5406</v>
      </c>
      <c r="C557" s="157" t="s">
        <v>510</v>
      </c>
      <c r="D557" s="22">
        <v>1963</v>
      </c>
      <c r="E557" s="22" t="s">
        <v>112</v>
      </c>
      <c r="F557" s="22" t="s">
        <v>81</v>
      </c>
      <c r="G557" s="25">
        <v>407.4</v>
      </c>
      <c r="H557" s="25">
        <v>380.2</v>
      </c>
      <c r="I557" s="33">
        <v>11</v>
      </c>
      <c r="J557" s="25">
        <f>'Форма 2'!I2113</f>
        <v>176412.79999999999</v>
      </c>
      <c r="K557" s="25">
        <f t="shared" ref="K557:M558" si="162">SUM(K564:K608)</f>
        <v>0</v>
      </c>
      <c r="L557" s="25">
        <f t="shared" si="162"/>
        <v>0</v>
      </c>
      <c r="M557" s="25">
        <f t="shared" si="162"/>
        <v>0</v>
      </c>
      <c r="N557" s="15">
        <f t="shared" si="158"/>
        <v>176412.79999999999</v>
      </c>
      <c r="O557" s="25">
        <v>0</v>
      </c>
      <c r="P557" s="15">
        <f t="shared" si="161"/>
        <v>464</v>
      </c>
      <c r="Q557" s="25">
        <f>'Форма 2'!K2113</f>
        <v>464</v>
      </c>
      <c r="R557" s="18">
        <v>2021</v>
      </c>
      <c r="S557" s="153">
        <v>1</v>
      </c>
    </row>
    <row r="558" spans="1:19" s="156" customFormat="1" ht="15.75" customHeight="1" x14ac:dyDescent="0.25">
      <c r="A558" s="113">
        <f t="shared" si="159"/>
        <v>6</v>
      </c>
      <c r="B558" s="137">
        <v>5590</v>
      </c>
      <c r="C558" s="157" t="s">
        <v>511</v>
      </c>
      <c r="D558" s="22">
        <v>1963</v>
      </c>
      <c r="E558" s="22" t="s">
        <v>68</v>
      </c>
      <c r="F558" s="22" t="s">
        <v>81</v>
      </c>
      <c r="G558" s="25">
        <v>615.79999999999995</v>
      </c>
      <c r="H558" s="25">
        <v>542.9</v>
      </c>
      <c r="I558" s="33">
        <v>19</v>
      </c>
      <c r="J558" s="25">
        <f>'Форма 2'!I2116</f>
        <v>140611.1</v>
      </c>
      <c r="K558" s="25">
        <f t="shared" si="162"/>
        <v>0</v>
      </c>
      <c r="L558" s="25">
        <f t="shared" si="162"/>
        <v>0</v>
      </c>
      <c r="M558" s="25">
        <f t="shared" si="162"/>
        <v>0</v>
      </c>
      <c r="N558" s="15">
        <f t="shared" si="158"/>
        <v>140611.1</v>
      </c>
      <c r="O558" s="25">
        <v>0</v>
      </c>
      <c r="P558" s="15">
        <f t="shared" si="161"/>
        <v>259</v>
      </c>
      <c r="Q558" s="25">
        <f>'Форма 2'!K2116</f>
        <v>259</v>
      </c>
      <c r="R558" s="18">
        <v>2021</v>
      </c>
      <c r="S558" s="153">
        <v>1</v>
      </c>
    </row>
    <row r="559" spans="1:19" s="156" customFormat="1" ht="15.75" customHeight="1" x14ac:dyDescent="0.25">
      <c r="A559" s="22">
        <f t="shared" si="159"/>
        <v>7</v>
      </c>
      <c r="B559" s="22">
        <v>5397</v>
      </c>
      <c r="C559" s="150" t="s">
        <v>590</v>
      </c>
      <c r="D559" s="22">
        <v>1960</v>
      </c>
      <c r="E559" s="137" t="s">
        <v>68</v>
      </c>
      <c r="F559" s="137" t="s">
        <v>82</v>
      </c>
      <c r="G559" s="25">
        <v>592.5</v>
      </c>
      <c r="H559" s="15">
        <v>524.29999999999995</v>
      </c>
      <c r="I559" s="26">
        <v>18</v>
      </c>
      <c r="J559" s="15">
        <f>'Форма 2'!I2118</f>
        <v>2757088.32</v>
      </c>
      <c r="K559" s="15">
        <v>0</v>
      </c>
      <c r="L559" s="15">
        <v>0</v>
      </c>
      <c r="M559" s="15">
        <v>0</v>
      </c>
      <c r="N559" s="15">
        <f t="shared" si="158"/>
        <v>2757088.32</v>
      </c>
      <c r="O559" s="15">
        <v>0</v>
      </c>
      <c r="P559" s="15">
        <f t="shared" si="161"/>
        <v>5258.61</v>
      </c>
      <c r="Q559" s="15">
        <f>'Форма 2'!K2118</f>
        <v>8203</v>
      </c>
      <c r="R559" s="18">
        <v>2021</v>
      </c>
      <c r="S559" s="153">
        <v>1</v>
      </c>
    </row>
    <row r="560" spans="1:19" s="156" customFormat="1" ht="15.75" customHeight="1" x14ac:dyDescent="0.25">
      <c r="A560" s="113">
        <f>A559+1</f>
        <v>8</v>
      </c>
      <c r="B560" s="137">
        <v>5608</v>
      </c>
      <c r="C560" s="157" t="s">
        <v>542</v>
      </c>
      <c r="D560" s="22">
        <v>1970</v>
      </c>
      <c r="E560" s="22" t="s">
        <v>68</v>
      </c>
      <c r="F560" s="22" t="s">
        <v>81</v>
      </c>
      <c r="G560" s="25">
        <v>725</v>
      </c>
      <c r="H560" s="25">
        <v>689.9</v>
      </c>
      <c r="I560" s="33">
        <v>22</v>
      </c>
      <c r="J560" s="25">
        <f>'Форма 2'!I2121</f>
        <v>172475</v>
      </c>
      <c r="K560" s="25">
        <v>0</v>
      </c>
      <c r="L560" s="25">
        <v>0</v>
      </c>
      <c r="M560" s="25">
        <v>0</v>
      </c>
      <c r="N560" s="15">
        <f>J560-K560-L560-M560-O565</f>
        <v>172475</v>
      </c>
      <c r="O560" s="15">
        <v>0</v>
      </c>
      <c r="P560" s="15">
        <f t="shared" si="161"/>
        <v>250</v>
      </c>
      <c r="Q560" s="15">
        <f>'Форма 2'!K2121</f>
        <v>250</v>
      </c>
      <c r="R560" s="18">
        <v>2021</v>
      </c>
      <c r="S560" s="153">
        <v>1</v>
      </c>
    </row>
    <row r="561" spans="1:19" s="156" customFormat="1" ht="15.75" customHeight="1" x14ac:dyDescent="0.25">
      <c r="A561" s="113">
        <f>A560+1</f>
        <v>9</v>
      </c>
      <c r="B561" s="137">
        <v>5623</v>
      </c>
      <c r="C561" s="157" t="s">
        <v>512</v>
      </c>
      <c r="D561" s="22">
        <v>1961</v>
      </c>
      <c r="E561" s="22" t="s">
        <v>484</v>
      </c>
      <c r="F561" s="22" t="s">
        <v>82</v>
      </c>
      <c r="G561" s="25">
        <v>775.7</v>
      </c>
      <c r="H561" s="25">
        <v>705.5</v>
      </c>
      <c r="I561" s="33">
        <v>23</v>
      </c>
      <c r="J561" s="25">
        <f>'Форма 2'!I2123</f>
        <v>3009285.75</v>
      </c>
      <c r="K561" s="25">
        <v>0</v>
      </c>
      <c r="L561" s="25">
        <v>0</v>
      </c>
      <c r="M561" s="25">
        <v>0</v>
      </c>
      <c r="N561" s="15">
        <f t="shared" si="158"/>
        <v>3009285.75</v>
      </c>
      <c r="O561" s="25">
        <v>0</v>
      </c>
      <c r="P561" s="15">
        <f>J561/H561</f>
        <v>4265.47</v>
      </c>
      <c r="Q561" s="25">
        <f>'Форма 2'!K2123</f>
        <v>6299</v>
      </c>
      <c r="R561" s="18">
        <v>2021</v>
      </c>
      <c r="S561" s="153">
        <v>1</v>
      </c>
    </row>
    <row r="562" spans="1:19" s="156" customFormat="1" ht="15.75" customHeight="1" x14ac:dyDescent="0.25">
      <c r="A562" s="113">
        <f t="shared" si="159"/>
        <v>10</v>
      </c>
      <c r="B562" s="22">
        <v>5627</v>
      </c>
      <c r="C562" s="157" t="s">
        <v>537</v>
      </c>
      <c r="D562" s="22">
        <v>1962</v>
      </c>
      <c r="E562" s="137" t="s">
        <v>68</v>
      </c>
      <c r="F562" s="137" t="s">
        <v>81</v>
      </c>
      <c r="G562" s="25">
        <v>755.5</v>
      </c>
      <c r="H562" s="15">
        <v>695.7</v>
      </c>
      <c r="I562" s="37">
        <v>27</v>
      </c>
      <c r="J562" s="15">
        <f>'Форма 2'!I2126</f>
        <v>180186.3</v>
      </c>
      <c r="K562" s="15">
        <v>0</v>
      </c>
      <c r="L562" s="15">
        <v>0</v>
      </c>
      <c r="M562" s="15">
        <v>0</v>
      </c>
      <c r="N562" s="15">
        <f t="shared" si="158"/>
        <v>180186.3</v>
      </c>
      <c r="O562" s="15">
        <v>0</v>
      </c>
      <c r="P562" s="15">
        <f>J562/H562</f>
        <v>259</v>
      </c>
      <c r="Q562" s="15">
        <f>'Форма 2'!K2126</f>
        <v>259</v>
      </c>
      <c r="R562" s="18">
        <v>2021</v>
      </c>
      <c r="S562" s="153">
        <v>1</v>
      </c>
    </row>
    <row r="563" spans="1:19" s="156" customFormat="1" ht="15.75" customHeight="1" x14ac:dyDescent="0.25">
      <c r="A563" s="113">
        <f t="shared" si="159"/>
        <v>11</v>
      </c>
      <c r="B563" s="22">
        <v>5468</v>
      </c>
      <c r="C563" s="150" t="s">
        <v>424</v>
      </c>
      <c r="D563" s="22">
        <v>1960</v>
      </c>
      <c r="E563" s="137" t="s">
        <v>112</v>
      </c>
      <c r="F563" s="137" t="s">
        <v>82</v>
      </c>
      <c r="G563" s="25">
        <v>440.9</v>
      </c>
      <c r="H563" s="15">
        <v>404</v>
      </c>
      <c r="I563" s="26">
        <v>13</v>
      </c>
      <c r="J563" s="15">
        <f>'Форма 2'!I2128</f>
        <v>2195333.0299999998</v>
      </c>
      <c r="K563" s="15">
        <v>0</v>
      </c>
      <c r="L563" s="15">
        <v>0</v>
      </c>
      <c r="M563" s="15">
        <v>0</v>
      </c>
      <c r="N563" s="15">
        <f t="shared" si="158"/>
        <v>2195333.0299999998</v>
      </c>
      <c r="O563" s="15">
        <v>0</v>
      </c>
      <c r="P563" s="15">
        <f t="shared" si="161"/>
        <v>5433.99</v>
      </c>
      <c r="Q563" s="15">
        <f>'Форма 2'!K2128</f>
        <v>10447</v>
      </c>
      <c r="R563" s="18">
        <v>2021</v>
      </c>
      <c r="S563" s="153">
        <v>1</v>
      </c>
    </row>
    <row r="564" spans="1:19" s="156" customFormat="1" ht="15.75" customHeight="1" x14ac:dyDescent="0.25">
      <c r="A564" s="113">
        <f t="shared" si="159"/>
        <v>12</v>
      </c>
      <c r="B564" s="22">
        <v>5469</v>
      </c>
      <c r="C564" s="150" t="s">
        <v>425</v>
      </c>
      <c r="D564" s="22">
        <v>1961</v>
      </c>
      <c r="E564" s="137" t="s">
        <v>484</v>
      </c>
      <c r="F564" s="137" t="s">
        <v>82</v>
      </c>
      <c r="G564" s="25">
        <v>354.7</v>
      </c>
      <c r="H564" s="15">
        <v>327.9</v>
      </c>
      <c r="I564" s="26">
        <v>11</v>
      </c>
      <c r="J564" s="15">
        <f>'Форма 2'!I2133</f>
        <v>1807361.29</v>
      </c>
      <c r="K564" s="15">
        <v>0</v>
      </c>
      <c r="L564" s="15">
        <v>0</v>
      </c>
      <c r="M564" s="15">
        <v>0</v>
      </c>
      <c r="N564" s="15">
        <f t="shared" si="158"/>
        <v>1807361.29</v>
      </c>
      <c r="O564" s="15">
        <v>0</v>
      </c>
      <c r="P564" s="15">
        <f t="shared" si="161"/>
        <v>5511.93</v>
      </c>
      <c r="Q564" s="15">
        <f>'Форма 2'!K2133</f>
        <v>6299</v>
      </c>
      <c r="R564" s="18">
        <v>2021</v>
      </c>
      <c r="S564" s="153">
        <v>1</v>
      </c>
    </row>
    <row r="565" spans="1:19" s="156" customFormat="1" ht="15.75" customHeight="1" x14ac:dyDescent="0.25">
      <c r="A565" s="113">
        <f t="shared" si="159"/>
        <v>13</v>
      </c>
      <c r="B565" s="22">
        <v>5470</v>
      </c>
      <c r="C565" s="150" t="s">
        <v>426</v>
      </c>
      <c r="D565" s="22">
        <v>1961</v>
      </c>
      <c r="E565" s="137" t="s">
        <v>68</v>
      </c>
      <c r="F565" s="137" t="s">
        <v>82</v>
      </c>
      <c r="G565" s="25">
        <v>348.8</v>
      </c>
      <c r="H565" s="15">
        <v>321.39999999999998</v>
      </c>
      <c r="I565" s="26">
        <v>10</v>
      </c>
      <c r="J565" s="15">
        <f>'Форма 2'!I2136</f>
        <v>2147973.91</v>
      </c>
      <c r="K565" s="15">
        <v>0</v>
      </c>
      <c r="L565" s="15">
        <v>0</v>
      </c>
      <c r="M565" s="15">
        <v>0</v>
      </c>
      <c r="N565" s="15">
        <f t="shared" si="158"/>
        <v>2147973.91</v>
      </c>
      <c r="O565" s="15">
        <v>0</v>
      </c>
      <c r="P565" s="15">
        <f t="shared" si="161"/>
        <v>6683.18</v>
      </c>
      <c r="Q565" s="15">
        <f>'Форма 2'!K2136</f>
        <v>8203</v>
      </c>
      <c r="R565" s="18">
        <v>2021</v>
      </c>
      <c r="S565" s="153">
        <v>1</v>
      </c>
    </row>
    <row r="566" spans="1:19" s="156" customFormat="1" ht="15.75" customHeight="1" x14ac:dyDescent="0.25">
      <c r="A566" s="113">
        <f t="shared" si="159"/>
        <v>14</v>
      </c>
      <c r="B566" s="22">
        <v>5473</v>
      </c>
      <c r="C566" s="150" t="s">
        <v>427</v>
      </c>
      <c r="D566" s="22">
        <v>1960</v>
      </c>
      <c r="E566" s="137" t="s">
        <v>68</v>
      </c>
      <c r="F566" s="137" t="s">
        <v>82</v>
      </c>
      <c r="G566" s="25">
        <v>438.1</v>
      </c>
      <c r="H566" s="15">
        <v>403.1</v>
      </c>
      <c r="I566" s="26">
        <v>13</v>
      </c>
      <c r="J566" s="15">
        <f>'Форма 2'!I2139</f>
        <v>2277941.2799999998</v>
      </c>
      <c r="K566" s="15">
        <v>0</v>
      </c>
      <c r="L566" s="15">
        <v>0</v>
      </c>
      <c r="M566" s="15">
        <v>0</v>
      </c>
      <c r="N566" s="15">
        <f t="shared" si="158"/>
        <v>2277941.2799999998</v>
      </c>
      <c r="O566" s="15">
        <v>0</v>
      </c>
      <c r="P566" s="15">
        <f t="shared" si="161"/>
        <v>5651.06</v>
      </c>
      <c r="Q566" s="15">
        <f>'Форма 2'!K2139</f>
        <v>8203</v>
      </c>
      <c r="R566" s="18">
        <v>2021</v>
      </c>
      <c r="S566" s="153">
        <v>1</v>
      </c>
    </row>
    <row r="567" spans="1:19" s="156" customFormat="1" ht="15.75" customHeight="1" x14ac:dyDescent="0.25">
      <c r="A567" s="113">
        <f t="shared" si="159"/>
        <v>15</v>
      </c>
      <c r="B567" s="137">
        <v>5491</v>
      </c>
      <c r="C567" s="157" t="s">
        <v>521</v>
      </c>
      <c r="D567" s="22">
        <v>1962</v>
      </c>
      <c r="E567" s="22" t="s">
        <v>68</v>
      </c>
      <c r="F567" s="22" t="s">
        <v>82</v>
      </c>
      <c r="G567" s="25">
        <v>687</v>
      </c>
      <c r="H567" s="25">
        <v>639.5</v>
      </c>
      <c r="I567" s="33">
        <v>22</v>
      </c>
      <c r="J567" s="25">
        <f>'Форма 2'!I2142</f>
        <v>4106953.07</v>
      </c>
      <c r="K567" s="25">
        <v>0</v>
      </c>
      <c r="L567" s="25">
        <v>0</v>
      </c>
      <c r="M567" s="25">
        <v>0</v>
      </c>
      <c r="N567" s="15">
        <f t="shared" si="158"/>
        <v>4106953.07</v>
      </c>
      <c r="O567" s="25">
        <v>0</v>
      </c>
      <c r="P567" s="15">
        <f t="shared" si="161"/>
        <v>6422.13</v>
      </c>
      <c r="Q567" s="25">
        <f>'Форма 2'!K2142</f>
        <v>8203</v>
      </c>
      <c r="R567" s="18">
        <v>2021</v>
      </c>
      <c r="S567" s="153">
        <v>1</v>
      </c>
    </row>
    <row r="568" spans="1:19" s="156" customFormat="1" ht="15.75" customHeight="1" x14ac:dyDescent="0.25">
      <c r="A568" s="22">
        <f t="shared" si="159"/>
        <v>16</v>
      </c>
      <c r="B568" s="22">
        <v>5493</v>
      </c>
      <c r="C568" s="150" t="s">
        <v>428</v>
      </c>
      <c r="D568" s="22">
        <v>1964</v>
      </c>
      <c r="E568" s="137" t="s">
        <v>68</v>
      </c>
      <c r="F568" s="137" t="s">
        <v>82</v>
      </c>
      <c r="G568" s="25">
        <v>1610.4</v>
      </c>
      <c r="H568" s="15">
        <v>1503.6</v>
      </c>
      <c r="I568" s="26">
        <v>48</v>
      </c>
      <c r="J568" s="15">
        <f>'Форма 2'!I2145</f>
        <v>7064643.1399999997</v>
      </c>
      <c r="K568" s="15">
        <v>0</v>
      </c>
      <c r="L568" s="15">
        <v>0</v>
      </c>
      <c r="M568" s="15">
        <v>0</v>
      </c>
      <c r="N568" s="15">
        <f t="shared" si="158"/>
        <v>7064643.1399999997</v>
      </c>
      <c r="O568" s="15">
        <v>0</v>
      </c>
      <c r="P568" s="15">
        <f t="shared" si="161"/>
        <v>4698.49</v>
      </c>
      <c r="Q568" s="15">
        <f>'Форма 2'!K2145</f>
        <v>5826</v>
      </c>
      <c r="R568" s="18">
        <v>2021</v>
      </c>
      <c r="S568" s="153">
        <v>1</v>
      </c>
    </row>
    <row r="569" spans="1:19" s="156" customFormat="1" ht="15.75" customHeight="1" x14ac:dyDescent="0.25">
      <c r="A569" s="113">
        <f t="shared" si="159"/>
        <v>17</v>
      </c>
      <c r="B569" s="137">
        <v>5494</v>
      </c>
      <c r="C569" s="157" t="s">
        <v>516</v>
      </c>
      <c r="D569" s="22">
        <v>1966</v>
      </c>
      <c r="E569" s="22" t="s">
        <v>68</v>
      </c>
      <c r="F569" s="22" t="s">
        <v>82</v>
      </c>
      <c r="G569" s="25">
        <v>1580.9</v>
      </c>
      <c r="H569" s="25">
        <v>1504.3</v>
      </c>
      <c r="I569" s="33">
        <v>56</v>
      </c>
      <c r="J569" s="25">
        <f>'Форма 2'!I2148</f>
        <v>6958263.9699999997</v>
      </c>
      <c r="K569" s="25">
        <v>0</v>
      </c>
      <c r="L569" s="25">
        <v>0</v>
      </c>
      <c r="M569" s="25">
        <v>0</v>
      </c>
      <c r="N569" s="15">
        <f t="shared" si="158"/>
        <v>6958263.9699999997</v>
      </c>
      <c r="O569" s="25">
        <v>0</v>
      </c>
      <c r="P569" s="15">
        <f t="shared" si="161"/>
        <v>4625.58</v>
      </c>
      <c r="Q569" s="25">
        <f>'Форма 2'!K2148</f>
        <v>5826</v>
      </c>
      <c r="R569" s="18">
        <v>2021</v>
      </c>
      <c r="S569" s="153">
        <v>1</v>
      </c>
    </row>
    <row r="570" spans="1:19" s="156" customFormat="1" ht="15.75" customHeight="1" x14ac:dyDescent="0.25">
      <c r="A570" s="113">
        <f t="shared" si="159"/>
        <v>18</v>
      </c>
      <c r="B570" s="27">
        <v>5495</v>
      </c>
      <c r="C570" s="157" t="s">
        <v>543</v>
      </c>
      <c r="D570" s="22">
        <v>1970</v>
      </c>
      <c r="E570" s="137" t="s">
        <v>68</v>
      </c>
      <c r="F570" s="22" t="s">
        <v>81</v>
      </c>
      <c r="G570" s="25">
        <v>1580.9</v>
      </c>
      <c r="H570" s="15">
        <v>1511.2</v>
      </c>
      <c r="I570" s="28">
        <v>51</v>
      </c>
      <c r="J570" s="15">
        <f>'Форма 2'!I2151</f>
        <v>365710.4</v>
      </c>
      <c r="K570" s="15">
        <v>0</v>
      </c>
      <c r="L570" s="15">
        <v>0</v>
      </c>
      <c r="M570" s="15">
        <v>0</v>
      </c>
      <c r="N570" s="15">
        <f t="shared" si="158"/>
        <v>365710.4</v>
      </c>
      <c r="O570" s="15">
        <v>0</v>
      </c>
      <c r="P570" s="15">
        <f>J570/H570</f>
        <v>242</v>
      </c>
      <c r="Q570" s="15">
        <f>'Форма 2'!K2151</f>
        <v>242</v>
      </c>
      <c r="R570" s="18">
        <v>2021</v>
      </c>
      <c r="S570" s="153">
        <v>1</v>
      </c>
    </row>
    <row r="571" spans="1:19" s="156" customFormat="1" ht="15.75" customHeight="1" x14ac:dyDescent="0.25">
      <c r="A571" s="22">
        <f>A570+1</f>
        <v>19</v>
      </c>
      <c r="B571" s="22">
        <v>5474</v>
      </c>
      <c r="C571" s="150" t="s">
        <v>517</v>
      </c>
      <c r="D571" s="22">
        <v>1963</v>
      </c>
      <c r="E571" s="137" t="s">
        <v>68</v>
      </c>
      <c r="F571" s="137" t="s">
        <v>81</v>
      </c>
      <c r="G571" s="25">
        <v>983</v>
      </c>
      <c r="H571" s="15">
        <v>751.5</v>
      </c>
      <c r="I571" s="26">
        <v>37</v>
      </c>
      <c r="J571" s="15">
        <f>'Форма 2'!I2153</f>
        <v>187875</v>
      </c>
      <c r="K571" s="15">
        <v>0</v>
      </c>
      <c r="L571" s="15">
        <v>0</v>
      </c>
      <c r="M571" s="15">
        <v>0</v>
      </c>
      <c r="N571" s="15">
        <f t="shared" si="158"/>
        <v>187875</v>
      </c>
      <c r="O571" s="15">
        <v>0</v>
      </c>
      <c r="P571" s="15">
        <f t="shared" si="161"/>
        <v>250</v>
      </c>
      <c r="Q571" s="15">
        <f>'Форма 2'!K2153</f>
        <v>250</v>
      </c>
      <c r="R571" s="18">
        <v>2021</v>
      </c>
      <c r="S571" s="153">
        <v>1</v>
      </c>
    </row>
    <row r="572" spans="1:19" s="156" customFormat="1" ht="15.75" customHeight="1" x14ac:dyDescent="0.25">
      <c r="A572" s="22">
        <f t="shared" si="159"/>
        <v>20</v>
      </c>
      <c r="B572" s="22">
        <v>5482</v>
      </c>
      <c r="C572" s="150" t="s">
        <v>429</v>
      </c>
      <c r="D572" s="22">
        <v>1960</v>
      </c>
      <c r="E572" s="137" t="s">
        <v>68</v>
      </c>
      <c r="F572" s="137" t="s">
        <v>82</v>
      </c>
      <c r="G572" s="25">
        <v>354.3</v>
      </c>
      <c r="H572" s="15">
        <v>323.60000000000002</v>
      </c>
      <c r="I572" s="29">
        <v>10</v>
      </c>
      <c r="J572" s="15">
        <f>'Форма 2'!I2155</f>
        <v>2038228.13</v>
      </c>
      <c r="K572" s="15">
        <v>0</v>
      </c>
      <c r="L572" s="15">
        <v>0</v>
      </c>
      <c r="M572" s="15">
        <v>0</v>
      </c>
      <c r="N572" s="15">
        <f t="shared" si="158"/>
        <v>2038228.13</v>
      </c>
      <c r="O572" s="15">
        <v>0</v>
      </c>
      <c r="P572" s="15">
        <f t="shared" si="161"/>
        <v>6298.6</v>
      </c>
      <c r="Q572" s="15">
        <f>'Форма 2'!K2155</f>
        <v>8203</v>
      </c>
      <c r="R572" s="18">
        <v>2021</v>
      </c>
      <c r="S572" s="153">
        <v>1</v>
      </c>
    </row>
    <row r="573" spans="1:19" s="156" customFormat="1" ht="15.75" customHeight="1" x14ac:dyDescent="0.25">
      <c r="A573" s="22">
        <f t="shared" si="159"/>
        <v>21</v>
      </c>
      <c r="B573" s="27">
        <v>5483</v>
      </c>
      <c r="C573" s="150" t="s">
        <v>522</v>
      </c>
      <c r="D573" s="22">
        <v>1960</v>
      </c>
      <c r="E573" s="137" t="s">
        <v>68</v>
      </c>
      <c r="F573" s="137" t="s">
        <v>81</v>
      </c>
      <c r="G573" s="25">
        <v>354</v>
      </c>
      <c r="H573" s="15">
        <v>323</v>
      </c>
      <c r="I573" s="30">
        <v>13</v>
      </c>
      <c r="J573" s="15">
        <f>'Форма 2'!I2158</f>
        <v>83657</v>
      </c>
      <c r="K573" s="15">
        <v>0</v>
      </c>
      <c r="L573" s="15">
        <v>0</v>
      </c>
      <c r="M573" s="15">
        <v>0</v>
      </c>
      <c r="N573" s="15">
        <f t="shared" si="158"/>
        <v>83657</v>
      </c>
      <c r="O573" s="15">
        <v>0</v>
      </c>
      <c r="P573" s="15">
        <f t="shared" si="161"/>
        <v>259</v>
      </c>
      <c r="Q573" s="15">
        <f>'Форма 2'!K2158</f>
        <v>259</v>
      </c>
      <c r="R573" s="18">
        <v>2021</v>
      </c>
      <c r="S573" s="153">
        <v>1</v>
      </c>
    </row>
    <row r="574" spans="1:19" s="156" customFormat="1" ht="15.75" customHeight="1" x14ac:dyDescent="0.25">
      <c r="A574" s="22">
        <f t="shared" si="159"/>
        <v>22</v>
      </c>
      <c r="B574" s="27">
        <v>5485</v>
      </c>
      <c r="C574" s="150" t="s">
        <v>523</v>
      </c>
      <c r="D574" s="22">
        <v>1961</v>
      </c>
      <c r="E574" s="137" t="s">
        <v>232</v>
      </c>
      <c r="F574" s="137" t="s">
        <v>82</v>
      </c>
      <c r="G574" s="25">
        <v>429.1</v>
      </c>
      <c r="H574" s="15">
        <v>394.2</v>
      </c>
      <c r="I574" s="30">
        <v>16</v>
      </c>
      <c r="J574" s="15">
        <f>'Форма 2'!I2160</f>
        <v>248740.2</v>
      </c>
      <c r="K574" s="15">
        <v>0</v>
      </c>
      <c r="L574" s="15">
        <v>0</v>
      </c>
      <c r="M574" s="15">
        <v>0</v>
      </c>
      <c r="N574" s="15">
        <f t="shared" si="158"/>
        <v>248740.2</v>
      </c>
      <c r="O574" s="15">
        <v>0</v>
      </c>
      <c r="P574" s="15">
        <f t="shared" si="161"/>
        <v>631</v>
      </c>
      <c r="Q574" s="15">
        <f>'Форма 2'!K2160</f>
        <v>631</v>
      </c>
      <c r="R574" s="18">
        <v>2021</v>
      </c>
      <c r="S574" s="153">
        <v>1</v>
      </c>
    </row>
    <row r="575" spans="1:19" s="156" customFormat="1" ht="15.75" customHeight="1" x14ac:dyDescent="0.25">
      <c r="A575" s="22">
        <f t="shared" si="159"/>
        <v>23</v>
      </c>
      <c r="B575" s="27">
        <v>5486</v>
      </c>
      <c r="C575" s="150" t="s">
        <v>524</v>
      </c>
      <c r="D575" s="22">
        <v>1961</v>
      </c>
      <c r="E575" s="137" t="s">
        <v>232</v>
      </c>
      <c r="F575" s="137" t="s">
        <v>82</v>
      </c>
      <c r="G575" s="25">
        <v>432.2</v>
      </c>
      <c r="H575" s="15">
        <v>398.4</v>
      </c>
      <c r="I575" s="30">
        <v>13</v>
      </c>
      <c r="J575" s="15">
        <f>'Форма 2'!I2163</f>
        <v>251390.4</v>
      </c>
      <c r="K575" s="15">
        <v>0</v>
      </c>
      <c r="L575" s="15">
        <v>0</v>
      </c>
      <c r="M575" s="15">
        <v>0</v>
      </c>
      <c r="N575" s="15">
        <f t="shared" si="158"/>
        <v>251390.4</v>
      </c>
      <c r="O575" s="15">
        <v>0</v>
      </c>
      <c r="P575" s="15">
        <f t="shared" si="161"/>
        <v>631</v>
      </c>
      <c r="Q575" s="15">
        <f>'Форма 2'!K2163</f>
        <v>631</v>
      </c>
      <c r="R575" s="18">
        <v>2021</v>
      </c>
      <c r="S575" s="153">
        <v>1</v>
      </c>
    </row>
    <row r="576" spans="1:19" s="156" customFormat="1" ht="15.75" customHeight="1" x14ac:dyDescent="0.25">
      <c r="A576" s="113">
        <f t="shared" si="159"/>
        <v>24</v>
      </c>
      <c r="B576" s="137">
        <v>5545</v>
      </c>
      <c r="C576" s="157" t="s">
        <v>513</v>
      </c>
      <c r="D576" s="22">
        <v>1965</v>
      </c>
      <c r="E576" s="22" t="s">
        <v>68</v>
      </c>
      <c r="F576" s="22" t="s">
        <v>82</v>
      </c>
      <c r="G576" s="25">
        <v>401.2</v>
      </c>
      <c r="H576" s="25">
        <v>356.8</v>
      </c>
      <c r="I576" s="33">
        <v>24</v>
      </c>
      <c r="J576" s="25">
        <f>'Форма 2'!I2166</f>
        <v>2419390.2999999998</v>
      </c>
      <c r="K576" s="25">
        <v>0</v>
      </c>
      <c r="L576" s="25">
        <v>0</v>
      </c>
      <c r="M576" s="25">
        <v>0</v>
      </c>
      <c r="N576" s="15">
        <f t="shared" si="158"/>
        <v>2419390.2999999998</v>
      </c>
      <c r="O576" s="25">
        <v>0</v>
      </c>
      <c r="P576" s="15">
        <f t="shared" si="161"/>
        <v>6780.8</v>
      </c>
      <c r="Q576" s="25">
        <f>'Форма 2'!K2166</f>
        <v>8203</v>
      </c>
      <c r="R576" s="18">
        <v>2021</v>
      </c>
      <c r="S576" s="153">
        <v>1</v>
      </c>
    </row>
    <row r="577" spans="1:19" s="156" customFormat="1" ht="15.75" customHeight="1" x14ac:dyDescent="0.25">
      <c r="A577" s="113">
        <f t="shared" si="159"/>
        <v>25</v>
      </c>
      <c r="B577" s="137">
        <v>5716</v>
      </c>
      <c r="C577" s="157" t="s">
        <v>538</v>
      </c>
      <c r="D577" s="22">
        <v>1965</v>
      </c>
      <c r="E577" s="22" t="s">
        <v>68</v>
      </c>
      <c r="F577" s="22" t="s">
        <v>81</v>
      </c>
      <c r="G577" s="25">
        <v>432.7</v>
      </c>
      <c r="H577" s="25">
        <v>380.8</v>
      </c>
      <c r="I577" s="33">
        <v>12</v>
      </c>
      <c r="J577" s="25">
        <f>'Форма 2'!I2169</f>
        <v>95200</v>
      </c>
      <c r="K577" s="25">
        <v>0</v>
      </c>
      <c r="L577" s="25">
        <v>0</v>
      </c>
      <c r="M577" s="25">
        <v>0</v>
      </c>
      <c r="N577" s="15">
        <f t="shared" si="158"/>
        <v>95200</v>
      </c>
      <c r="O577" s="25">
        <v>0</v>
      </c>
      <c r="P577" s="15">
        <f t="shared" si="161"/>
        <v>250</v>
      </c>
      <c r="Q577" s="25">
        <f>'Форма 2'!K2169</f>
        <v>250</v>
      </c>
      <c r="R577" s="18">
        <v>2021</v>
      </c>
      <c r="S577" s="153">
        <v>1</v>
      </c>
    </row>
    <row r="578" spans="1:19" s="156" customFormat="1" ht="15.75" customHeight="1" x14ac:dyDescent="0.25">
      <c r="A578" s="22">
        <f t="shared" si="159"/>
        <v>26</v>
      </c>
      <c r="B578" s="27">
        <v>5718</v>
      </c>
      <c r="C578" s="150" t="s">
        <v>539</v>
      </c>
      <c r="D578" s="22">
        <v>1967</v>
      </c>
      <c r="E578" s="137" t="s">
        <v>68</v>
      </c>
      <c r="F578" s="137" t="s">
        <v>81</v>
      </c>
      <c r="G578" s="25">
        <v>412.1</v>
      </c>
      <c r="H578" s="15">
        <v>376.5</v>
      </c>
      <c r="I578" s="33">
        <v>15</v>
      </c>
      <c r="J578" s="15">
        <f>'Форма 2'!I2171</f>
        <v>94125</v>
      </c>
      <c r="K578" s="15">
        <v>0</v>
      </c>
      <c r="L578" s="15">
        <v>0</v>
      </c>
      <c r="M578" s="15">
        <v>0</v>
      </c>
      <c r="N578" s="15">
        <f t="shared" si="158"/>
        <v>94125</v>
      </c>
      <c r="O578" s="15">
        <v>0</v>
      </c>
      <c r="P578" s="15">
        <f t="shared" si="161"/>
        <v>250</v>
      </c>
      <c r="Q578" s="15">
        <f>'Форма 2'!K2171</f>
        <v>250</v>
      </c>
      <c r="R578" s="18">
        <v>2021</v>
      </c>
      <c r="S578" s="153">
        <v>1</v>
      </c>
    </row>
    <row r="579" spans="1:19" s="156" customFormat="1" ht="15.75" customHeight="1" x14ac:dyDescent="0.25">
      <c r="A579" s="113">
        <f t="shared" si="159"/>
        <v>27</v>
      </c>
      <c r="B579" s="137">
        <v>5795</v>
      </c>
      <c r="C579" s="157" t="s">
        <v>540</v>
      </c>
      <c r="D579" s="22">
        <v>1969</v>
      </c>
      <c r="E579" s="22" t="s">
        <v>68</v>
      </c>
      <c r="F579" s="22" t="s">
        <v>81</v>
      </c>
      <c r="G579" s="25">
        <v>380</v>
      </c>
      <c r="H579" s="25">
        <v>340</v>
      </c>
      <c r="I579" s="33">
        <v>30</v>
      </c>
      <c r="J579" s="25">
        <f>'Форма 2'!I2173</f>
        <v>85000</v>
      </c>
      <c r="K579" s="25">
        <v>0</v>
      </c>
      <c r="L579" s="25">
        <v>0</v>
      </c>
      <c r="M579" s="25">
        <v>0</v>
      </c>
      <c r="N579" s="15">
        <f t="shared" si="158"/>
        <v>85000</v>
      </c>
      <c r="O579" s="25">
        <v>0</v>
      </c>
      <c r="P579" s="15">
        <f t="shared" si="161"/>
        <v>250</v>
      </c>
      <c r="Q579" s="25">
        <f>'Форма 2'!K2173</f>
        <v>250</v>
      </c>
      <c r="R579" s="18">
        <v>2021</v>
      </c>
      <c r="S579" s="153">
        <v>1</v>
      </c>
    </row>
    <row r="580" spans="1:19" s="156" customFormat="1" ht="15.75" customHeight="1" x14ac:dyDescent="0.25">
      <c r="A580" s="22">
        <f t="shared" si="159"/>
        <v>28</v>
      </c>
      <c r="B580" s="22">
        <v>5797</v>
      </c>
      <c r="C580" s="150" t="s">
        <v>514</v>
      </c>
      <c r="D580" s="22">
        <v>1965</v>
      </c>
      <c r="E580" s="137" t="s">
        <v>68</v>
      </c>
      <c r="F580" s="137" t="s">
        <v>81</v>
      </c>
      <c r="G580" s="25">
        <v>399.5</v>
      </c>
      <c r="H580" s="15">
        <v>353.9</v>
      </c>
      <c r="I580" s="28">
        <v>22</v>
      </c>
      <c r="J580" s="15">
        <f>'Форма 2'!I2175</f>
        <v>88475</v>
      </c>
      <c r="K580" s="15">
        <v>0</v>
      </c>
      <c r="L580" s="15">
        <v>0</v>
      </c>
      <c r="M580" s="15">
        <v>0</v>
      </c>
      <c r="N580" s="15">
        <f t="shared" si="158"/>
        <v>88475</v>
      </c>
      <c r="O580" s="15">
        <v>0</v>
      </c>
      <c r="P580" s="15">
        <f t="shared" si="161"/>
        <v>250</v>
      </c>
      <c r="Q580" s="15">
        <f>'Форма 2'!K2175</f>
        <v>250</v>
      </c>
      <c r="R580" s="18">
        <v>2021</v>
      </c>
      <c r="S580" s="153">
        <v>1</v>
      </c>
    </row>
    <row r="581" spans="1:19" s="156" customFormat="1" ht="15.75" customHeight="1" x14ac:dyDescent="0.25">
      <c r="A581" s="113">
        <f t="shared" si="159"/>
        <v>29</v>
      </c>
      <c r="B581" s="137">
        <v>5799</v>
      </c>
      <c r="C581" s="157" t="s">
        <v>515</v>
      </c>
      <c r="D581" s="22">
        <v>1965</v>
      </c>
      <c r="E581" s="22" t="s">
        <v>68</v>
      </c>
      <c r="F581" s="22" t="s">
        <v>82</v>
      </c>
      <c r="G581" s="25">
        <v>399.1</v>
      </c>
      <c r="H581" s="25">
        <v>352.4</v>
      </c>
      <c r="I581" s="33">
        <v>14</v>
      </c>
      <c r="J581" s="25">
        <f>'Форма 2'!I2177</f>
        <v>2415299.9500000002</v>
      </c>
      <c r="K581" s="25">
        <v>0</v>
      </c>
      <c r="L581" s="25">
        <v>0</v>
      </c>
      <c r="M581" s="25">
        <v>0</v>
      </c>
      <c r="N581" s="15">
        <f t="shared" si="158"/>
        <v>2415299.9500000002</v>
      </c>
      <c r="O581" s="25">
        <v>0</v>
      </c>
      <c r="P581" s="15">
        <f t="shared" si="161"/>
        <v>6853.86</v>
      </c>
      <c r="Q581" s="25">
        <f>'Форма 2'!K2177</f>
        <v>8203</v>
      </c>
      <c r="R581" s="18">
        <v>2021</v>
      </c>
      <c r="S581" s="153">
        <v>1</v>
      </c>
    </row>
    <row r="582" spans="1:19" s="156" customFormat="1" ht="15.75" customHeight="1" x14ac:dyDescent="0.25">
      <c r="A582" s="22">
        <f t="shared" si="159"/>
        <v>30</v>
      </c>
      <c r="B582" s="24">
        <v>5734</v>
      </c>
      <c r="C582" s="150" t="s">
        <v>541</v>
      </c>
      <c r="D582" s="22">
        <v>1965</v>
      </c>
      <c r="E582" s="137" t="s">
        <v>158</v>
      </c>
      <c r="F582" s="137" t="s">
        <v>81</v>
      </c>
      <c r="G582" s="25">
        <v>397.4</v>
      </c>
      <c r="H582" s="15">
        <v>361.4</v>
      </c>
      <c r="I582" s="28">
        <v>9</v>
      </c>
      <c r="J582" s="15">
        <f>'Форма 2'!I2180</f>
        <v>67220.399999999994</v>
      </c>
      <c r="K582" s="15">
        <v>0</v>
      </c>
      <c r="L582" s="15">
        <v>0</v>
      </c>
      <c r="M582" s="15">
        <v>0</v>
      </c>
      <c r="N582" s="15">
        <f t="shared" si="158"/>
        <v>67220.399999999994</v>
      </c>
      <c r="O582" s="15">
        <v>0</v>
      </c>
      <c r="P582" s="15">
        <f t="shared" si="161"/>
        <v>186</v>
      </c>
      <c r="Q582" s="15">
        <f>'Форма 2'!K2180</f>
        <v>186</v>
      </c>
      <c r="R582" s="18">
        <v>2021</v>
      </c>
      <c r="S582" s="153">
        <v>1</v>
      </c>
    </row>
    <row r="583" spans="1:19" ht="15.75" customHeight="1" x14ac:dyDescent="0.25">
      <c r="A583" s="194" t="s">
        <v>36</v>
      </c>
      <c r="B583" s="194"/>
      <c r="C583" s="194"/>
      <c r="D583" s="5" t="s">
        <v>13</v>
      </c>
      <c r="E583" s="15" t="s">
        <v>13</v>
      </c>
      <c r="F583" s="15" t="s">
        <v>13</v>
      </c>
      <c r="G583" s="15">
        <f>SUM(G584:G586)</f>
        <v>2369.4</v>
      </c>
      <c r="H583" s="15">
        <f t="shared" ref="H583:O583" si="163">SUM(H584:H586)</f>
        <v>1749.9</v>
      </c>
      <c r="I583" s="10">
        <f t="shared" si="163"/>
        <v>70</v>
      </c>
      <c r="J583" s="15">
        <f t="shared" si="163"/>
        <v>4344035.0999999996</v>
      </c>
      <c r="K583" s="15">
        <f t="shared" si="163"/>
        <v>0</v>
      </c>
      <c r="L583" s="15">
        <f t="shared" si="163"/>
        <v>0</v>
      </c>
      <c r="M583" s="15">
        <f t="shared" si="163"/>
        <v>0</v>
      </c>
      <c r="N583" s="15">
        <f t="shared" si="163"/>
        <v>4344035.0999999996</v>
      </c>
      <c r="O583" s="15">
        <f t="shared" si="163"/>
        <v>0</v>
      </c>
      <c r="P583" s="15" t="s">
        <v>13</v>
      </c>
      <c r="Q583" s="15" t="s">
        <v>13</v>
      </c>
      <c r="R583" s="15" t="s">
        <v>13</v>
      </c>
      <c r="S583" s="10" t="s">
        <v>13</v>
      </c>
    </row>
    <row r="584" spans="1:19" x14ac:dyDescent="0.25">
      <c r="A584" s="123">
        <v>1</v>
      </c>
      <c r="B584" s="141">
        <v>4901</v>
      </c>
      <c r="C584" s="151" t="s">
        <v>297</v>
      </c>
      <c r="D584" s="141">
        <v>1970</v>
      </c>
      <c r="E584" s="141" t="s">
        <v>232</v>
      </c>
      <c r="F584" s="141" t="s">
        <v>82</v>
      </c>
      <c r="G584" s="15">
        <v>369.2</v>
      </c>
      <c r="H584" s="15">
        <v>331.3</v>
      </c>
      <c r="I584" s="33">
        <v>14</v>
      </c>
      <c r="J584" s="25">
        <f>'Форма 2'!I2184</f>
        <v>209050.3</v>
      </c>
      <c r="K584" s="15">
        <v>0</v>
      </c>
      <c r="L584" s="15">
        <v>0</v>
      </c>
      <c r="M584" s="15">
        <v>0</v>
      </c>
      <c r="N584" s="15">
        <f>J584-O584</f>
        <v>209050.3</v>
      </c>
      <c r="O584" s="25">
        <v>0</v>
      </c>
      <c r="P584" s="25">
        <f>J584/H584</f>
        <v>631</v>
      </c>
      <c r="Q584" s="25">
        <f>'Форма 2'!K2184</f>
        <v>631</v>
      </c>
      <c r="R584" s="356" t="s">
        <v>379</v>
      </c>
      <c r="S584" s="153">
        <v>1</v>
      </c>
    </row>
    <row r="585" spans="1:19" ht="15.75" customHeight="1" x14ac:dyDescent="0.25">
      <c r="A585" s="8">
        <f>A584+1</f>
        <v>2</v>
      </c>
      <c r="B585" s="8">
        <v>4905</v>
      </c>
      <c r="C585" s="142" t="s">
        <v>298</v>
      </c>
      <c r="D585" s="134">
        <v>1974</v>
      </c>
      <c r="E585" s="134" t="s">
        <v>230</v>
      </c>
      <c r="F585" s="141" t="s">
        <v>82</v>
      </c>
      <c r="G585" s="25">
        <v>1572</v>
      </c>
      <c r="H585" s="25">
        <v>1060.7</v>
      </c>
      <c r="I585" s="33">
        <v>36</v>
      </c>
      <c r="J585" s="25">
        <f>'Форма 2'!I2187</f>
        <v>4045509.8</v>
      </c>
      <c r="K585" s="25">
        <v>0</v>
      </c>
      <c r="L585" s="25">
        <v>0</v>
      </c>
      <c r="M585" s="25">
        <v>0</v>
      </c>
      <c r="N585" s="25">
        <f>J585-O585</f>
        <v>4045509.8</v>
      </c>
      <c r="O585" s="25">
        <v>0</v>
      </c>
      <c r="P585" s="25">
        <f>J585/H585</f>
        <v>3814</v>
      </c>
      <c r="Q585" s="25">
        <f>'Форма 2'!K2187</f>
        <v>3814</v>
      </c>
      <c r="R585" s="18" t="s">
        <v>379</v>
      </c>
      <c r="S585" s="153">
        <v>1</v>
      </c>
    </row>
    <row r="586" spans="1:19" ht="15.75" customHeight="1" x14ac:dyDescent="0.25">
      <c r="A586" s="22">
        <f>A585+1</f>
        <v>3</v>
      </c>
      <c r="B586" s="22">
        <v>4933</v>
      </c>
      <c r="C586" s="151" t="s">
        <v>588</v>
      </c>
      <c r="D586" s="141">
        <v>1991</v>
      </c>
      <c r="E586" s="141" t="s">
        <v>68</v>
      </c>
      <c r="F586" s="141" t="s">
        <v>81</v>
      </c>
      <c r="G586" s="15">
        <v>428.2</v>
      </c>
      <c r="H586" s="15">
        <v>357.9</v>
      </c>
      <c r="I586" s="32">
        <v>20</v>
      </c>
      <c r="J586" s="15">
        <f>'Форма 2'!I2192</f>
        <v>89475</v>
      </c>
      <c r="K586" s="15">
        <v>0</v>
      </c>
      <c r="L586" s="15">
        <v>0</v>
      </c>
      <c r="M586" s="15">
        <v>0</v>
      </c>
      <c r="N586" s="15">
        <f>J586-O586</f>
        <v>89475</v>
      </c>
      <c r="O586" s="15">
        <v>0</v>
      </c>
      <c r="P586" s="15">
        <f>J586/H586</f>
        <v>250</v>
      </c>
      <c r="Q586" s="15">
        <f>'Форма 2'!K2192</f>
        <v>250</v>
      </c>
      <c r="R586" s="356" t="s">
        <v>379</v>
      </c>
      <c r="S586" s="153">
        <v>1</v>
      </c>
    </row>
    <row r="587" spans="1:19" ht="15.75" customHeight="1" x14ac:dyDescent="0.25">
      <c r="A587" s="194" t="s">
        <v>48</v>
      </c>
      <c r="B587" s="194"/>
      <c r="C587" s="194"/>
      <c r="D587" s="5" t="s">
        <v>13</v>
      </c>
      <c r="E587" s="15" t="s">
        <v>13</v>
      </c>
      <c r="F587" s="15" t="s">
        <v>13</v>
      </c>
      <c r="G587" s="15">
        <f t="shared" ref="G587:O587" si="164">SUM(G588:G589)</f>
        <v>603.75</v>
      </c>
      <c r="H587" s="15">
        <f t="shared" si="164"/>
        <v>575</v>
      </c>
      <c r="I587" s="10">
        <f t="shared" si="164"/>
        <v>26</v>
      </c>
      <c r="J587" s="15">
        <f t="shared" si="164"/>
        <v>2103345</v>
      </c>
      <c r="K587" s="15">
        <f t="shared" si="164"/>
        <v>0</v>
      </c>
      <c r="L587" s="15">
        <f t="shared" si="164"/>
        <v>0</v>
      </c>
      <c r="M587" s="15">
        <f t="shared" si="164"/>
        <v>0</v>
      </c>
      <c r="N587" s="15">
        <f t="shared" si="164"/>
        <v>2103345</v>
      </c>
      <c r="O587" s="15">
        <f t="shared" si="164"/>
        <v>0</v>
      </c>
      <c r="P587" s="15" t="s">
        <v>13</v>
      </c>
      <c r="Q587" s="15" t="s">
        <v>13</v>
      </c>
      <c r="R587" s="15" t="s">
        <v>13</v>
      </c>
      <c r="S587" s="10" t="s">
        <v>13</v>
      </c>
    </row>
    <row r="588" spans="1:19" ht="15.75" customHeight="1" x14ac:dyDescent="0.25">
      <c r="A588" s="8">
        <v>1</v>
      </c>
      <c r="B588" s="8">
        <v>6786</v>
      </c>
      <c r="C588" s="142" t="s">
        <v>301</v>
      </c>
      <c r="D588" s="134">
        <v>1966</v>
      </c>
      <c r="E588" s="134" t="s">
        <v>230</v>
      </c>
      <c r="F588" s="141" t="s">
        <v>82</v>
      </c>
      <c r="G588" s="354">
        <v>240.45</v>
      </c>
      <c r="H588" s="15">
        <v>229</v>
      </c>
      <c r="I588" s="138">
        <v>14</v>
      </c>
      <c r="J588" s="15">
        <f>'Форма 2'!I2195</f>
        <v>838369</v>
      </c>
      <c r="K588" s="15">
        <v>0</v>
      </c>
      <c r="L588" s="15">
        <v>0</v>
      </c>
      <c r="M588" s="15">
        <v>0</v>
      </c>
      <c r="N588" s="15">
        <f>J588-L588-M588-O588</f>
        <v>838369</v>
      </c>
      <c r="O588" s="15">
        <v>0</v>
      </c>
      <c r="P588" s="15">
        <f>J588/H588</f>
        <v>3661</v>
      </c>
      <c r="Q588" s="15">
        <f>'Форма 2'!K2195</f>
        <v>3661</v>
      </c>
      <c r="R588" s="353">
        <v>2021</v>
      </c>
      <c r="S588" s="153">
        <v>1</v>
      </c>
    </row>
    <row r="589" spans="1:19" ht="15.75" customHeight="1" x14ac:dyDescent="0.25">
      <c r="A589" s="8">
        <f>A588+1</f>
        <v>2</v>
      </c>
      <c r="B589" s="8">
        <v>6770</v>
      </c>
      <c r="C589" s="142" t="s">
        <v>300</v>
      </c>
      <c r="D589" s="134">
        <v>1965</v>
      </c>
      <c r="E589" s="134" t="s">
        <v>230</v>
      </c>
      <c r="F589" s="134" t="s">
        <v>82</v>
      </c>
      <c r="G589" s="354">
        <v>363.3</v>
      </c>
      <c r="H589" s="15">
        <v>346</v>
      </c>
      <c r="I589" s="138">
        <v>12</v>
      </c>
      <c r="J589" s="15">
        <f>'Форма 2'!I2200</f>
        <v>1264976</v>
      </c>
      <c r="K589" s="15">
        <f>K599</f>
        <v>0</v>
      </c>
      <c r="L589" s="15">
        <f>L599</f>
        <v>0</v>
      </c>
      <c r="M589" s="15">
        <f>M599</f>
        <v>0</v>
      </c>
      <c r="N589" s="15">
        <f>J589-L589-M589-O589</f>
        <v>1264976</v>
      </c>
      <c r="O589" s="15">
        <v>0</v>
      </c>
      <c r="P589" s="15">
        <f>J589/H589</f>
        <v>3656</v>
      </c>
      <c r="Q589" s="15">
        <f>'Форма 2'!K2200</f>
        <v>3661</v>
      </c>
      <c r="R589" s="353">
        <v>2021</v>
      </c>
      <c r="S589" s="153">
        <v>1</v>
      </c>
    </row>
    <row r="590" spans="1:19" ht="15.75" customHeight="1" x14ac:dyDescent="0.25">
      <c r="A590" s="196" t="s">
        <v>38</v>
      </c>
      <c r="B590" s="197"/>
      <c r="C590" s="198"/>
      <c r="D590" s="22" t="s">
        <v>13</v>
      </c>
      <c r="E590" s="22" t="s">
        <v>13</v>
      </c>
      <c r="F590" s="22" t="s">
        <v>13</v>
      </c>
      <c r="G590" s="25">
        <f>G591+G592</f>
        <v>1352.1</v>
      </c>
      <c r="H590" s="25">
        <f t="shared" ref="H590:O590" si="165">H591+H592</f>
        <v>1231.9000000000001</v>
      </c>
      <c r="I590" s="33">
        <f t="shared" si="165"/>
        <v>30</v>
      </c>
      <c r="J590" s="25">
        <f t="shared" si="165"/>
        <v>4886958.88</v>
      </c>
      <c r="K590" s="25">
        <f t="shared" si="165"/>
        <v>0</v>
      </c>
      <c r="L590" s="25">
        <f t="shared" si="165"/>
        <v>0</v>
      </c>
      <c r="M590" s="25">
        <f t="shared" si="165"/>
        <v>0</v>
      </c>
      <c r="N590" s="25">
        <f t="shared" si="165"/>
        <v>4886958.88</v>
      </c>
      <c r="O590" s="25">
        <f t="shared" si="165"/>
        <v>0</v>
      </c>
      <c r="P590" s="15" t="s">
        <v>13</v>
      </c>
      <c r="Q590" s="15" t="s">
        <v>13</v>
      </c>
      <c r="R590" s="15" t="s">
        <v>13</v>
      </c>
      <c r="S590" s="15" t="s">
        <v>13</v>
      </c>
    </row>
    <row r="591" spans="1:19" ht="15.75" customHeight="1" x14ac:dyDescent="0.25">
      <c r="A591" s="113">
        <v>1</v>
      </c>
      <c r="B591" s="137">
        <v>4976</v>
      </c>
      <c r="C591" s="157" t="s">
        <v>526</v>
      </c>
      <c r="D591" s="22">
        <v>1971</v>
      </c>
      <c r="E591" s="22" t="s">
        <v>112</v>
      </c>
      <c r="F591" s="22" t="s">
        <v>82</v>
      </c>
      <c r="G591" s="25">
        <v>780.9</v>
      </c>
      <c r="H591" s="25">
        <v>722.4</v>
      </c>
      <c r="I591" s="33">
        <v>17</v>
      </c>
      <c r="J591" s="25">
        <f>'Форма 2'!I2206</f>
        <v>2920962.63</v>
      </c>
      <c r="K591" s="25">
        <v>0</v>
      </c>
      <c r="L591" s="25">
        <v>0</v>
      </c>
      <c r="M591" s="25">
        <v>0</v>
      </c>
      <c r="N591" s="25">
        <f t="shared" ref="N591:N592" si="166">J591-K591-L591-M591-O591</f>
        <v>2920962.63</v>
      </c>
      <c r="O591" s="25">
        <v>0</v>
      </c>
      <c r="P591" s="15">
        <f t="shared" ref="P591:P592" si="167">J591/H591</f>
        <v>4043.41</v>
      </c>
      <c r="Q591" s="15">
        <f>'Форма 2'!K2206</f>
        <v>7493</v>
      </c>
      <c r="R591" s="18">
        <v>2021</v>
      </c>
      <c r="S591" s="10">
        <v>1</v>
      </c>
    </row>
    <row r="592" spans="1:19" ht="15.75" customHeight="1" x14ac:dyDescent="0.25">
      <c r="A592" s="113">
        <v>2</v>
      </c>
      <c r="B592" s="137">
        <v>4978</v>
      </c>
      <c r="C592" s="157" t="s">
        <v>529</v>
      </c>
      <c r="D592" s="22">
        <v>1974</v>
      </c>
      <c r="E592" s="22" t="s">
        <v>112</v>
      </c>
      <c r="F592" s="22" t="s">
        <v>82</v>
      </c>
      <c r="G592" s="25">
        <v>571.20000000000005</v>
      </c>
      <c r="H592" s="25">
        <v>509.5</v>
      </c>
      <c r="I592" s="33">
        <v>13</v>
      </c>
      <c r="J592" s="25">
        <f>'Форма 2'!I2211</f>
        <v>1965996.25</v>
      </c>
      <c r="K592" s="25">
        <v>0</v>
      </c>
      <c r="L592" s="25">
        <v>0</v>
      </c>
      <c r="M592" s="25">
        <v>0</v>
      </c>
      <c r="N592" s="25">
        <f t="shared" si="166"/>
        <v>1965996.25</v>
      </c>
      <c r="O592" s="25">
        <v>0</v>
      </c>
      <c r="P592" s="15">
        <f t="shared" si="167"/>
        <v>3858.68</v>
      </c>
      <c r="Q592" s="15">
        <f>'Форма 2'!K2211</f>
        <v>7493</v>
      </c>
      <c r="R592" s="18">
        <v>2021</v>
      </c>
      <c r="S592" s="10">
        <v>1</v>
      </c>
    </row>
    <row r="593" spans="1:19" ht="15.75" customHeight="1" x14ac:dyDescent="0.25">
      <c r="A593" s="193" t="s">
        <v>51</v>
      </c>
      <c r="B593" s="193"/>
      <c r="C593" s="193"/>
      <c r="D593" s="5" t="s">
        <v>13</v>
      </c>
      <c r="E593" s="15" t="s">
        <v>13</v>
      </c>
      <c r="F593" s="15" t="s">
        <v>13</v>
      </c>
      <c r="G593" s="25">
        <f>SUM(G594:G595)</f>
        <v>737.71</v>
      </c>
      <c r="H593" s="25">
        <f t="shared" ref="H593:O593" si="168">SUM(H594:H595)</f>
        <v>607.58000000000004</v>
      </c>
      <c r="I593" s="33">
        <f t="shared" si="168"/>
        <v>29</v>
      </c>
      <c r="J593" s="25">
        <f t="shared" si="168"/>
        <v>2462392.21</v>
      </c>
      <c r="K593" s="25">
        <f t="shared" si="168"/>
        <v>0</v>
      </c>
      <c r="L593" s="25">
        <f t="shared" si="168"/>
        <v>0</v>
      </c>
      <c r="M593" s="25">
        <f t="shared" si="168"/>
        <v>0</v>
      </c>
      <c r="N593" s="25">
        <f t="shared" si="168"/>
        <v>2462392.21</v>
      </c>
      <c r="O593" s="25">
        <f t="shared" si="168"/>
        <v>0</v>
      </c>
      <c r="P593" s="15" t="s">
        <v>13</v>
      </c>
      <c r="Q593" s="15" t="s">
        <v>13</v>
      </c>
      <c r="R593" s="15" t="s">
        <v>13</v>
      </c>
      <c r="S593" s="10" t="s">
        <v>13</v>
      </c>
    </row>
    <row r="594" spans="1:19" ht="15.75" customHeight="1" x14ac:dyDescent="0.25">
      <c r="A594" s="21">
        <v>1</v>
      </c>
      <c r="B594" s="21">
        <v>7422</v>
      </c>
      <c r="C594" s="150" t="s">
        <v>336</v>
      </c>
      <c r="D594" s="137">
        <v>1976</v>
      </c>
      <c r="E594" s="137" t="s">
        <v>68</v>
      </c>
      <c r="F594" s="137" t="s">
        <v>296</v>
      </c>
      <c r="G594" s="25">
        <v>363.7</v>
      </c>
      <c r="H594" s="15">
        <v>358.5</v>
      </c>
      <c r="I594" s="33">
        <v>16</v>
      </c>
      <c r="J594" s="15">
        <f>'Форма 2'!I2217</f>
        <v>2394891.5299999998</v>
      </c>
      <c r="K594" s="15">
        <v>0</v>
      </c>
      <c r="L594" s="15">
        <v>0</v>
      </c>
      <c r="M594" s="15">
        <v>0</v>
      </c>
      <c r="N594" s="15">
        <f>J594-K594-L594-M594-O594</f>
        <v>2394891.5299999998</v>
      </c>
      <c r="O594" s="15">
        <v>0</v>
      </c>
      <c r="P594" s="15">
        <f>J594/H594</f>
        <v>6680.31</v>
      </c>
      <c r="Q594" s="15">
        <f>'Форма 2'!K2217</f>
        <v>7688</v>
      </c>
      <c r="R594" s="353">
        <v>2021</v>
      </c>
      <c r="S594" s="153">
        <v>1</v>
      </c>
    </row>
    <row r="595" spans="1:19" ht="15.75" customHeight="1" x14ac:dyDescent="0.25">
      <c r="A595" s="22">
        <f>A594+1</f>
        <v>2</v>
      </c>
      <c r="B595" s="24">
        <v>7384</v>
      </c>
      <c r="C595" s="150" t="s">
        <v>592</v>
      </c>
      <c r="D595" s="22">
        <v>1969</v>
      </c>
      <c r="E595" s="137" t="s">
        <v>112</v>
      </c>
      <c r="F595" s="137" t="s">
        <v>81</v>
      </c>
      <c r="G595" s="25">
        <v>374.01</v>
      </c>
      <c r="H595" s="15">
        <v>249.08</v>
      </c>
      <c r="I595" s="33">
        <v>13</v>
      </c>
      <c r="J595" s="15">
        <f>'Форма 2'!I2220</f>
        <v>67500.679999999993</v>
      </c>
      <c r="K595" s="15">
        <v>0</v>
      </c>
      <c r="L595" s="15">
        <v>0</v>
      </c>
      <c r="M595" s="15">
        <v>0</v>
      </c>
      <c r="N595" s="15">
        <f>J595-K595-L595-M595-O595</f>
        <v>67500.679999999993</v>
      </c>
      <c r="O595" s="15">
        <v>0</v>
      </c>
      <c r="P595" s="15">
        <f>J595/H595</f>
        <v>271</v>
      </c>
      <c r="Q595" s="15">
        <f>'Форма 2'!K2220</f>
        <v>271</v>
      </c>
      <c r="R595" s="18">
        <v>2021</v>
      </c>
      <c r="S595" s="153">
        <v>1</v>
      </c>
    </row>
    <row r="596" spans="1:19" ht="15.75" customHeight="1" x14ac:dyDescent="0.25">
      <c r="A596" s="175" t="s">
        <v>49</v>
      </c>
      <c r="B596" s="175"/>
      <c r="C596" s="175"/>
      <c r="D596" s="5" t="s">
        <v>13</v>
      </c>
      <c r="E596" s="15" t="s">
        <v>13</v>
      </c>
      <c r="F596" s="15" t="s">
        <v>13</v>
      </c>
      <c r="G596" s="15">
        <f t="shared" ref="G596:O596" si="169">SUM(G597:G624)</f>
        <v>28092.25</v>
      </c>
      <c r="H596" s="15">
        <f t="shared" si="169"/>
        <v>22896.01</v>
      </c>
      <c r="I596" s="10">
        <f t="shared" si="169"/>
        <v>908</v>
      </c>
      <c r="J596" s="15">
        <f t="shared" si="169"/>
        <v>36400207.049999997</v>
      </c>
      <c r="K596" s="15">
        <f t="shared" si="169"/>
        <v>0</v>
      </c>
      <c r="L596" s="15">
        <f t="shared" si="169"/>
        <v>0</v>
      </c>
      <c r="M596" s="15">
        <f t="shared" si="169"/>
        <v>0</v>
      </c>
      <c r="N596" s="15">
        <f t="shared" si="169"/>
        <v>36400207.049999997</v>
      </c>
      <c r="O596" s="15">
        <f t="shared" si="169"/>
        <v>0</v>
      </c>
      <c r="P596" s="15" t="s">
        <v>13</v>
      </c>
      <c r="Q596" s="15" t="s">
        <v>13</v>
      </c>
      <c r="R596" s="15" t="s">
        <v>13</v>
      </c>
      <c r="S596" s="10" t="s">
        <v>13</v>
      </c>
    </row>
    <row r="597" spans="1:19" ht="15.75" customHeight="1" x14ac:dyDescent="0.25">
      <c r="A597" s="21">
        <v>1</v>
      </c>
      <c r="B597" s="8">
        <v>6855</v>
      </c>
      <c r="C597" s="334" t="s">
        <v>306</v>
      </c>
      <c r="D597" s="137">
        <v>1965</v>
      </c>
      <c r="E597" s="22" t="s">
        <v>232</v>
      </c>
      <c r="F597" s="22" t="s">
        <v>81</v>
      </c>
      <c r="G597" s="25">
        <v>424.9</v>
      </c>
      <c r="H597" s="15">
        <v>396.5</v>
      </c>
      <c r="I597" s="33">
        <v>16</v>
      </c>
      <c r="J597" s="15">
        <f>'Форма 2'!I2224</f>
        <v>16653</v>
      </c>
      <c r="K597" s="350">
        <v>0</v>
      </c>
      <c r="L597" s="15">
        <v>0</v>
      </c>
      <c r="M597" s="15">
        <v>0</v>
      </c>
      <c r="N597" s="15">
        <f>J597-K597-L597-M597-O597</f>
        <v>16653</v>
      </c>
      <c r="O597" s="15">
        <v>0</v>
      </c>
      <c r="P597" s="15">
        <f t="shared" ref="P597:P624" si="170">J597/H597</f>
        <v>42</v>
      </c>
      <c r="Q597" s="15">
        <f>'Форма 2'!K2224</f>
        <v>42</v>
      </c>
      <c r="R597" s="353">
        <v>2021</v>
      </c>
      <c r="S597" s="153">
        <v>1</v>
      </c>
    </row>
    <row r="598" spans="1:19" ht="15.75" customHeight="1" x14ac:dyDescent="0.25">
      <c r="A598" s="21">
        <f t="shared" ref="A598:A624" si="171">A597+1</f>
        <v>2</v>
      </c>
      <c r="B598" s="20">
        <v>7023</v>
      </c>
      <c r="C598" s="150" t="s">
        <v>307</v>
      </c>
      <c r="D598" s="137">
        <v>1968</v>
      </c>
      <c r="E598" s="137" t="s">
        <v>95</v>
      </c>
      <c r="F598" s="22" t="s">
        <v>81</v>
      </c>
      <c r="G598" s="25">
        <v>1728.9</v>
      </c>
      <c r="H598" s="15">
        <v>1276.9000000000001</v>
      </c>
      <c r="I598" s="33">
        <v>47</v>
      </c>
      <c r="J598" s="15">
        <f>'Форма 2'!I2226</f>
        <v>60014.3</v>
      </c>
      <c r="K598" s="350">
        <v>0</v>
      </c>
      <c r="L598" s="350">
        <v>0</v>
      </c>
      <c r="M598" s="350">
        <v>0</v>
      </c>
      <c r="N598" s="350">
        <f>J598-K598-L598-M598-O598</f>
        <v>60014.3</v>
      </c>
      <c r="O598" s="15">
        <v>0</v>
      </c>
      <c r="P598" s="15">
        <f t="shared" si="170"/>
        <v>47</v>
      </c>
      <c r="Q598" s="15">
        <f>'Форма 2'!K2226</f>
        <v>47</v>
      </c>
      <c r="R598" s="353">
        <v>2021</v>
      </c>
      <c r="S598" s="153">
        <v>1</v>
      </c>
    </row>
    <row r="599" spans="1:19" ht="15.75" customHeight="1" x14ac:dyDescent="0.25">
      <c r="A599" s="21">
        <f t="shared" si="171"/>
        <v>3</v>
      </c>
      <c r="B599" s="21">
        <v>7024</v>
      </c>
      <c r="C599" s="150" t="s">
        <v>308</v>
      </c>
      <c r="D599" s="137">
        <v>1968</v>
      </c>
      <c r="E599" s="137" t="s">
        <v>95</v>
      </c>
      <c r="F599" s="22" t="s">
        <v>81</v>
      </c>
      <c r="G599" s="25">
        <v>1698.5</v>
      </c>
      <c r="H599" s="15">
        <v>1249.5999999999999</v>
      </c>
      <c r="I599" s="33">
        <v>47</v>
      </c>
      <c r="J599" s="15">
        <f>'Форма 2'!I2228</f>
        <v>58731.199999999997</v>
      </c>
      <c r="K599" s="350">
        <v>0</v>
      </c>
      <c r="L599" s="350">
        <v>0</v>
      </c>
      <c r="M599" s="350">
        <v>0</v>
      </c>
      <c r="N599" s="350">
        <f>J599-K599-L599-M599-O599</f>
        <v>58731.199999999997</v>
      </c>
      <c r="O599" s="15">
        <v>0</v>
      </c>
      <c r="P599" s="15">
        <f t="shared" si="170"/>
        <v>47</v>
      </c>
      <c r="Q599" s="15">
        <f>'Форма 2'!K2228</f>
        <v>47</v>
      </c>
      <c r="R599" s="353">
        <v>2021</v>
      </c>
      <c r="S599" s="153">
        <v>1</v>
      </c>
    </row>
    <row r="600" spans="1:19" ht="15.75" customHeight="1" x14ac:dyDescent="0.25">
      <c r="A600" s="21">
        <f t="shared" si="171"/>
        <v>4</v>
      </c>
      <c r="B600" s="21">
        <v>6966</v>
      </c>
      <c r="C600" s="150" t="s">
        <v>310</v>
      </c>
      <c r="D600" s="137">
        <v>1953</v>
      </c>
      <c r="E600" s="137" t="s">
        <v>93</v>
      </c>
      <c r="F600" s="22" t="s">
        <v>82</v>
      </c>
      <c r="G600" s="25">
        <v>414.9</v>
      </c>
      <c r="H600" s="15">
        <v>376.1</v>
      </c>
      <c r="I600" s="33">
        <v>15</v>
      </c>
      <c r="J600" s="15">
        <f>'Форма 2'!I2230</f>
        <v>1521324.5</v>
      </c>
      <c r="K600" s="15">
        <v>0</v>
      </c>
      <c r="L600" s="15">
        <v>0</v>
      </c>
      <c r="M600" s="15">
        <v>0</v>
      </c>
      <c r="N600" s="15">
        <f t="shared" ref="N600:N624" si="172">J600-K600-L600-M600-O600</f>
        <v>1521324.5</v>
      </c>
      <c r="O600" s="15">
        <v>0</v>
      </c>
      <c r="P600" s="15">
        <f t="shared" si="170"/>
        <v>4045</v>
      </c>
      <c r="Q600" s="15">
        <f>'Форма 2'!K2230</f>
        <v>4051</v>
      </c>
      <c r="R600" s="353">
        <v>2021</v>
      </c>
      <c r="S600" s="153">
        <v>1</v>
      </c>
    </row>
    <row r="601" spans="1:19" ht="15.75" customHeight="1" x14ac:dyDescent="0.25">
      <c r="A601" s="21">
        <f t="shared" si="171"/>
        <v>5</v>
      </c>
      <c r="B601" s="21">
        <v>6968</v>
      </c>
      <c r="C601" s="150" t="s">
        <v>311</v>
      </c>
      <c r="D601" s="137">
        <v>1955</v>
      </c>
      <c r="E601" s="137" t="s">
        <v>93</v>
      </c>
      <c r="F601" s="22" t="s">
        <v>82</v>
      </c>
      <c r="G601" s="25">
        <v>432.5</v>
      </c>
      <c r="H601" s="15">
        <v>393.8</v>
      </c>
      <c r="I601" s="33">
        <v>16</v>
      </c>
      <c r="J601" s="15">
        <f>'Форма 2'!I2237</f>
        <v>1592921</v>
      </c>
      <c r="K601" s="15">
        <v>0</v>
      </c>
      <c r="L601" s="15">
        <v>0</v>
      </c>
      <c r="M601" s="15">
        <v>0</v>
      </c>
      <c r="N601" s="15">
        <f t="shared" si="172"/>
        <v>1592921</v>
      </c>
      <c r="O601" s="15">
        <v>0</v>
      </c>
      <c r="P601" s="15">
        <f t="shared" si="170"/>
        <v>4045</v>
      </c>
      <c r="Q601" s="15">
        <f>'Форма 2'!K2237</f>
        <v>4051</v>
      </c>
      <c r="R601" s="353">
        <v>2021</v>
      </c>
      <c r="S601" s="153">
        <v>1</v>
      </c>
    </row>
    <row r="602" spans="1:19" ht="15.75" customHeight="1" x14ac:dyDescent="0.25">
      <c r="A602" s="21">
        <f t="shared" si="171"/>
        <v>6</v>
      </c>
      <c r="B602" s="21">
        <v>6974</v>
      </c>
      <c r="C602" s="150" t="s">
        <v>312</v>
      </c>
      <c r="D602" s="137">
        <v>1961</v>
      </c>
      <c r="E602" s="137" t="s">
        <v>93</v>
      </c>
      <c r="F602" s="22" t="s">
        <v>81</v>
      </c>
      <c r="G602" s="25">
        <v>1024.42</v>
      </c>
      <c r="H602" s="15">
        <v>629.72</v>
      </c>
      <c r="I602" s="33">
        <v>25</v>
      </c>
      <c r="J602" s="15">
        <f>'Форма 2'!I2244</f>
        <v>136649.24</v>
      </c>
      <c r="K602" s="15">
        <v>0</v>
      </c>
      <c r="L602" s="15">
        <v>0</v>
      </c>
      <c r="M602" s="15">
        <v>0</v>
      </c>
      <c r="N602" s="15">
        <f t="shared" si="172"/>
        <v>136649.24</v>
      </c>
      <c r="O602" s="15">
        <v>0</v>
      </c>
      <c r="P602" s="15">
        <f t="shared" si="170"/>
        <v>217</v>
      </c>
      <c r="Q602" s="15">
        <f>'Форма 2'!K2244</f>
        <v>217</v>
      </c>
      <c r="R602" s="353">
        <v>2021</v>
      </c>
      <c r="S602" s="153">
        <v>1</v>
      </c>
    </row>
    <row r="603" spans="1:19" ht="15.75" customHeight="1" x14ac:dyDescent="0.25">
      <c r="A603" s="21">
        <f t="shared" si="171"/>
        <v>7</v>
      </c>
      <c r="B603" s="21">
        <v>6975</v>
      </c>
      <c r="C603" s="150" t="s">
        <v>313</v>
      </c>
      <c r="D603" s="137">
        <v>1969</v>
      </c>
      <c r="E603" s="137" t="s">
        <v>93</v>
      </c>
      <c r="F603" s="22" t="s">
        <v>81</v>
      </c>
      <c r="G603" s="25">
        <v>1023.8</v>
      </c>
      <c r="H603" s="15">
        <v>629.1</v>
      </c>
      <c r="I603" s="33">
        <v>25</v>
      </c>
      <c r="J603" s="15">
        <f>'Форма 2'!I2248</f>
        <v>136514.70000000001</v>
      </c>
      <c r="K603" s="15">
        <v>0</v>
      </c>
      <c r="L603" s="15">
        <v>0</v>
      </c>
      <c r="M603" s="15">
        <v>0</v>
      </c>
      <c r="N603" s="15">
        <f t="shared" si="172"/>
        <v>136514.70000000001</v>
      </c>
      <c r="O603" s="15">
        <v>0</v>
      </c>
      <c r="P603" s="15">
        <f t="shared" si="170"/>
        <v>217</v>
      </c>
      <c r="Q603" s="15">
        <f>'Форма 2'!K2248</f>
        <v>217</v>
      </c>
      <c r="R603" s="353">
        <v>2021</v>
      </c>
      <c r="S603" s="153">
        <v>1</v>
      </c>
    </row>
    <row r="604" spans="1:19" ht="15.75" customHeight="1" x14ac:dyDescent="0.25">
      <c r="A604" s="21">
        <f t="shared" si="171"/>
        <v>8</v>
      </c>
      <c r="B604" s="21">
        <v>6979</v>
      </c>
      <c r="C604" s="150" t="s">
        <v>314</v>
      </c>
      <c r="D604" s="137">
        <v>1960</v>
      </c>
      <c r="E604" s="137" t="s">
        <v>93</v>
      </c>
      <c r="F604" s="22" t="s">
        <v>82</v>
      </c>
      <c r="G604" s="25">
        <v>370.3</v>
      </c>
      <c r="H604" s="15">
        <v>340.5</v>
      </c>
      <c r="I604" s="33">
        <v>13</v>
      </c>
      <c r="J604" s="15">
        <f>'Форма 2'!I2252</f>
        <v>1379365.5</v>
      </c>
      <c r="K604" s="15">
        <v>0</v>
      </c>
      <c r="L604" s="15">
        <v>0</v>
      </c>
      <c r="M604" s="15">
        <v>0</v>
      </c>
      <c r="N604" s="15">
        <f t="shared" si="172"/>
        <v>1379365.5</v>
      </c>
      <c r="O604" s="15">
        <v>0</v>
      </c>
      <c r="P604" s="15">
        <f t="shared" si="170"/>
        <v>4051</v>
      </c>
      <c r="Q604" s="15">
        <f>'Форма 2'!K2252</f>
        <v>4051</v>
      </c>
      <c r="R604" s="353">
        <v>2021</v>
      </c>
      <c r="S604" s="153">
        <v>1</v>
      </c>
    </row>
    <row r="605" spans="1:19" ht="15.75" customHeight="1" x14ac:dyDescent="0.25">
      <c r="A605" s="21">
        <f t="shared" si="171"/>
        <v>9</v>
      </c>
      <c r="B605" s="21">
        <v>6980</v>
      </c>
      <c r="C605" s="150" t="s">
        <v>315</v>
      </c>
      <c r="D605" s="137">
        <v>1970</v>
      </c>
      <c r="E605" s="137" t="s">
        <v>93</v>
      </c>
      <c r="F605" s="137" t="s">
        <v>87</v>
      </c>
      <c r="G605" s="25">
        <v>1071.7</v>
      </c>
      <c r="H605" s="15">
        <v>645.70000000000005</v>
      </c>
      <c r="I605" s="33">
        <v>26</v>
      </c>
      <c r="J605" s="15">
        <f>'Форма 2'!I2259</f>
        <v>2909524.2</v>
      </c>
      <c r="K605" s="15">
        <v>0</v>
      </c>
      <c r="L605" s="15">
        <v>0</v>
      </c>
      <c r="M605" s="15">
        <v>0</v>
      </c>
      <c r="N605" s="15">
        <f t="shared" si="172"/>
        <v>2909524.2</v>
      </c>
      <c r="O605" s="15">
        <v>0</v>
      </c>
      <c r="P605" s="15">
        <f t="shared" si="170"/>
        <v>4506</v>
      </c>
      <c r="Q605" s="15">
        <f>'Форма 2'!K2259</f>
        <v>4506</v>
      </c>
      <c r="R605" s="353">
        <v>2021</v>
      </c>
      <c r="S605" s="153">
        <v>1</v>
      </c>
    </row>
    <row r="606" spans="1:19" ht="15.75" customHeight="1" x14ac:dyDescent="0.25">
      <c r="A606" s="21">
        <f t="shared" si="171"/>
        <v>10</v>
      </c>
      <c r="B606" s="21">
        <v>6982</v>
      </c>
      <c r="C606" s="150" t="s">
        <v>316</v>
      </c>
      <c r="D606" s="137">
        <v>1959</v>
      </c>
      <c r="E606" s="137" t="s">
        <v>93</v>
      </c>
      <c r="F606" s="22" t="s">
        <v>81</v>
      </c>
      <c r="G606" s="25">
        <v>711.1</v>
      </c>
      <c r="H606" s="15">
        <v>652.70000000000005</v>
      </c>
      <c r="I606" s="33">
        <v>26</v>
      </c>
      <c r="J606" s="15">
        <f>'Форма 2'!I2269</f>
        <v>143594</v>
      </c>
      <c r="K606" s="15">
        <v>0</v>
      </c>
      <c r="L606" s="15">
        <v>0</v>
      </c>
      <c r="M606" s="15">
        <v>0</v>
      </c>
      <c r="N606" s="15">
        <f t="shared" si="172"/>
        <v>143594</v>
      </c>
      <c r="O606" s="15">
        <v>0</v>
      </c>
      <c r="P606" s="15">
        <f t="shared" si="170"/>
        <v>220</v>
      </c>
      <c r="Q606" s="15">
        <f>'Форма 2'!K2269</f>
        <v>220</v>
      </c>
      <c r="R606" s="353">
        <v>2021</v>
      </c>
      <c r="S606" s="153">
        <v>1</v>
      </c>
    </row>
    <row r="607" spans="1:19" ht="15.75" customHeight="1" x14ac:dyDescent="0.25">
      <c r="A607" s="21">
        <f t="shared" si="171"/>
        <v>11</v>
      </c>
      <c r="B607" s="21">
        <v>6983</v>
      </c>
      <c r="C607" s="150" t="s">
        <v>317</v>
      </c>
      <c r="D607" s="137">
        <v>1960</v>
      </c>
      <c r="E607" s="137" t="s">
        <v>93</v>
      </c>
      <c r="F607" s="22" t="s">
        <v>81</v>
      </c>
      <c r="G607" s="25">
        <v>438.9</v>
      </c>
      <c r="H607" s="15">
        <v>403.9</v>
      </c>
      <c r="I607" s="33">
        <v>16</v>
      </c>
      <c r="J607" s="15">
        <f>'Форма 2'!I2273</f>
        <v>88858</v>
      </c>
      <c r="K607" s="15">
        <v>0</v>
      </c>
      <c r="L607" s="15">
        <v>0</v>
      </c>
      <c r="M607" s="15">
        <v>0</v>
      </c>
      <c r="N607" s="15">
        <f t="shared" si="172"/>
        <v>88858</v>
      </c>
      <c r="O607" s="15">
        <v>0</v>
      </c>
      <c r="P607" s="15">
        <f t="shared" si="170"/>
        <v>220</v>
      </c>
      <c r="Q607" s="15">
        <f>'Форма 2'!K2273</f>
        <v>220</v>
      </c>
      <c r="R607" s="353">
        <v>2021</v>
      </c>
      <c r="S607" s="153">
        <v>1</v>
      </c>
    </row>
    <row r="608" spans="1:19" ht="15.75" customHeight="1" x14ac:dyDescent="0.25">
      <c r="A608" s="21">
        <f t="shared" si="171"/>
        <v>12</v>
      </c>
      <c r="B608" s="21">
        <v>6984</v>
      </c>
      <c r="C608" s="150" t="s">
        <v>318</v>
      </c>
      <c r="D608" s="137">
        <v>1970</v>
      </c>
      <c r="E608" s="137" t="s">
        <v>93</v>
      </c>
      <c r="F608" s="22" t="s">
        <v>81</v>
      </c>
      <c r="G608" s="25">
        <v>1076.3</v>
      </c>
      <c r="H608" s="15">
        <v>651.1</v>
      </c>
      <c r="I608" s="33">
        <v>26</v>
      </c>
      <c r="J608" s="15">
        <f>'Форма 2'!I2277</f>
        <v>141288.70000000001</v>
      </c>
      <c r="K608" s="15">
        <v>0</v>
      </c>
      <c r="L608" s="15">
        <v>0</v>
      </c>
      <c r="M608" s="15">
        <v>0</v>
      </c>
      <c r="N608" s="15">
        <f t="shared" si="172"/>
        <v>141288.70000000001</v>
      </c>
      <c r="O608" s="15">
        <v>0</v>
      </c>
      <c r="P608" s="15">
        <f t="shared" si="170"/>
        <v>217</v>
      </c>
      <c r="Q608" s="15">
        <f>'Форма 2'!K2277</f>
        <v>217</v>
      </c>
      <c r="R608" s="353">
        <v>2021</v>
      </c>
      <c r="S608" s="153">
        <v>1</v>
      </c>
    </row>
    <row r="609" spans="1:19" ht="15.75" customHeight="1" x14ac:dyDescent="0.25">
      <c r="A609" s="21">
        <f t="shared" si="171"/>
        <v>13</v>
      </c>
      <c r="B609" s="21">
        <v>6986</v>
      </c>
      <c r="C609" s="150" t="s">
        <v>319</v>
      </c>
      <c r="D609" s="137">
        <v>1955</v>
      </c>
      <c r="E609" s="137" t="s">
        <v>93</v>
      </c>
      <c r="F609" s="22" t="s">
        <v>82</v>
      </c>
      <c r="G609" s="25">
        <v>438.08</v>
      </c>
      <c r="H609" s="15">
        <v>399.28</v>
      </c>
      <c r="I609" s="33">
        <v>16</v>
      </c>
      <c r="J609" s="15">
        <f>'Форма 2'!I2281</f>
        <v>1615087.6</v>
      </c>
      <c r="K609" s="15">
        <v>0</v>
      </c>
      <c r="L609" s="15">
        <v>0</v>
      </c>
      <c r="M609" s="15">
        <v>0</v>
      </c>
      <c r="N609" s="15">
        <f t="shared" si="172"/>
        <v>1615087.6</v>
      </c>
      <c r="O609" s="15">
        <v>0</v>
      </c>
      <c r="P609" s="15">
        <f t="shared" si="170"/>
        <v>4045</v>
      </c>
      <c r="Q609" s="15">
        <f>'Форма 2'!K2281</f>
        <v>4051</v>
      </c>
      <c r="R609" s="353">
        <v>2021</v>
      </c>
      <c r="S609" s="153">
        <v>1</v>
      </c>
    </row>
    <row r="610" spans="1:19" ht="15.75" customHeight="1" x14ac:dyDescent="0.25">
      <c r="A610" s="21">
        <f t="shared" si="171"/>
        <v>14</v>
      </c>
      <c r="B610" s="21">
        <v>6988</v>
      </c>
      <c r="C610" s="150" t="s">
        <v>320</v>
      </c>
      <c r="D610" s="137">
        <v>1962</v>
      </c>
      <c r="E610" s="137" t="s">
        <v>93</v>
      </c>
      <c r="F610" s="22" t="s">
        <v>82</v>
      </c>
      <c r="G610" s="25">
        <v>695.93</v>
      </c>
      <c r="H610" s="15">
        <v>637.92999999999995</v>
      </c>
      <c r="I610" s="33">
        <v>25</v>
      </c>
      <c r="J610" s="15">
        <f>'Форма 2'!I2288</f>
        <v>2584254.4300000002</v>
      </c>
      <c r="K610" s="15">
        <v>0</v>
      </c>
      <c r="L610" s="15">
        <v>0</v>
      </c>
      <c r="M610" s="15">
        <v>0</v>
      </c>
      <c r="N610" s="15">
        <f t="shared" si="172"/>
        <v>2584254.4300000002</v>
      </c>
      <c r="O610" s="15">
        <v>0</v>
      </c>
      <c r="P610" s="15">
        <f t="shared" si="170"/>
        <v>4051</v>
      </c>
      <c r="Q610" s="15">
        <f>'Форма 2'!K2288</f>
        <v>4051</v>
      </c>
      <c r="R610" s="353">
        <v>2021</v>
      </c>
      <c r="S610" s="153">
        <v>1</v>
      </c>
    </row>
    <row r="611" spans="1:19" ht="15.75" customHeight="1" x14ac:dyDescent="0.25">
      <c r="A611" s="21">
        <f t="shared" si="171"/>
        <v>15</v>
      </c>
      <c r="B611" s="21">
        <v>6931</v>
      </c>
      <c r="C611" s="150" t="s">
        <v>321</v>
      </c>
      <c r="D611" s="137">
        <v>1975</v>
      </c>
      <c r="E611" s="137" t="s">
        <v>68</v>
      </c>
      <c r="F611" s="22" t="s">
        <v>81</v>
      </c>
      <c r="G611" s="25">
        <v>4703.3</v>
      </c>
      <c r="H611" s="15">
        <v>3585.5</v>
      </c>
      <c r="I611" s="33">
        <v>142</v>
      </c>
      <c r="J611" s="15">
        <f>'Форма 2'!I2295</f>
        <v>535494.43000000005</v>
      </c>
      <c r="K611" s="15">
        <v>0</v>
      </c>
      <c r="L611" s="15">
        <v>0</v>
      </c>
      <c r="M611" s="15">
        <v>0</v>
      </c>
      <c r="N611" s="15">
        <f t="shared" si="172"/>
        <v>535494.43000000005</v>
      </c>
      <c r="O611" s="15">
        <v>0</v>
      </c>
      <c r="P611" s="15">
        <f t="shared" si="170"/>
        <v>149.35</v>
      </c>
      <c r="Q611" s="15">
        <f>'Форма 2'!K2295</f>
        <v>180</v>
      </c>
      <c r="R611" s="353">
        <v>2021</v>
      </c>
      <c r="S611" s="153">
        <v>1</v>
      </c>
    </row>
    <row r="612" spans="1:19" ht="15.75" customHeight="1" x14ac:dyDescent="0.25">
      <c r="A612" s="21">
        <f t="shared" si="171"/>
        <v>16</v>
      </c>
      <c r="B612" s="21">
        <v>6818</v>
      </c>
      <c r="C612" s="150" t="s">
        <v>322</v>
      </c>
      <c r="D612" s="137">
        <v>1963</v>
      </c>
      <c r="E612" s="137" t="s">
        <v>93</v>
      </c>
      <c r="F612" s="22" t="s">
        <v>81</v>
      </c>
      <c r="G612" s="25">
        <v>1084.1300000000001</v>
      </c>
      <c r="H612" s="15">
        <v>636.4</v>
      </c>
      <c r="I612" s="33">
        <v>25</v>
      </c>
      <c r="J612" s="15">
        <f>'Форма 2'!I2297</f>
        <v>138098.79999999999</v>
      </c>
      <c r="K612" s="15">
        <v>0</v>
      </c>
      <c r="L612" s="15">
        <v>0</v>
      </c>
      <c r="M612" s="15">
        <v>0</v>
      </c>
      <c r="N612" s="15">
        <f t="shared" si="172"/>
        <v>138098.79999999999</v>
      </c>
      <c r="O612" s="15">
        <v>0</v>
      </c>
      <c r="P612" s="15">
        <f t="shared" si="170"/>
        <v>217</v>
      </c>
      <c r="Q612" s="15">
        <f>'Форма 2'!K2297</f>
        <v>217</v>
      </c>
      <c r="R612" s="353">
        <v>2021</v>
      </c>
      <c r="S612" s="153">
        <v>1</v>
      </c>
    </row>
    <row r="613" spans="1:19" ht="15.75" customHeight="1" x14ac:dyDescent="0.25">
      <c r="A613" s="21">
        <f t="shared" si="171"/>
        <v>17</v>
      </c>
      <c r="B613" s="21">
        <v>8006</v>
      </c>
      <c r="C613" s="150" t="s">
        <v>323</v>
      </c>
      <c r="D613" s="137">
        <v>1961</v>
      </c>
      <c r="E613" s="22" t="s">
        <v>232</v>
      </c>
      <c r="F613" s="22" t="s">
        <v>81</v>
      </c>
      <c r="G613" s="25">
        <v>686.4</v>
      </c>
      <c r="H613" s="15">
        <v>637.20000000000005</v>
      </c>
      <c r="I613" s="33">
        <v>25</v>
      </c>
      <c r="J613" s="15">
        <f>'Форма 2'!I2301</f>
        <v>26762.400000000001</v>
      </c>
      <c r="K613" s="15">
        <v>0</v>
      </c>
      <c r="L613" s="15">
        <v>0</v>
      </c>
      <c r="M613" s="15">
        <v>0</v>
      </c>
      <c r="N613" s="15">
        <f t="shared" si="172"/>
        <v>26762.400000000001</v>
      </c>
      <c r="O613" s="15">
        <v>0</v>
      </c>
      <c r="P613" s="15">
        <f t="shared" si="170"/>
        <v>42</v>
      </c>
      <c r="Q613" s="15">
        <f>'Форма 2'!K2301</f>
        <v>42</v>
      </c>
      <c r="R613" s="353">
        <v>2021</v>
      </c>
      <c r="S613" s="153">
        <v>1</v>
      </c>
    </row>
    <row r="614" spans="1:19" ht="15.75" customHeight="1" x14ac:dyDescent="0.25">
      <c r="A614" s="21">
        <f t="shared" si="171"/>
        <v>18</v>
      </c>
      <c r="B614" s="21">
        <v>8005</v>
      </c>
      <c r="C614" s="150" t="s">
        <v>324</v>
      </c>
      <c r="D614" s="137">
        <v>1961</v>
      </c>
      <c r="E614" s="22" t="s">
        <v>232</v>
      </c>
      <c r="F614" s="22" t="s">
        <v>81</v>
      </c>
      <c r="G614" s="25">
        <v>706.8</v>
      </c>
      <c r="H614" s="15">
        <v>657.6</v>
      </c>
      <c r="I614" s="33">
        <v>26</v>
      </c>
      <c r="J614" s="15">
        <f>'Форма 2'!I2303</f>
        <v>27619.200000000001</v>
      </c>
      <c r="K614" s="15">
        <v>0</v>
      </c>
      <c r="L614" s="15">
        <v>0</v>
      </c>
      <c r="M614" s="15">
        <v>0</v>
      </c>
      <c r="N614" s="15">
        <f t="shared" si="172"/>
        <v>27619.200000000001</v>
      </c>
      <c r="O614" s="15">
        <v>0</v>
      </c>
      <c r="P614" s="15">
        <f t="shared" si="170"/>
        <v>42</v>
      </c>
      <c r="Q614" s="15">
        <f>'Форма 2'!K2303</f>
        <v>42</v>
      </c>
      <c r="R614" s="353">
        <v>2021</v>
      </c>
      <c r="S614" s="153">
        <v>1</v>
      </c>
    </row>
    <row r="615" spans="1:19" ht="15.75" customHeight="1" x14ac:dyDescent="0.25">
      <c r="A615" s="21">
        <f t="shared" si="171"/>
        <v>19</v>
      </c>
      <c r="B615" s="21">
        <v>6868</v>
      </c>
      <c r="C615" s="150" t="s">
        <v>325</v>
      </c>
      <c r="D615" s="137">
        <v>1963</v>
      </c>
      <c r="E615" s="137" t="s">
        <v>158</v>
      </c>
      <c r="F615" s="22" t="s">
        <v>81</v>
      </c>
      <c r="G615" s="25">
        <v>745.4</v>
      </c>
      <c r="H615" s="15">
        <v>701</v>
      </c>
      <c r="I615" s="33">
        <v>43</v>
      </c>
      <c r="J615" s="15">
        <f>'Форма 2'!I2305</f>
        <v>125479</v>
      </c>
      <c r="K615" s="15">
        <v>0</v>
      </c>
      <c r="L615" s="15">
        <v>0</v>
      </c>
      <c r="M615" s="15">
        <v>0</v>
      </c>
      <c r="N615" s="15">
        <f t="shared" si="172"/>
        <v>125479</v>
      </c>
      <c r="O615" s="15">
        <v>0</v>
      </c>
      <c r="P615" s="15">
        <f t="shared" si="170"/>
        <v>179</v>
      </c>
      <c r="Q615" s="15">
        <f>'Форма 2'!K2305</f>
        <v>179</v>
      </c>
      <c r="R615" s="353">
        <v>2021</v>
      </c>
      <c r="S615" s="153">
        <v>1</v>
      </c>
    </row>
    <row r="616" spans="1:19" ht="15.75" customHeight="1" x14ac:dyDescent="0.25">
      <c r="A616" s="21">
        <f t="shared" si="171"/>
        <v>20</v>
      </c>
      <c r="B616" s="21">
        <v>6999</v>
      </c>
      <c r="C616" s="150" t="s">
        <v>326</v>
      </c>
      <c r="D616" s="137">
        <v>1950</v>
      </c>
      <c r="E616" s="137" t="s">
        <v>591</v>
      </c>
      <c r="F616" s="22" t="s">
        <v>81</v>
      </c>
      <c r="G616" s="25">
        <v>413.7</v>
      </c>
      <c r="H616" s="15">
        <v>383.7</v>
      </c>
      <c r="I616" s="33">
        <v>15</v>
      </c>
      <c r="J616" s="15">
        <f>'Форма 2'!I2308</f>
        <v>29544.9</v>
      </c>
      <c r="K616" s="15">
        <v>0</v>
      </c>
      <c r="L616" s="15">
        <v>0</v>
      </c>
      <c r="M616" s="15">
        <v>0</v>
      </c>
      <c r="N616" s="15">
        <f t="shared" si="172"/>
        <v>29544.9</v>
      </c>
      <c r="O616" s="15">
        <v>0</v>
      </c>
      <c r="P616" s="15">
        <f t="shared" si="170"/>
        <v>77</v>
      </c>
      <c r="Q616" s="15">
        <f>'Форма 2'!K2308</f>
        <v>77</v>
      </c>
      <c r="R616" s="353">
        <v>2021</v>
      </c>
      <c r="S616" s="153">
        <v>1</v>
      </c>
    </row>
    <row r="617" spans="1:19" ht="15.75" customHeight="1" x14ac:dyDescent="0.25">
      <c r="A617" s="21">
        <f t="shared" si="171"/>
        <v>21</v>
      </c>
      <c r="B617" s="21">
        <v>7061</v>
      </c>
      <c r="C617" s="150" t="s">
        <v>327</v>
      </c>
      <c r="D617" s="137">
        <v>1960</v>
      </c>
      <c r="E617" s="137" t="s">
        <v>89</v>
      </c>
      <c r="F617" s="22" t="s">
        <v>81</v>
      </c>
      <c r="G617" s="25">
        <v>410.26</v>
      </c>
      <c r="H617" s="15">
        <v>390</v>
      </c>
      <c r="I617" s="33">
        <v>15</v>
      </c>
      <c r="J617" s="15">
        <f>'Форма 2'!I2311</f>
        <v>53430</v>
      </c>
      <c r="K617" s="15">
        <v>0</v>
      </c>
      <c r="L617" s="15">
        <v>0</v>
      </c>
      <c r="M617" s="15">
        <v>0</v>
      </c>
      <c r="N617" s="15">
        <f t="shared" si="172"/>
        <v>53430</v>
      </c>
      <c r="O617" s="15">
        <v>0</v>
      </c>
      <c r="P617" s="15">
        <f t="shared" si="170"/>
        <v>137</v>
      </c>
      <c r="Q617" s="15">
        <f>'Форма 2'!K2311</f>
        <v>137</v>
      </c>
      <c r="R617" s="353">
        <v>2021</v>
      </c>
      <c r="S617" s="153">
        <v>1</v>
      </c>
    </row>
    <row r="618" spans="1:19" ht="15.75" customHeight="1" x14ac:dyDescent="0.25">
      <c r="A618" s="21">
        <f t="shared" si="171"/>
        <v>22</v>
      </c>
      <c r="B618" s="21">
        <v>7080</v>
      </c>
      <c r="C618" s="150" t="s">
        <v>328</v>
      </c>
      <c r="D618" s="137">
        <v>1957</v>
      </c>
      <c r="E618" s="137" t="s">
        <v>158</v>
      </c>
      <c r="F618" s="22" t="s">
        <v>81</v>
      </c>
      <c r="G618" s="25">
        <v>557.5</v>
      </c>
      <c r="H618" s="15">
        <v>507.5</v>
      </c>
      <c r="I618" s="33">
        <v>13</v>
      </c>
      <c r="J618" s="15">
        <f>'Форма 2'!I2313</f>
        <v>90842.5</v>
      </c>
      <c r="K618" s="15">
        <v>0</v>
      </c>
      <c r="L618" s="15">
        <v>0</v>
      </c>
      <c r="M618" s="15">
        <v>0</v>
      </c>
      <c r="N618" s="15">
        <f t="shared" si="172"/>
        <v>90842.5</v>
      </c>
      <c r="O618" s="15">
        <v>0</v>
      </c>
      <c r="P618" s="15">
        <f t="shared" si="170"/>
        <v>179</v>
      </c>
      <c r="Q618" s="15">
        <f>'Форма 2'!K2313</f>
        <v>179</v>
      </c>
      <c r="R618" s="353">
        <v>2021</v>
      </c>
      <c r="S618" s="153">
        <v>1</v>
      </c>
    </row>
    <row r="619" spans="1:19" ht="15.75" customHeight="1" x14ac:dyDescent="0.25">
      <c r="A619" s="21">
        <f t="shared" si="171"/>
        <v>23</v>
      </c>
      <c r="B619" s="21">
        <v>7076</v>
      </c>
      <c r="C619" s="150" t="s">
        <v>329</v>
      </c>
      <c r="D619" s="137">
        <v>1957</v>
      </c>
      <c r="E619" s="137" t="s">
        <v>158</v>
      </c>
      <c r="F619" s="22" t="s">
        <v>82</v>
      </c>
      <c r="G619" s="25">
        <v>390.72</v>
      </c>
      <c r="H619" s="15">
        <v>339.62</v>
      </c>
      <c r="I619" s="33">
        <v>14</v>
      </c>
      <c r="J619" s="15">
        <f>'Форма 2'!I2316</f>
        <v>856491.91</v>
      </c>
      <c r="K619" s="15">
        <v>0</v>
      </c>
      <c r="L619" s="15">
        <v>0</v>
      </c>
      <c r="M619" s="15">
        <v>0</v>
      </c>
      <c r="N619" s="15">
        <f t="shared" si="172"/>
        <v>856491.91</v>
      </c>
      <c r="O619" s="15">
        <v>0</v>
      </c>
      <c r="P619" s="15">
        <f t="shared" si="170"/>
        <v>2521.91</v>
      </c>
      <c r="Q619" s="15">
        <f>'Форма 2'!K2316</f>
        <v>3497</v>
      </c>
      <c r="R619" s="353">
        <v>2021</v>
      </c>
      <c r="S619" s="153">
        <v>1</v>
      </c>
    </row>
    <row r="620" spans="1:19" ht="15.75" customHeight="1" x14ac:dyDescent="0.25">
      <c r="A620" s="21">
        <f t="shared" si="171"/>
        <v>24</v>
      </c>
      <c r="B620" s="21">
        <v>7084</v>
      </c>
      <c r="C620" s="150" t="s">
        <v>330</v>
      </c>
      <c r="D620" s="137">
        <v>1958</v>
      </c>
      <c r="E620" s="137" t="s">
        <v>158</v>
      </c>
      <c r="F620" s="22" t="s">
        <v>82</v>
      </c>
      <c r="G620" s="25">
        <v>471.95</v>
      </c>
      <c r="H620" s="15">
        <v>460</v>
      </c>
      <c r="I620" s="33">
        <v>18</v>
      </c>
      <c r="J620" s="15">
        <f>'Форма 2'!I2321</f>
        <v>797392.68</v>
      </c>
      <c r="K620" s="15">
        <v>0</v>
      </c>
      <c r="L620" s="15">
        <v>0</v>
      </c>
      <c r="M620" s="15">
        <v>0</v>
      </c>
      <c r="N620" s="15">
        <f t="shared" si="172"/>
        <v>797392.68</v>
      </c>
      <c r="O620" s="15">
        <v>0</v>
      </c>
      <c r="P620" s="15">
        <f t="shared" si="170"/>
        <v>1733.46</v>
      </c>
      <c r="Q620" s="15">
        <f>'Форма 2'!K2321</f>
        <v>3497</v>
      </c>
      <c r="R620" s="353">
        <v>2021</v>
      </c>
      <c r="S620" s="153">
        <v>1</v>
      </c>
    </row>
    <row r="621" spans="1:19" ht="15.75" customHeight="1" x14ac:dyDescent="0.25">
      <c r="A621" s="21">
        <f t="shared" si="171"/>
        <v>25</v>
      </c>
      <c r="B621" s="145">
        <v>6926</v>
      </c>
      <c r="C621" s="121" t="s">
        <v>331</v>
      </c>
      <c r="D621" s="22">
        <v>1965</v>
      </c>
      <c r="E621" s="22" t="s">
        <v>93</v>
      </c>
      <c r="F621" s="22" t="s">
        <v>82</v>
      </c>
      <c r="G621" s="25">
        <v>2690.4</v>
      </c>
      <c r="H621" s="15">
        <v>2499.1999999999998</v>
      </c>
      <c r="I621" s="33">
        <v>99</v>
      </c>
      <c r="J621" s="15">
        <f>'Форма 2'!I2326</f>
        <v>10124259.199999999</v>
      </c>
      <c r="K621" s="350">
        <v>0</v>
      </c>
      <c r="L621" s="15">
        <v>0</v>
      </c>
      <c r="M621" s="15">
        <v>0</v>
      </c>
      <c r="N621" s="15">
        <f>J621-K621-L621-M621-O621</f>
        <v>10124259.199999999</v>
      </c>
      <c r="O621" s="15">
        <v>0</v>
      </c>
      <c r="P621" s="15">
        <f>J621/H621</f>
        <v>4051</v>
      </c>
      <c r="Q621" s="15">
        <f>'Форма 2'!K2326</f>
        <v>4051</v>
      </c>
      <c r="R621" s="126">
        <v>2021</v>
      </c>
      <c r="S621" s="153">
        <v>1</v>
      </c>
    </row>
    <row r="622" spans="1:19" ht="15.75" customHeight="1" x14ac:dyDescent="0.25">
      <c r="A622" s="22">
        <f t="shared" si="171"/>
        <v>26</v>
      </c>
      <c r="B622" s="22">
        <v>6927</v>
      </c>
      <c r="C622" s="121" t="s">
        <v>332</v>
      </c>
      <c r="D622" s="22">
        <v>1967</v>
      </c>
      <c r="E622" s="22" t="s">
        <v>93</v>
      </c>
      <c r="F622" s="137" t="s">
        <v>82</v>
      </c>
      <c r="G622" s="25">
        <v>2857.7</v>
      </c>
      <c r="H622" s="15">
        <v>2655.8</v>
      </c>
      <c r="I622" s="33">
        <v>105</v>
      </c>
      <c r="J622" s="15">
        <f>'Форма 2'!I2333</f>
        <v>10758645.800000001</v>
      </c>
      <c r="K622" s="15">
        <v>0</v>
      </c>
      <c r="L622" s="15">
        <v>0</v>
      </c>
      <c r="M622" s="15">
        <v>0</v>
      </c>
      <c r="N622" s="350">
        <f>J622-K622-L622-M622-O622</f>
        <v>10758645.800000001</v>
      </c>
      <c r="O622" s="15">
        <v>0</v>
      </c>
      <c r="P622" s="15">
        <f>J622/H622</f>
        <v>4051</v>
      </c>
      <c r="Q622" s="15">
        <f>'Форма 2'!K2333</f>
        <v>4051</v>
      </c>
      <c r="R622" s="126">
        <v>2021</v>
      </c>
      <c r="S622" s="153">
        <v>1</v>
      </c>
    </row>
    <row r="623" spans="1:19" ht="15.75" customHeight="1" x14ac:dyDescent="0.25">
      <c r="A623" s="21">
        <f>A622+1</f>
        <v>27</v>
      </c>
      <c r="B623" s="21">
        <v>8227</v>
      </c>
      <c r="C623" s="150" t="s">
        <v>333</v>
      </c>
      <c r="D623" s="137">
        <v>1963</v>
      </c>
      <c r="E623" s="137" t="s">
        <v>232</v>
      </c>
      <c r="F623" s="137" t="s">
        <v>87</v>
      </c>
      <c r="G623" s="25">
        <v>291.89999999999998</v>
      </c>
      <c r="H623" s="15">
        <v>277.89999999999998</v>
      </c>
      <c r="I623" s="33">
        <v>11</v>
      </c>
      <c r="J623" s="15">
        <f>'Форма 2'!I2340</f>
        <v>178689.7</v>
      </c>
      <c r="K623" s="15">
        <v>0</v>
      </c>
      <c r="L623" s="15">
        <v>0</v>
      </c>
      <c r="M623" s="15">
        <v>0</v>
      </c>
      <c r="N623" s="15">
        <f t="shared" si="172"/>
        <v>178689.7</v>
      </c>
      <c r="O623" s="15">
        <v>0</v>
      </c>
      <c r="P623" s="15">
        <f t="shared" si="170"/>
        <v>643</v>
      </c>
      <c r="Q623" s="15">
        <f>'Форма 2'!K2340</f>
        <v>643</v>
      </c>
      <c r="R623" s="353">
        <v>2021</v>
      </c>
      <c r="S623" s="153">
        <v>1</v>
      </c>
    </row>
    <row r="624" spans="1:19" ht="15.75" customHeight="1" x14ac:dyDescent="0.25">
      <c r="A624" s="21">
        <f t="shared" si="171"/>
        <v>28</v>
      </c>
      <c r="B624" s="21">
        <v>8228</v>
      </c>
      <c r="C624" s="150" t="s">
        <v>334</v>
      </c>
      <c r="D624" s="137">
        <v>1963</v>
      </c>
      <c r="E624" s="137" t="s">
        <v>232</v>
      </c>
      <c r="F624" s="137" t="s">
        <v>87</v>
      </c>
      <c r="G624" s="25">
        <v>531.86</v>
      </c>
      <c r="H624" s="15">
        <v>481.76</v>
      </c>
      <c r="I624" s="33">
        <v>18</v>
      </c>
      <c r="J624" s="15">
        <f>'Форма 2'!I2344</f>
        <v>272676.15999999997</v>
      </c>
      <c r="K624" s="15">
        <v>0</v>
      </c>
      <c r="L624" s="15">
        <v>0</v>
      </c>
      <c r="M624" s="15">
        <v>0</v>
      </c>
      <c r="N624" s="15">
        <f t="shared" si="172"/>
        <v>272676.15999999997</v>
      </c>
      <c r="O624" s="15">
        <v>0</v>
      </c>
      <c r="P624" s="15">
        <f t="shared" si="170"/>
        <v>566</v>
      </c>
      <c r="Q624" s="15">
        <f>'Форма 2'!K2344</f>
        <v>566</v>
      </c>
      <c r="R624" s="353">
        <v>2021</v>
      </c>
      <c r="S624" s="153">
        <v>1</v>
      </c>
    </row>
    <row r="625" spans="1:19" ht="15.75" customHeight="1" x14ac:dyDescent="0.25">
      <c r="A625" s="208" t="s">
        <v>44</v>
      </c>
      <c r="B625" s="208"/>
      <c r="C625" s="208"/>
      <c r="D625" s="5" t="s">
        <v>13</v>
      </c>
      <c r="E625" s="15" t="s">
        <v>13</v>
      </c>
      <c r="F625" s="15" t="s">
        <v>13</v>
      </c>
      <c r="G625" s="15">
        <f>G626</f>
        <v>1039.6300000000001</v>
      </c>
      <c r="H625" s="15">
        <f t="shared" ref="H625:O625" si="173">H626</f>
        <v>909.3</v>
      </c>
      <c r="I625" s="10">
        <f t="shared" si="173"/>
        <v>42</v>
      </c>
      <c r="J625" s="15">
        <f t="shared" si="173"/>
        <v>6688998.3300000001</v>
      </c>
      <c r="K625" s="15">
        <f t="shared" si="173"/>
        <v>0</v>
      </c>
      <c r="L625" s="15">
        <f t="shared" si="173"/>
        <v>0</v>
      </c>
      <c r="M625" s="15">
        <f t="shared" si="173"/>
        <v>0</v>
      </c>
      <c r="N625" s="15">
        <f t="shared" si="173"/>
        <v>6688998.3300000001</v>
      </c>
      <c r="O625" s="15">
        <f t="shared" si="173"/>
        <v>0</v>
      </c>
      <c r="P625" s="15" t="s">
        <v>13</v>
      </c>
      <c r="Q625" s="15" t="s">
        <v>13</v>
      </c>
      <c r="R625" s="15" t="s">
        <v>13</v>
      </c>
      <c r="S625" s="10" t="s">
        <v>13</v>
      </c>
    </row>
    <row r="626" spans="1:19" ht="15.75" customHeight="1" x14ac:dyDescent="0.25">
      <c r="A626" s="21">
        <v>1</v>
      </c>
      <c r="B626" s="11">
        <v>4999</v>
      </c>
      <c r="C626" s="150" t="s">
        <v>162</v>
      </c>
      <c r="D626" s="134">
        <v>1978</v>
      </c>
      <c r="E626" s="134" t="s">
        <v>68</v>
      </c>
      <c r="F626" s="134" t="s">
        <v>82</v>
      </c>
      <c r="G626" s="354">
        <v>1039.6300000000001</v>
      </c>
      <c r="H626" s="135">
        <v>909.3</v>
      </c>
      <c r="I626" s="138">
        <v>42</v>
      </c>
      <c r="J626" s="15">
        <f>'Форма 2'!I2349</f>
        <v>6688998.3300000001</v>
      </c>
      <c r="K626" s="15">
        <v>0</v>
      </c>
      <c r="L626" s="15">
        <v>0</v>
      </c>
      <c r="M626" s="15">
        <v>0</v>
      </c>
      <c r="N626" s="15">
        <f>J626-K626-L626-M626-O626</f>
        <v>6688998.3300000001</v>
      </c>
      <c r="O626" s="15">
        <v>0</v>
      </c>
      <c r="P626" s="15">
        <f>J626/H626</f>
        <v>7356.21</v>
      </c>
      <c r="Q626" s="15">
        <f>'Форма 2'!K2349</f>
        <v>8203</v>
      </c>
      <c r="R626" s="353">
        <v>2021</v>
      </c>
      <c r="S626" s="153">
        <v>1</v>
      </c>
    </row>
    <row r="627" spans="1:19" ht="15.75" customHeight="1" x14ac:dyDescent="0.25">
      <c r="A627" s="193" t="s">
        <v>50</v>
      </c>
      <c r="B627" s="193"/>
      <c r="C627" s="193"/>
      <c r="D627" s="5" t="s">
        <v>13</v>
      </c>
      <c r="E627" s="15" t="s">
        <v>13</v>
      </c>
      <c r="F627" s="15" t="s">
        <v>13</v>
      </c>
      <c r="G627" s="25">
        <f t="shared" ref="G627:O627" si="174">SUM(G628:G629)</f>
        <v>1898.6</v>
      </c>
      <c r="H627" s="25">
        <f t="shared" si="174"/>
        <v>1727</v>
      </c>
      <c r="I627" s="33">
        <f t="shared" si="174"/>
        <v>66</v>
      </c>
      <c r="J627" s="25">
        <f t="shared" si="174"/>
        <v>6845819.5300000003</v>
      </c>
      <c r="K627" s="25">
        <f t="shared" si="174"/>
        <v>0</v>
      </c>
      <c r="L627" s="25">
        <f t="shared" si="174"/>
        <v>0</v>
      </c>
      <c r="M627" s="25">
        <f t="shared" si="174"/>
        <v>0</v>
      </c>
      <c r="N627" s="25">
        <f t="shared" si="174"/>
        <v>6845819.5300000003</v>
      </c>
      <c r="O627" s="25">
        <f t="shared" si="174"/>
        <v>0</v>
      </c>
      <c r="P627" s="15" t="s">
        <v>13</v>
      </c>
      <c r="Q627" s="15" t="s">
        <v>13</v>
      </c>
      <c r="R627" s="15" t="s">
        <v>13</v>
      </c>
      <c r="S627" s="10" t="s">
        <v>13</v>
      </c>
    </row>
    <row r="628" spans="1:19" ht="15.75" customHeight="1" x14ac:dyDescent="0.25">
      <c r="A628" s="21">
        <v>1</v>
      </c>
      <c r="B628" s="11">
        <v>7170</v>
      </c>
      <c r="C628" s="150" t="s">
        <v>303</v>
      </c>
      <c r="D628" s="137">
        <v>1970</v>
      </c>
      <c r="E628" s="137" t="s">
        <v>68</v>
      </c>
      <c r="F628" s="137" t="s">
        <v>385</v>
      </c>
      <c r="G628" s="25">
        <v>949.8</v>
      </c>
      <c r="H628" s="15">
        <v>864</v>
      </c>
      <c r="I628" s="33">
        <v>33</v>
      </c>
      <c r="J628" s="15">
        <f>'Форма 2'!I2353</f>
        <v>6642432</v>
      </c>
      <c r="K628" s="15">
        <v>0</v>
      </c>
      <c r="L628" s="15">
        <v>0</v>
      </c>
      <c r="M628" s="15">
        <v>0</v>
      </c>
      <c r="N628" s="25">
        <f>J628-O628</f>
        <v>6642432</v>
      </c>
      <c r="O628" s="25">
        <v>0</v>
      </c>
      <c r="P628" s="15">
        <f>J628/H628</f>
        <v>7688</v>
      </c>
      <c r="Q628" s="15">
        <f>'Форма 2'!K2353</f>
        <v>7688</v>
      </c>
      <c r="R628" s="353">
        <v>2021</v>
      </c>
      <c r="S628" s="153">
        <v>1</v>
      </c>
    </row>
    <row r="629" spans="1:19" ht="15.75" customHeight="1" x14ac:dyDescent="0.25">
      <c r="A629" s="22">
        <f>A628+1</f>
        <v>2</v>
      </c>
      <c r="B629" s="22">
        <v>7177</v>
      </c>
      <c r="C629" s="150" t="s">
        <v>304</v>
      </c>
      <c r="D629" s="137">
        <v>1970</v>
      </c>
      <c r="E629" s="137" t="s">
        <v>68</v>
      </c>
      <c r="F629" s="137" t="s">
        <v>81</v>
      </c>
      <c r="G629" s="25">
        <v>948.8</v>
      </c>
      <c r="H629" s="15">
        <v>863</v>
      </c>
      <c r="I629" s="33">
        <v>33</v>
      </c>
      <c r="J629" s="15">
        <f>'Форма 2'!I2356</f>
        <v>203387.53</v>
      </c>
      <c r="K629" s="15">
        <v>0</v>
      </c>
      <c r="L629" s="15">
        <v>0</v>
      </c>
      <c r="M629" s="15">
        <v>0</v>
      </c>
      <c r="N629" s="15">
        <f>J629-K629-L629-M629-O629</f>
        <v>203387.53</v>
      </c>
      <c r="O629" s="15">
        <v>0</v>
      </c>
      <c r="P629" s="15">
        <f>J629/H629</f>
        <v>235.68</v>
      </c>
      <c r="Q629" s="15">
        <f>'Форма 2'!K2356</f>
        <v>247</v>
      </c>
      <c r="R629" s="353">
        <v>2021</v>
      </c>
      <c r="S629" s="153">
        <v>1</v>
      </c>
    </row>
    <row r="630" spans="1:19" ht="15.75" customHeight="1" x14ac:dyDescent="0.25">
      <c r="A630" s="7" t="s">
        <v>284</v>
      </c>
      <c r="B630" s="7"/>
      <c r="C630" s="15"/>
      <c r="D630" s="5"/>
      <c r="E630" s="15"/>
      <c r="F630" s="15"/>
      <c r="G630" s="15"/>
      <c r="H630" s="15"/>
      <c r="I630" s="10"/>
      <c r="J630" s="15"/>
      <c r="K630" s="15"/>
      <c r="L630" s="15"/>
      <c r="M630" s="15"/>
      <c r="N630" s="15"/>
      <c r="O630" s="15"/>
      <c r="P630" s="15"/>
      <c r="Q630" s="15"/>
      <c r="R630" s="15"/>
      <c r="S630" s="10"/>
    </row>
    <row r="631" spans="1:19" ht="15.75" customHeight="1" x14ac:dyDescent="0.25">
      <c r="A631" s="183" t="s">
        <v>46</v>
      </c>
      <c r="B631" s="183"/>
      <c r="C631" s="183"/>
      <c r="D631" s="5" t="s">
        <v>13</v>
      </c>
      <c r="E631" s="15" t="s">
        <v>13</v>
      </c>
      <c r="F631" s="15" t="s">
        <v>13</v>
      </c>
      <c r="G631" s="15">
        <f t="shared" ref="G631:O631" si="175">G632+G640+G642+G644+G672+G684+G756+G759+G761+G763+G778+G780+G782+G784+G801</f>
        <v>710519.23</v>
      </c>
      <c r="H631" s="15">
        <f t="shared" si="175"/>
        <v>599284.84</v>
      </c>
      <c r="I631" s="10">
        <f t="shared" si="175"/>
        <v>22301</v>
      </c>
      <c r="J631" s="15">
        <f t="shared" si="175"/>
        <v>1052940456.79</v>
      </c>
      <c r="K631" s="15">
        <f t="shared" si="175"/>
        <v>0</v>
      </c>
      <c r="L631" s="15">
        <f t="shared" si="175"/>
        <v>0</v>
      </c>
      <c r="M631" s="15">
        <f t="shared" si="175"/>
        <v>0</v>
      </c>
      <c r="N631" s="15">
        <f t="shared" si="175"/>
        <v>1052940456.79</v>
      </c>
      <c r="O631" s="15">
        <f t="shared" si="175"/>
        <v>0</v>
      </c>
      <c r="P631" s="15" t="s">
        <v>13</v>
      </c>
      <c r="Q631" s="15" t="s">
        <v>13</v>
      </c>
      <c r="R631" s="15" t="s">
        <v>13</v>
      </c>
      <c r="S631" s="10" t="s">
        <v>13</v>
      </c>
    </row>
    <row r="632" spans="1:19" ht="15.75" customHeight="1" x14ac:dyDescent="0.25">
      <c r="A632" s="183" t="s">
        <v>29</v>
      </c>
      <c r="B632" s="183"/>
      <c r="C632" s="183"/>
      <c r="D632" s="5" t="s">
        <v>13</v>
      </c>
      <c r="E632" s="15" t="s">
        <v>13</v>
      </c>
      <c r="F632" s="15" t="s">
        <v>13</v>
      </c>
      <c r="G632" s="15">
        <f t="shared" ref="G632:O632" si="176">SUM(G633:G639)</f>
        <v>4016.68</v>
      </c>
      <c r="H632" s="15">
        <f t="shared" si="176"/>
        <v>3693.22</v>
      </c>
      <c r="I632" s="10">
        <f t="shared" si="176"/>
        <v>131</v>
      </c>
      <c r="J632" s="15">
        <f t="shared" si="176"/>
        <v>23015165.059999999</v>
      </c>
      <c r="K632" s="15">
        <f t="shared" si="176"/>
        <v>0</v>
      </c>
      <c r="L632" s="15">
        <f t="shared" si="176"/>
        <v>0</v>
      </c>
      <c r="M632" s="15">
        <f t="shared" si="176"/>
        <v>0</v>
      </c>
      <c r="N632" s="15">
        <f t="shared" si="176"/>
        <v>23015165.059999999</v>
      </c>
      <c r="O632" s="15">
        <f t="shared" si="176"/>
        <v>0</v>
      </c>
      <c r="P632" s="15" t="s">
        <v>13</v>
      </c>
      <c r="Q632" s="15" t="s">
        <v>13</v>
      </c>
      <c r="R632" s="15" t="s">
        <v>13</v>
      </c>
      <c r="S632" s="10" t="s">
        <v>13</v>
      </c>
    </row>
    <row r="633" spans="1:19" s="41" customFormat="1" ht="16.5" customHeight="1" x14ac:dyDescent="0.25">
      <c r="A633" s="102">
        <v>1</v>
      </c>
      <c r="B633" s="137">
        <v>4391</v>
      </c>
      <c r="C633" s="150" t="s">
        <v>346</v>
      </c>
      <c r="D633" s="126">
        <v>1966</v>
      </c>
      <c r="E633" s="126" t="s">
        <v>230</v>
      </c>
      <c r="F633" s="126" t="s">
        <v>82</v>
      </c>
      <c r="G633" s="15">
        <v>1076.2</v>
      </c>
      <c r="H633" s="15">
        <v>998.1</v>
      </c>
      <c r="I633" s="138">
        <v>33</v>
      </c>
      <c r="J633" s="15">
        <f>'Форма 2'!I2360</f>
        <v>3490355.7</v>
      </c>
      <c r="K633" s="15">
        <v>0</v>
      </c>
      <c r="L633" s="15">
        <v>0</v>
      </c>
      <c r="M633" s="15">
        <v>0</v>
      </c>
      <c r="N633" s="15">
        <f t="shared" ref="N633:N639" si="177">J633-K633-L633-M633-O633</f>
        <v>3490355.7</v>
      </c>
      <c r="O633" s="15">
        <v>0</v>
      </c>
      <c r="P633" s="15">
        <f t="shared" ref="P633:P639" si="178">J633/H633</f>
        <v>3497</v>
      </c>
      <c r="Q633" s="15">
        <f>'Форма 2'!K2360</f>
        <v>3497</v>
      </c>
      <c r="R633" s="18">
        <v>2022</v>
      </c>
      <c r="S633" s="153">
        <v>1</v>
      </c>
    </row>
    <row r="634" spans="1:19" s="41" customFormat="1" ht="16.5" customHeight="1" x14ac:dyDescent="0.25">
      <c r="A634" s="102">
        <f>A633+1</f>
        <v>2</v>
      </c>
      <c r="B634" s="137">
        <v>4552</v>
      </c>
      <c r="C634" s="150" t="s">
        <v>347</v>
      </c>
      <c r="D634" s="126">
        <v>1963</v>
      </c>
      <c r="E634" s="126" t="s">
        <v>68</v>
      </c>
      <c r="F634" s="126" t="s">
        <v>82</v>
      </c>
      <c r="G634" s="15">
        <v>325.86</v>
      </c>
      <c r="H634" s="15">
        <v>301.45999999999998</v>
      </c>
      <c r="I634" s="138">
        <v>15</v>
      </c>
      <c r="J634" s="15">
        <f>'Форма 2'!I2365</f>
        <v>2317624.48</v>
      </c>
      <c r="K634" s="15">
        <v>0</v>
      </c>
      <c r="L634" s="15">
        <v>0</v>
      </c>
      <c r="M634" s="15">
        <v>0</v>
      </c>
      <c r="N634" s="15">
        <f t="shared" si="177"/>
        <v>2317624.48</v>
      </c>
      <c r="O634" s="15">
        <v>0</v>
      </c>
      <c r="P634" s="15">
        <f t="shared" si="178"/>
        <v>7688</v>
      </c>
      <c r="Q634" s="15">
        <f>'Форма 2'!K2365</f>
        <v>7688</v>
      </c>
      <c r="R634" s="18">
        <v>2022</v>
      </c>
      <c r="S634" s="153">
        <v>1</v>
      </c>
    </row>
    <row r="635" spans="1:19" s="41" customFormat="1" ht="16.5" customHeight="1" x14ac:dyDescent="0.25">
      <c r="A635" s="102">
        <f t="shared" ref="A635:A639" si="179">A634+1</f>
        <v>3</v>
      </c>
      <c r="B635" s="137">
        <v>4486</v>
      </c>
      <c r="C635" s="150" t="s">
        <v>349</v>
      </c>
      <c r="D635" s="126">
        <v>1963</v>
      </c>
      <c r="E635" s="126" t="s">
        <v>230</v>
      </c>
      <c r="F635" s="126" t="s">
        <v>82</v>
      </c>
      <c r="G635" s="15">
        <v>308.44</v>
      </c>
      <c r="H635" s="15">
        <v>285.2</v>
      </c>
      <c r="I635" s="138">
        <v>13</v>
      </c>
      <c r="J635" s="15">
        <f>'Форма 2'!I2368</f>
        <v>997344.4</v>
      </c>
      <c r="K635" s="15">
        <v>0</v>
      </c>
      <c r="L635" s="15">
        <v>0</v>
      </c>
      <c r="M635" s="15">
        <v>0</v>
      </c>
      <c r="N635" s="15">
        <f t="shared" si="177"/>
        <v>997344.4</v>
      </c>
      <c r="O635" s="15">
        <v>0</v>
      </c>
      <c r="P635" s="15">
        <f t="shared" si="178"/>
        <v>3497</v>
      </c>
      <c r="Q635" s="15">
        <f>'Форма 2'!K2368</f>
        <v>3497</v>
      </c>
      <c r="R635" s="18">
        <v>2022</v>
      </c>
      <c r="S635" s="153">
        <v>1</v>
      </c>
    </row>
    <row r="636" spans="1:19" s="41" customFormat="1" ht="16.5" customHeight="1" x14ac:dyDescent="0.25">
      <c r="A636" s="102">
        <f t="shared" si="179"/>
        <v>4</v>
      </c>
      <c r="B636" s="137">
        <v>4616</v>
      </c>
      <c r="C636" s="150" t="s">
        <v>350</v>
      </c>
      <c r="D636" s="126">
        <v>1963</v>
      </c>
      <c r="E636" s="126" t="s">
        <v>68</v>
      </c>
      <c r="F636" s="126" t="s">
        <v>82</v>
      </c>
      <c r="G636" s="15">
        <v>443.28</v>
      </c>
      <c r="H636" s="15">
        <v>404.18</v>
      </c>
      <c r="I636" s="138">
        <v>13</v>
      </c>
      <c r="J636" s="15">
        <f>'Форма 2'!I2373</f>
        <v>3107335.84</v>
      </c>
      <c r="K636" s="15">
        <v>0</v>
      </c>
      <c r="L636" s="15">
        <v>0</v>
      </c>
      <c r="M636" s="15">
        <v>0</v>
      </c>
      <c r="N636" s="15">
        <f t="shared" si="177"/>
        <v>3107335.84</v>
      </c>
      <c r="O636" s="15">
        <v>0</v>
      </c>
      <c r="P636" s="15">
        <f t="shared" si="178"/>
        <v>7688</v>
      </c>
      <c r="Q636" s="15">
        <f>'Форма 2'!K2373</f>
        <v>7688</v>
      </c>
      <c r="R636" s="18">
        <v>2022</v>
      </c>
      <c r="S636" s="153">
        <v>1</v>
      </c>
    </row>
    <row r="637" spans="1:19" s="41" customFormat="1" ht="16.5" customHeight="1" x14ac:dyDescent="0.25">
      <c r="A637" s="102">
        <f t="shared" si="179"/>
        <v>5</v>
      </c>
      <c r="B637" s="137">
        <v>4399</v>
      </c>
      <c r="C637" s="150" t="s">
        <v>435</v>
      </c>
      <c r="D637" s="126">
        <v>1967</v>
      </c>
      <c r="E637" s="126" t="s">
        <v>68</v>
      </c>
      <c r="F637" s="126" t="s">
        <v>82</v>
      </c>
      <c r="G637" s="15">
        <v>374.4</v>
      </c>
      <c r="H637" s="15">
        <v>351</v>
      </c>
      <c r="I637" s="138">
        <v>12</v>
      </c>
      <c r="J637" s="15">
        <f>'Форма 2'!I2376</f>
        <v>2698488</v>
      </c>
      <c r="K637" s="15">
        <v>0</v>
      </c>
      <c r="L637" s="15">
        <v>0</v>
      </c>
      <c r="M637" s="15">
        <v>0</v>
      </c>
      <c r="N637" s="15">
        <f t="shared" si="177"/>
        <v>2698488</v>
      </c>
      <c r="O637" s="15">
        <v>0</v>
      </c>
      <c r="P637" s="15">
        <f t="shared" si="178"/>
        <v>7688</v>
      </c>
      <c r="Q637" s="15">
        <f>'Форма 2'!K2376</f>
        <v>7688</v>
      </c>
      <c r="R637" s="18">
        <v>2022</v>
      </c>
      <c r="S637" s="153">
        <v>1</v>
      </c>
    </row>
    <row r="638" spans="1:19" s="41" customFormat="1" ht="15.75" customHeight="1" x14ac:dyDescent="0.25">
      <c r="A638" s="102">
        <f t="shared" si="179"/>
        <v>6</v>
      </c>
      <c r="B638" s="137">
        <v>4437</v>
      </c>
      <c r="C638" s="150" t="s">
        <v>351</v>
      </c>
      <c r="D638" s="126">
        <v>1965</v>
      </c>
      <c r="E638" s="126" t="s">
        <v>68</v>
      </c>
      <c r="F638" s="126" t="s">
        <v>82</v>
      </c>
      <c r="G638" s="15">
        <v>1037</v>
      </c>
      <c r="H638" s="15">
        <v>965.1</v>
      </c>
      <c r="I638" s="138">
        <v>33</v>
      </c>
      <c r="J638" s="15">
        <f>'Форма 2'!I2379</f>
        <v>7419688.7999999998</v>
      </c>
      <c r="K638" s="15">
        <v>0</v>
      </c>
      <c r="L638" s="15">
        <v>0</v>
      </c>
      <c r="M638" s="15">
        <v>0</v>
      </c>
      <c r="N638" s="15">
        <f t="shared" si="177"/>
        <v>7419688.7999999998</v>
      </c>
      <c r="O638" s="15">
        <v>0</v>
      </c>
      <c r="P638" s="15">
        <f t="shared" si="178"/>
        <v>7688</v>
      </c>
      <c r="Q638" s="15">
        <f>'Форма 2'!K2379</f>
        <v>7688</v>
      </c>
      <c r="R638" s="18">
        <v>2022</v>
      </c>
      <c r="S638" s="153">
        <v>1</v>
      </c>
    </row>
    <row r="639" spans="1:19" s="41" customFormat="1" ht="15.75" customHeight="1" x14ac:dyDescent="0.25">
      <c r="A639" s="102">
        <f t="shared" si="179"/>
        <v>7</v>
      </c>
      <c r="B639" s="137">
        <v>4481</v>
      </c>
      <c r="C639" s="150" t="s">
        <v>355</v>
      </c>
      <c r="D639" s="126">
        <v>1965</v>
      </c>
      <c r="E639" s="126" t="s">
        <v>68</v>
      </c>
      <c r="F639" s="126" t="s">
        <v>82</v>
      </c>
      <c r="G639" s="15">
        <v>451.5</v>
      </c>
      <c r="H639" s="15">
        <v>388.18</v>
      </c>
      <c r="I639" s="138">
        <v>12</v>
      </c>
      <c r="J639" s="15">
        <f>'Форма 2'!I2382</f>
        <v>2984327.84</v>
      </c>
      <c r="K639" s="15">
        <v>0</v>
      </c>
      <c r="L639" s="15">
        <v>0</v>
      </c>
      <c r="M639" s="15">
        <v>0</v>
      </c>
      <c r="N639" s="15">
        <f t="shared" si="177"/>
        <v>2984327.84</v>
      </c>
      <c r="O639" s="15">
        <v>0</v>
      </c>
      <c r="P639" s="15">
        <f t="shared" si="178"/>
        <v>7688</v>
      </c>
      <c r="Q639" s="15">
        <f>'Форма 2'!K2382</f>
        <v>7688</v>
      </c>
      <c r="R639" s="18">
        <v>2022</v>
      </c>
      <c r="S639" s="153">
        <v>1</v>
      </c>
    </row>
    <row r="640" spans="1:19" s="41" customFormat="1" ht="15.75" customHeight="1" x14ac:dyDescent="0.25">
      <c r="A640" s="196" t="s">
        <v>533</v>
      </c>
      <c r="B640" s="197"/>
      <c r="C640" s="198"/>
      <c r="D640" s="126" t="s">
        <v>13</v>
      </c>
      <c r="E640" s="126" t="s">
        <v>13</v>
      </c>
      <c r="F640" s="126" t="s">
        <v>13</v>
      </c>
      <c r="G640" s="15">
        <f>G641</f>
        <v>415</v>
      </c>
      <c r="H640" s="15">
        <f t="shared" ref="H640:O640" si="180">H641</f>
        <v>376.3</v>
      </c>
      <c r="I640" s="10">
        <f t="shared" si="180"/>
        <v>16</v>
      </c>
      <c r="J640" s="15">
        <f t="shared" si="180"/>
        <v>3086788.9</v>
      </c>
      <c r="K640" s="15">
        <f t="shared" si="180"/>
        <v>0</v>
      </c>
      <c r="L640" s="15">
        <f t="shared" si="180"/>
        <v>0</v>
      </c>
      <c r="M640" s="15">
        <f t="shared" si="180"/>
        <v>0</v>
      </c>
      <c r="N640" s="15">
        <f t="shared" si="180"/>
        <v>3086788.9</v>
      </c>
      <c r="O640" s="15">
        <f t="shared" si="180"/>
        <v>0</v>
      </c>
      <c r="P640" s="15" t="s">
        <v>13</v>
      </c>
      <c r="Q640" s="15" t="s">
        <v>13</v>
      </c>
      <c r="R640" s="6" t="s">
        <v>13</v>
      </c>
      <c r="S640" s="10" t="s">
        <v>13</v>
      </c>
    </row>
    <row r="641" spans="1:19" s="41" customFormat="1" ht="15.75" customHeight="1" x14ac:dyDescent="0.25">
      <c r="A641" s="126">
        <v>1</v>
      </c>
      <c r="B641" s="126">
        <v>4777</v>
      </c>
      <c r="C641" s="142" t="s">
        <v>562</v>
      </c>
      <c r="D641" s="126">
        <v>1965</v>
      </c>
      <c r="E641" s="126" t="s">
        <v>181</v>
      </c>
      <c r="F641" s="126" t="s">
        <v>82</v>
      </c>
      <c r="G641" s="9">
        <v>415</v>
      </c>
      <c r="H641" s="9">
        <v>376.3</v>
      </c>
      <c r="I641" s="10">
        <v>16</v>
      </c>
      <c r="J641" s="15">
        <f>'Форма 2'!I2386</f>
        <v>3086788.9</v>
      </c>
      <c r="K641" s="15">
        <v>0</v>
      </c>
      <c r="L641" s="15">
        <v>0</v>
      </c>
      <c r="M641" s="15">
        <v>0</v>
      </c>
      <c r="N641" s="15">
        <v>3086788.9</v>
      </c>
      <c r="O641" s="15">
        <v>0</v>
      </c>
      <c r="P641" s="15">
        <v>8203</v>
      </c>
      <c r="Q641" s="15">
        <f>'Форма 2'!K2386</f>
        <v>8203</v>
      </c>
      <c r="R641" s="18">
        <v>2022</v>
      </c>
      <c r="S641" s="153">
        <v>1</v>
      </c>
    </row>
    <row r="642" spans="1:19" ht="15.75" customHeight="1" x14ac:dyDescent="0.25">
      <c r="A642" s="183" t="s">
        <v>33</v>
      </c>
      <c r="B642" s="183"/>
      <c r="C642" s="183"/>
      <c r="D642" s="5" t="s">
        <v>13</v>
      </c>
      <c r="E642" s="15" t="s">
        <v>13</v>
      </c>
      <c r="F642" s="15" t="s">
        <v>13</v>
      </c>
      <c r="G642" s="15">
        <f>G643</f>
        <v>7975.58</v>
      </c>
      <c r="H642" s="15">
        <f t="shared" ref="H642:O642" si="181">H643</f>
        <v>7239.6</v>
      </c>
      <c r="I642" s="10">
        <f t="shared" si="181"/>
        <v>117</v>
      </c>
      <c r="J642" s="15">
        <f t="shared" si="181"/>
        <v>1245211.2</v>
      </c>
      <c r="K642" s="15">
        <f t="shared" si="181"/>
        <v>0</v>
      </c>
      <c r="L642" s="15">
        <f t="shared" si="181"/>
        <v>0</v>
      </c>
      <c r="M642" s="15">
        <f t="shared" si="181"/>
        <v>0</v>
      </c>
      <c r="N642" s="15">
        <f t="shared" si="181"/>
        <v>1245211.2</v>
      </c>
      <c r="O642" s="15">
        <f t="shared" si="181"/>
        <v>0</v>
      </c>
      <c r="P642" s="15" t="s">
        <v>13</v>
      </c>
      <c r="Q642" s="15" t="s">
        <v>13</v>
      </c>
      <c r="R642" s="15" t="s">
        <v>13</v>
      </c>
      <c r="S642" s="10" t="s">
        <v>13</v>
      </c>
    </row>
    <row r="643" spans="1:19" ht="15.75" customHeight="1" x14ac:dyDescent="0.25">
      <c r="A643" s="11">
        <v>1</v>
      </c>
      <c r="B643" s="11">
        <v>5055</v>
      </c>
      <c r="C643" s="142" t="s">
        <v>288</v>
      </c>
      <c r="D643" s="134">
        <v>1987</v>
      </c>
      <c r="E643" s="134" t="s">
        <v>68</v>
      </c>
      <c r="F643" s="134" t="s">
        <v>81</v>
      </c>
      <c r="G643" s="15">
        <v>7975.58</v>
      </c>
      <c r="H643" s="15">
        <v>7239.6</v>
      </c>
      <c r="I643" s="10">
        <v>117</v>
      </c>
      <c r="J643" s="15">
        <f>'Форма 2'!I2390</f>
        <v>1245211.2</v>
      </c>
      <c r="K643" s="15">
        <v>0</v>
      </c>
      <c r="L643" s="15">
        <v>0</v>
      </c>
      <c r="M643" s="15">
        <v>0</v>
      </c>
      <c r="N643" s="15">
        <f>J643-K643-L643-M643-O643</f>
        <v>1245211.2</v>
      </c>
      <c r="O643" s="15">
        <v>0</v>
      </c>
      <c r="P643" s="15">
        <f>J643/H643</f>
        <v>172</v>
      </c>
      <c r="Q643" s="15">
        <f>'Форма 2'!K2390</f>
        <v>172</v>
      </c>
      <c r="R643" s="353">
        <v>2022</v>
      </c>
      <c r="S643" s="153">
        <v>1</v>
      </c>
    </row>
    <row r="644" spans="1:19" ht="15.75" customHeight="1" x14ac:dyDescent="0.25">
      <c r="A644" s="175" t="s">
        <v>47</v>
      </c>
      <c r="B644" s="175"/>
      <c r="C644" s="175"/>
      <c r="D644" s="5" t="s">
        <v>13</v>
      </c>
      <c r="E644" s="15" t="s">
        <v>13</v>
      </c>
      <c r="F644" s="15" t="s">
        <v>13</v>
      </c>
      <c r="G644" s="15">
        <f t="shared" ref="G644:O644" si="182">SUM(G645:G671)</f>
        <v>190369.69</v>
      </c>
      <c r="H644" s="15">
        <f t="shared" si="182"/>
        <v>162026.94</v>
      </c>
      <c r="I644" s="10">
        <f t="shared" si="182"/>
        <v>6126</v>
      </c>
      <c r="J644" s="15">
        <f t="shared" si="182"/>
        <v>230039510.19999999</v>
      </c>
      <c r="K644" s="15">
        <f t="shared" si="182"/>
        <v>0</v>
      </c>
      <c r="L644" s="15">
        <f t="shared" si="182"/>
        <v>0</v>
      </c>
      <c r="M644" s="15">
        <f t="shared" si="182"/>
        <v>0</v>
      </c>
      <c r="N644" s="15">
        <f t="shared" si="182"/>
        <v>230039510.19999999</v>
      </c>
      <c r="O644" s="15">
        <f t="shared" si="182"/>
        <v>0</v>
      </c>
      <c r="P644" s="15" t="s">
        <v>13</v>
      </c>
      <c r="Q644" s="15" t="s">
        <v>13</v>
      </c>
      <c r="R644" s="15" t="s">
        <v>13</v>
      </c>
      <c r="S644" s="10" t="s">
        <v>13</v>
      </c>
    </row>
    <row r="645" spans="1:19" s="41" customFormat="1" ht="15.75" customHeight="1" x14ac:dyDescent="0.25">
      <c r="A645" s="126">
        <v>1</v>
      </c>
      <c r="B645" s="126">
        <v>5956</v>
      </c>
      <c r="C645" s="142" t="s">
        <v>394</v>
      </c>
      <c r="D645" s="134">
        <v>1953</v>
      </c>
      <c r="E645" s="134" t="s">
        <v>93</v>
      </c>
      <c r="F645" s="134" t="s">
        <v>114</v>
      </c>
      <c r="G645" s="15">
        <v>1328.5</v>
      </c>
      <c r="H645" s="15">
        <v>1225.2</v>
      </c>
      <c r="I645" s="10">
        <v>46</v>
      </c>
      <c r="J645" s="15">
        <f>'Форма 2'!I2393</f>
        <v>3401400.24</v>
      </c>
      <c r="K645" s="15">
        <v>0</v>
      </c>
      <c r="L645" s="15">
        <v>0</v>
      </c>
      <c r="M645" s="15">
        <v>0</v>
      </c>
      <c r="N645" s="15">
        <f>J645-K645-L645-M645-O645</f>
        <v>3401400.24</v>
      </c>
      <c r="O645" s="15">
        <v>0</v>
      </c>
      <c r="P645" s="15">
        <f t="shared" ref="P645:P671" si="183">J645/H645</f>
        <v>2776.2</v>
      </c>
      <c r="Q645" s="15">
        <f>'Форма 2'!K2393</f>
        <v>4051</v>
      </c>
      <c r="R645" s="18">
        <v>2022</v>
      </c>
      <c r="S645" s="153">
        <v>1</v>
      </c>
    </row>
    <row r="646" spans="1:19" s="41" customFormat="1" ht="15.75" customHeight="1" x14ac:dyDescent="0.25">
      <c r="A646" s="126">
        <f>A645+1</f>
        <v>2</v>
      </c>
      <c r="B646" s="126">
        <v>5990</v>
      </c>
      <c r="C646" s="142" t="s">
        <v>395</v>
      </c>
      <c r="D646" s="134">
        <v>1960</v>
      </c>
      <c r="E646" s="134" t="s">
        <v>68</v>
      </c>
      <c r="F646" s="134" t="s">
        <v>114</v>
      </c>
      <c r="G646" s="15">
        <v>3890.8</v>
      </c>
      <c r="H646" s="15">
        <v>3134</v>
      </c>
      <c r="I646" s="10">
        <v>117</v>
      </c>
      <c r="J646" s="15">
        <f>'Форма 2'!I2400</f>
        <v>8329858.5999999996</v>
      </c>
      <c r="K646" s="15">
        <v>0</v>
      </c>
      <c r="L646" s="15">
        <v>0</v>
      </c>
      <c r="M646" s="15">
        <v>0</v>
      </c>
      <c r="N646" s="15">
        <f>J646-K646-L646-M646-O646</f>
        <v>8329858.5999999996</v>
      </c>
      <c r="O646" s="15">
        <v>0</v>
      </c>
      <c r="P646" s="15">
        <f t="shared" si="183"/>
        <v>2657.9</v>
      </c>
      <c r="Q646" s="15">
        <f>'Форма 2'!K2400</f>
        <v>3878</v>
      </c>
      <c r="R646" s="18">
        <v>2022</v>
      </c>
      <c r="S646" s="153">
        <v>1</v>
      </c>
    </row>
    <row r="647" spans="1:19" s="2" customFormat="1" ht="15.75" customHeight="1" x14ac:dyDescent="0.25">
      <c r="A647" s="126">
        <f>A646+1</f>
        <v>3</v>
      </c>
      <c r="B647" s="126">
        <v>6007</v>
      </c>
      <c r="C647" s="142" t="s">
        <v>396</v>
      </c>
      <c r="D647" s="134">
        <v>1961</v>
      </c>
      <c r="E647" s="134" t="s">
        <v>68</v>
      </c>
      <c r="F647" s="134" t="s">
        <v>82</v>
      </c>
      <c r="G647" s="15">
        <v>4050.5</v>
      </c>
      <c r="H647" s="15">
        <v>3159.5</v>
      </c>
      <c r="I647" s="10">
        <v>121</v>
      </c>
      <c r="J647" s="15">
        <f>'Форма 2'!I2403</f>
        <v>11996621.5</v>
      </c>
      <c r="K647" s="15">
        <v>0</v>
      </c>
      <c r="L647" s="15">
        <v>0</v>
      </c>
      <c r="M647" s="15">
        <v>0</v>
      </c>
      <c r="N647" s="15">
        <f t="shared" ref="N647:N671" si="184">J647-K647-L647-M647-O647</f>
        <v>11996621.5</v>
      </c>
      <c r="O647" s="15">
        <v>0</v>
      </c>
      <c r="P647" s="15">
        <f t="shared" si="183"/>
        <v>3797</v>
      </c>
      <c r="Q647" s="15">
        <f>'Форма 2'!K2403</f>
        <v>3878</v>
      </c>
      <c r="R647" s="18">
        <v>2022</v>
      </c>
      <c r="S647" s="153">
        <v>1</v>
      </c>
    </row>
    <row r="648" spans="1:19" s="41" customFormat="1" ht="15.75" customHeight="1" x14ac:dyDescent="0.25">
      <c r="A648" s="126">
        <f t="shared" ref="A648:A670" si="185">A647+1</f>
        <v>4</v>
      </c>
      <c r="B648" s="137">
        <v>6024</v>
      </c>
      <c r="C648" s="150" t="s">
        <v>397</v>
      </c>
      <c r="D648" s="134">
        <v>1966</v>
      </c>
      <c r="E648" s="135" t="s">
        <v>68</v>
      </c>
      <c r="F648" s="134" t="s">
        <v>82</v>
      </c>
      <c r="G648" s="15">
        <v>2982.4</v>
      </c>
      <c r="H648" s="15">
        <v>2445.6</v>
      </c>
      <c r="I648" s="10">
        <v>98</v>
      </c>
      <c r="J648" s="15">
        <f>'Форма 2'!I2406</f>
        <v>5967264</v>
      </c>
      <c r="K648" s="15">
        <v>0</v>
      </c>
      <c r="L648" s="15">
        <v>0</v>
      </c>
      <c r="M648" s="15">
        <v>0</v>
      </c>
      <c r="N648" s="15">
        <f t="shared" si="184"/>
        <v>5967264</v>
      </c>
      <c r="O648" s="15">
        <v>0</v>
      </c>
      <c r="P648" s="9">
        <f t="shared" si="183"/>
        <v>2440</v>
      </c>
      <c r="Q648" s="15">
        <f>'Форма 2'!K2406</f>
        <v>2492</v>
      </c>
      <c r="R648" s="18">
        <v>2022</v>
      </c>
      <c r="S648" s="153">
        <v>1</v>
      </c>
    </row>
    <row r="649" spans="1:19" s="41" customFormat="1" ht="15.75" customHeight="1" x14ac:dyDescent="0.25">
      <c r="A649" s="126">
        <f t="shared" si="185"/>
        <v>5</v>
      </c>
      <c r="B649" s="14">
        <v>6031</v>
      </c>
      <c r="C649" s="142" t="s">
        <v>420</v>
      </c>
      <c r="D649" s="134" t="s">
        <v>243</v>
      </c>
      <c r="E649" s="135" t="s">
        <v>68</v>
      </c>
      <c r="F649" s="134" t="s">
        <v>82</v>
      </c>
      <c r="G649" s="15">
        <v>7107.46</v>
      </c>
      <c r="H649" s="15">
        <v>5197.3900000000003</v>
      </c>
      <c r="I649" s="10">
        <v>196</v>
      </c>
      <c r="J649" s="15">
        <f>'Форма 2'!I2409</f>
        <v>19734489.829999998</v>
      </c>
      <c r="K649" s="15">
        <v>0</v>
      </c>
      <c r="L649" s="15">
        <v>0</v>
      </c>
      <c r="M649" s="15">
        <v>0</v>
      </c>
      <c r="N649" s="15">
        <f t="shared" si="184"/>
        <v>19734489.829999998</v>
      </c>
      <c r="O649" s="15">
        <v>0</v>
      </c>
      <c r="P649" s="15">
        <f t="shared" si="183"/>
        <v>3797</v>
      </c>
      <c r="Q649" s="15">
        <f>'Форма 2'!K2409</f>
        <v>3878</v>
      </c>
      <c r="R649" s="18">
        <v>2022</v>
      </c>
      <c r="S649" s="153">
        <v>1</v>
      </c>
    </row>
    <row r="650" spans="1:19" s="41" customFormat="1" ht="31.5" customHeight="1" x14ac:dyDescent="0.25">
      <c r="A650" s="126">
        <f t="shared" si="185"/>
        <v>6</v>
      </c>
      <c r="B650" s="126">
        <v>6045</v>
      </c>
      <c r="C650" s="142" t="s">
        <v>580</v>
      </c>
      <c r="D650" s="134" t="s">
        <v>584</v>
      </c>
      <c r="E650" s="135" t="s">
        <v>86</v>
      </c>
      <c r="F650" s="134" t="s">
        <v>82</v>
      </c>
      <c r="G650" s="15">
        <v>39009.9</v>
      </c>
      <c r="H650" s="15">
        <v>34688.300000000003</v>
      </c>
      <c r="I650" s="10">
        <v>1375</v>
      </c>
      <c r="J650" s="15">
        <f>'Форма 2'!I2412</f>
        <v>2241647</v>
      </c>
      <c r="K650" s="15">
        <v>0</v>
      </c>
      <c r="L650" s="15">
        <v>0</v>
      </c>
      <c r="M650" s="15">
        <v>0</v>
      </c>
      <c r="N650" s="15">
        <f>J650-K650-L650-M650-O650</f>
        <v>2241647</v>
      </c>
      <c r="O650" s="15">
        <v>0</v>
      </c>
      <c r="P650" s="15">
        <f>J650/H650</f>
        <v>64.62</v>
      </c>
      <c r="Q650" s="15">
        <f>'Форма 2'!K2412</f>
        <v>66.14</v>
      </c>
      <c r="R650" s="18">
        <v>2022</v>
      </c>
      <c r="S650" s="153">
        <v>1</v>
      </c>
    </row>
    <row r="651" spans="1:19" s="41" customFormat="1" ht="47.25" customHeight="1" x14ac:dyDescent="0.25">
      <c r="A651" s="126">
        <f t="shared" si="185"/>
        <v>7</v>
      </c>
      <c r="B651" s="146">
        <v>6061</v>
      </c>
      <c r="C651" s="142" t="s">
        <v>466</v>
      </c>
      <c r="D651" s="134" t="s">
        <v>479</v>
      </c>
      <c r="E651" s="135" t="s">
        <v>86</v>
      </c>
      <c r="F651" s="134" t="s">
        <v>385</v>
      </c>
      <c r="G651" s="15">
        <v>46580.1</v>
      </c>
      <c r="H651" s="15">
        <v>43293.2</v>
      </c>
      <c r="I651" s="10">
        <v>1568</v>
      </c>
      <c r="J651" s="15">
        <f>'Форма 2'!I2415</f>
        <v>11208235</v>
      </c>
      <c r="K651" s="15">
        <v>0</v>
      </c>
      <c r="L651" s="15">
        <v>0</v>
      </c>
      <c r="M651" s="15">
        <v>0</v>
      </c>
      <c r="N651" s="15">
        <f>J651-K651-L651-M651-O651</f>
        <v>11208235</v>
      </c>
      <c r="O651" s="15">
        <v>0</v>
      </c>
      <c r="P651" s="15">
        <f>J651/H651</f>
        <v>258.89</v>
      </c>
      <c r="Q651" s="15">
        <f>'Форма 2'!K2415</f>
        <v>264.99</v>
      </c>
      <c r="R651" s="18">
        <v>2022</v>
      </c>
      <c r="S651" s="153">
        <v>1</v>
      </c>
    </row>
    <row r="652" spans="1:19" s="41" customFormat="1" ht="15.75" customHeight="1" x14ac:dyDescent="0.25">
      <c r="A652" s="126">
        <f>A651+1</f>
        <v>8</v>
      </c>
      <c r="B652" s="126">
        <v>5835</v>
      </c>
      <c r="C652" s="142" t="s">
        <v>398</v>
      </c>
      <c r="D652" s="134">
        <v>1960</v>
      </c>
      <c r="E652" s="134" t="s">
        <v>68</v>
      </c>
      <c r="F652" s="134" t="s">
        <v>114</v>
      </c>
      <c r="G652" s="15">
        <v>4087.2</v>
      </c>
      <c r="H652" s="15">
        <v>3133.1</v>
      </c>
      <c r="I652" s="10">
        <v>118</v>
      </c>
      <c r="J652" s="15">
        <f>'Форма 2'!I2426</f>
        <v>8327466.4900000002</v>
      </c>
      <c r="K652" s="15">
        <v>0</v>
      </c>
      <c r="L652" s="15">
        <v>0</v>
      </c>
      <c r="M652" s="15">
        <v>0</v>
      </c>
      <c r="N652" s="15">
        <f t="shared" si="184"/>
        <v>8327466.4900000002</v>
      </c>
      <c r="O652" s="15">
        <v>0</v>
      </c>
      <c r="P652" s="15">
        <f t="shared" si="183"/>
        <v>2657.9</v>
      </c>
      <c r="Q652" s="15">
        <f>'Форма 2'!K2426</f>
        <v>3878</v>
      </c>
      <c r="R652" s="18">
        <v>2022</v>
      </c>
      <c r="S652" s="153">
        <v>1</v>
      </c>
    </row>
    <row r="653" spans="1:19" s="41" customFormat="1" ht="15.75" customHeight="1" x14ac:dyDescent="0.25">
      <c r="A653" s="126">
        <f t="shared" si="185"/>
        <v>9</v>
      </c>
      <c r="B653" s="126">
        <v>5836</v>
      </c>
      <c r="C653" s="142" t="s">
        <v>399</v>
      </c>
      <c r="D653" s="134">
        <v>1959</v>
      </c>
      <c r="E653" s="134" t="s">
        <v>93</v>
      </c>
      <c r="F653" s="134" t="s">
        <v>114</v>
      </c>
      <c r="G653" s="15">
        <v>1657.2</v>
      </c>
      <c r="H653" s="15">
        <v>1222.0999999999999</v>
      </c>
      <c r="I653" s="10">
        <v>46</v>
      </c>
      <c r="J653" s="15">
        <f>'Форма 2'!I2429</f>
        <v>3392794.02</v>
      </c>
      <c r="K653" s="15">
        <v>0</v>
      </c>
      <c r="L653" s="15">
        <v>0</v>
      </c>
      <c r="M653" s="15">
        <v>0</v>
      </c>
      <c r="N653" s="15">
        <f t="shared" si="184"/>
        <v>3392794.02</v>
      </c>
      <c r="O653" s="15">
        <v>0</v>
      </c>
      <c r="P653" s="15">
        <f t="shared" si="183"/>
        <v>2776.2</v>
      </c>
      <c r="Q653" s="15">
        <f>'Форма 2'!K2429</f>
        <v>4051</v>
      </c>
      <c r="R653" s="18">
        <v>2022</v>
      </c>
      <c r="S653" s="153">
        <v>1</v>
      </c>
    </row>
    <row r="654" spans="1:19" s="41" customFormat="1" ht="15.75" customHeight="1" x14ac:dyDescent="0.25">
      <c r="A654" s="126">
        <f t="shared" si="185"/>
        <v>10</v>
      </c>
      <c r="B654" s="126">
        <v>5847</v>
      </c>
      <c r="C654" s="142" t="s">
        <v>400</v>
      </c>
      <c r="D654" s="134">
        <v>1969</v>
      </c>
      <c r="E654" s="135" t="s">
        <v>68</v>
      </c>
      <c r="F654" s="134" t="s">
        <v>114</v>
      </c>
      <c r="G654" s="15">
        <v>4420.6000000000004</v>
      </c>
      <c r="H654" s="15">
        <v>3433.2</v>
      </c>
      <c r="I654" s="10">
        <v>130</v>
      </c>
      <c r="J654" s="15">
        <f>'Форма 2'!I2436</f>
        <v>9125102.2799999993</v>
      </c>
      <c r="K654" s="15">
        <v>0</v>
      </c>
      <c r="L654" s="15">
        <v>0</v>
      </c>
      <c r="M654" s="15">
        <v>0</v>
      </c>
      <c r="N654" s="15">
        <f t="shared" si="184"/>
        <v>9125102.2799999993</v>
      </c>
      <c r="O654" s="15">
        <v>0</v>
      </c>
      <c r="P654" s="15">
        <f t="shared" si="183"/>
        <v>2657.9</v>
      </c>
      <c r="Q654" s="15">
        <f>'Форма 2'!K2436</f>
        <v>3878</v>
      </c>
      <c r="R654" s="18">
        <v>2022</v>
      </c>
      <c r="S654" s="153">
        <v>1</v>
      </c>
    </row>
    <row r="655" spans="1:19" s="41" customFormat="1" ht="15.75" customHeight="1" x14ac:dyDescent="0.25">
      <c r="A655" s="126">
        <f t="shared" si="185"/>
        <v>11</v>
      </c>
      <c r="B655" s="126">
        <v>5925</v>
      </c>
      <c r="C655" s="142" t="s">
        <v>402</v>
      </c>
      <c r="D655" s="134">
        <v>1969</v>
      </c>
      <c r="E655" s="135" t="s">
        <v>68</v>
      </c>
      <c r="F655" s="134" t="s">
        <v>114</v>
      </c>
      <c r="G655" s="15">
        <v>4607.8999999999996</v>
      </c>
      <c r="H655" s="15">
        <v>3413.9</v>
      </c>
      <c r="I655" s="10">
        <v>129</v>
      </c>
      <c r="J655" s="15">
        <f>'Форма 2'!I2439</f>
        <v>9073804.8100000005</v>
      </c>
      <c r="K655" s="15">
        <v>0</v>
      </c>
      <c r="L655" s="15">
        <v>0</v>
      </c>
      <c r="M655" s="15">
        <v>0</v>
      </c>
      <c r="N655" s="15">
        <f t="shared" si="184"/>
        <v>9073804.8100000005</v>
      </c>
      <c r="O655" s="15">
        <v>0</v>
      </c>
      <c r="P655" s="15">
        <f t="shared" si="183"/>
        <v>2657.9</v>
      </c>
      <c r="Q655" s="15">
        <f>'Форма 2'!K2439</f>
        <v>3878</v>
      </c>
      <c r="R655" s="18">
        <v>2022</v>
      </c>
      <c r="S655" s="153">
        <v>1</v>
      </c>
    </row>
    <row r="656" spans="1:19" s="41" customFormat="1" ht="15.75" customHeight="1" x14ac:dyDescent="0.25">
      <c r="A656" s="126">
        <f t="shared" si="185"/>
        <v>12</v>
      </c>
      <c r="B656" s="126">
        <v>5928</v>
      </c>
      <c r="C656" s="142" t="s">
        <v>403</v>
      </c>
      <c r="D656" s="134">
        <v>1968</v>
      </c>
      <c r="E656" s="135" t="s">
        <v>68</v>
      </c>
      <c r="F656" s="134" t="s">
        <v>114</v>
      </c>
      <c r="G656" s="15">
        <v>6751.7</v>
      </c>
      <c r="H656" s="15">
        <v>5262.7</v>
      </c>
      <c r="I656" s="10">
        <v>199</v>
      </c>
      <c r="J656" s="15">
        <f>'Форма 2'!I2442</f>
        <v>13987730.33</v>
      </c>
      <c r="K656" s="15">
        <v>0</v>
      </c>
      <c r="L656" s="15">
        <v>0</v>
      </c>
      <c r="M656" s="15">
        <v>0</v>
      </c>
      <c r="N656" s="15">
        <f t="shared" si="184"/>
        <v>13987730.33</v>
      </c>
      <c r="O656" s="15">
        <v>0</v>
      </c>
      <c r="P656" s="15">
        <f t="shared" si="183"/>
        <v>2657.9</v>
      </c>
      <c r="Q656" s="15">
        <f>'Форма 2'!K2442</f>
        <v>3878</v>
      </c>
      <c r="R656" s="18">
        <v>2022</v>
      </c>
      <c r="S656" s="153">
        <v>1</v>
      </c>
    </row>
    <row r="657" spans="1:19" s="41" customFormat="1" ht="15.75" customHeight="1" x14ac:dyDescent="0.25">
      <c r="A657" s="126">
        <f t="shared" si="185"/>
        <v>13</v>
      </c>
      <c r="B657" s="14">
        <v>6080</v>
      </c>
      <c r="C657" s="142" t="s">
        <v>404</v>
      </c>
      <c r="D657" s="134">
        <v>1961</v>
      </c>
      <c r="E657" s="134" t="s">
        <v>68</v>
      </c>
      <c r="F657" s="134" t="s">
        <v>82</v>
      </c>
      <c r="G657" s="15">
        <v>3234.2</v>
      </c>
      <c r="H657" s="15">
        <v>2511.4</v>
      </c>
      <c r="I657" s="10">
        <v>95</v>
      </c>
      <c r="J657" s="15">
        <f>'Форма 2'!I2445</f>
        <v>9535785.8000000007</v>
      </c>
      <c r="K657" s="15">
        <v>0</v>
      </c>
      <c r="L657" s="15">
        <v>0</v>
      </c>
      <c r="M657" s="15">
        <v>0</v>
      </c>
      <c r="N657" s="15">
        <f t="shared" si="184"/>
        <v>9535785.8000000007</v>
      </c>
      <c r="O657" s="15">
        <v>0</v>
      </c>
      <c r="P657" s="15">
        <f t="shared" si="183"/>
        <v>3797</v>
      </c>
      <c r="Q657" s="15">
        <f>'Форма 2'!K2445</f>
        <v>3878</v>
      </c>
      <c r="R657" s="18">
        <v>2022</v>
      </c>
      <c r="S657" s="153">
        <v>1</v>
      </c>
    </row>
    <row r="658" spans="1:19" s="41" customFormat="1" ht="15.75" customHeight="1" x14ac:dyDescent="0.25">
      <c r="A658" s="126">
        <f t="shared" si="185"/>
        <v>14</v>
      </c>
      <c r="B658" s="14">
        <v>6117</v>
      </c>
      <c r="C658" s="142" t="s">
        <v>421</v>
      </c>
      <c r="D658" s="134" t="s">
        <v>243</v>
      </c>
      <c r="E658" s="134" t="s">
        <v>68</v>
      </c>
      <c r="F658" s="134" t="s">
        <v>82</v>
      </c>
      <c r="G658" s="15">
        <v>5741</v>
      </c>
      <c r="H658" s="15">
        <v>4372.33</v>
      </c>
      <c r="I658" s="10">
        <v>165</v>
      </c>
      <c r="J658" s="15">
        <f>'Форма 2'!I2448</f>
        <v>16601737.01</v>
      </c>
      <c r="K658" s="15">
        <v>0</v>
      </c>
      <c r="L658" s="15">
        <v>0</v>
      </c>
      <c r="M658" s="15">
        <v>0</v>
      </c>
      <c r="N658" s="15">
        <f t="shared" si="184"/>
        <v>16601737.01</v>
      </c>
      <c r="O658" s="15">
        <v>0</v>
      </c>
      <c r="P658" s="15">
        <f t="shared" si="183"/>
        <v>3797</v>
      </c>
      <c r="Q658" s="15">
        <f>'Форма 2'!K2448</f>
        <v>3878</v>
      </c>
      <c r="R658" s="18">
        <v>2022</v>
      </c>
      <c r="S658" s="153">
        <v>1</v>
      </c>
    </row>
    <row r="659" spans="1:19" s="41" customFormat="1" ht="15.75" customHeight="1" x14ac:dyDescent="0.25">
      <c r="A659" s="126">
        <f t="shared" si="185"/>
        <v>15</v>
      </c>
      <c r="B659" s="14">
        <v>6125</v>
      </c>
      <c r="C659" s="142" t="s">
        <v>422</v>
      </c>
      <c r="D659" s="134">
        <v>1969</v>
      </c>
      <c r="E659" s="135" t="s">
        <v>68</v>
      </c>
      <c r="F659" s="134" t="s">
        <v>81</v>
      </c>
      <c r="G659" s="15">
        <v>2916.2</v>
      </c>
      <c r="H659" s="15">
        <v>2272.8000000000002</v>
      </c>
      <c r="I659" s="10">
        <v>86</v>
      </c>
      <c r="J659" s="15">
        <f>'Форма 2'!I2451</f>
        <v>372739.2</v>
      </c>
      <c r="K659" s="15">
        <v>0</v>
      </c>
      <c r="L659" s="15">
        <v>0</v>
      </c>
      <c r="M659" s="15">
        <v>0</v>
      </c>
      <c r="N659" s="15">
        <f t="shared" si="184"/>
        <v>372739.2</v>
      </c>
      <c r="O659" s="15">
        <v>0</v>
      </c>
      <c r="P659" s="15">
        <f t="shared" si="183"/>
        <v>164</v>
      </c>
      <c r="Q659" s="15">
        <f>'Форма 2'!K2451</f>
        <v>164</v>
      </c>
      <c r="R659" s="18">
        <v>2022</v>
      </c>
      <c r="S659" s="153">
        <v>1</v>
      </c>
    </row>
    <row r="660" spans="1:19" s="41" customFormat="1" ht="15.75" customHeight="1" x14ac:dyDescent="0.25">
      <c r="A660" s="126">
        <f t="shared" si="185"/>
        <v>16</v>
      </c>
      <c r="B660" s="126">
        <v>6145</v>
      </c>
      <c r="C660" s="142" t="s">
        <v>405</v>
      </c>
      <c r="D660" s="134">
        <v>1954</v>
      </c>
      <c r="E660" s="134" t="s">
        <v>93</v>
      </c>
      <c r="F660" s="134" t="s">
        <v>82</v>
      </c>
      <c r="G660" s="15">
        <v>1799.8</v>
      </c>
      <c r="H660" s="15">
        <v>1653.94</v>
      </c>
      <c r="I660" s="10">
        <v>68</v>
      </c>
      <c r="J660" s="15">
        <f>'Форма 2'!I2453</f>
        <v>6559526.04</v>
      </c>
      <c r="K660" s="15">
        <v>0</v>
      </c>
      <c r="L660" s="15">
        <v>0</v>
      </c>
      <c r="M660" s="15">
        <v>0</v>
      </c>
      <c r="N660" s="15">
        <f t="shared" si="184"/>
        <v>6559526.04</v>
      </c>
      <c r="O660" s="15">
        <v>0</v>
      </c>
      <c r="P660" s="15">
        <f t="shared" si="183"/>
        <v>3966</v>
      </c>
      <c r="Q660" s="15">
        <f>'Форма 2'!K2453</f>
        <v>4051</v>
      </c>
      <c r="R660" s="18">
        <v>2022</v>
      </c>
      <c r="S660" s="153">
        <v>1</v>
      </c>
    </row>
    <row r="661" spans="1:19" s="41" customFormat="1" ht="15.75" customHeight="1" x14ac:dyDescent="0.25">
      <c r="A661" s="126">
        <f t="shared" si="185"/>
        <v>17</v>
      </c>
      <c r="B661" s="14">
        <v>6163</v>
      </c>
      <c r="C661" s="142" t="s">
        <v>406</v>
      </c>
      <c r="D661" s="134">
        <v>1961</v>
      </c>
      <c r="E661" s="134" t="s">
        <v>68</v>
      </c>
      <c r="F661" s="134" t="s">
        <v>82</v>
      </c>
      <c r="G661" s="15">
        <v>3173.8</v>
      </c>
      <c r="H661" s="15">
        <v>2467.5</v>
      </c>
      <c r="I661" s="10">
        <v>93</v>
      </c>
      <c r="J661" s="15">
        <f>'Форма 2'!I2460</f>
        <v>9369097.5</v>
      </c>
      <c r="K661" s="15">
        <v>0</v>
      </c>
      <c r="L661" s="15">
        <v>0</v>
      </c>
      <c r="M661" s="15">
        <v>0</v>
      </c>
      <c r="N661" s="15">
        <f t="shared" si="184"/>
        <v>9369097.5</v>
      </c>
      <c r="O661" s="15">
        <v>0</v>
      </c>
      <c r="P661" s="15">
        <f t="shared" si="183"/>
        <v>3797</v>
      </c>
      <c r="Q661" s="15">
        <f>'Форма 2'!K2460</f>
        <v>3878</v>
      </c>
      <c r="R661" s="18">
        <v>2022</v>
      </c>
      <c r="S661" s="153">
        <v>1</v>
      </c>
    </row>
    <row r="662" spans="1:19" s="41" customFormat="1" ht="15.75" customHeight="1" x14ac:dyDescent="0.25">
      <c r="A662" s="126">
        <f t="shared" si="185"/>
        <v>18</v>
      </c>
      <c r="B662" s="126">
        <v>6304</v>
      </c>
      <c r="C662" s="142" t="s">
        <v>407</v>
      </c>
      <c r="D662" s="134">
        <v>1969</v>
      </c>
      <c r="E662" s="135" t="s">
        <v>68</v>
      </c>
      <c r="F662" s="134" t="s">
        <v>82</v>
      </c>
      <c r="G662" s="15">
        <v>4221.4799999999996</v>
      </c>
      <c r="H662" s="15">
        <v>3493.48</v>
      </c>
      <c r="I662" s="10">
        <v>132</v>
      </c>
      <c r="J662" s="15">
        <f>'Форма 2'!I2463</f>
        <v>13264743.560000001</v>
      </c>
      <c r="K662" s="15">
        <v>0</v>
      </c>
      <c r="L662" s="15">
        <v>0</v>
      </c>
      <c r="M662" s="15">
        <v>0</v>
      </c>
      <c r="N662" s="15">
        <f t="shared" si="184"/>
        <v>13264743.560000001</v>
      </c>
      <c r="O662" s="15">
        <v>0</v>
      </c>
      <c r="P662" s="15">
        <f t="shared" si="183"/>
        <v>3797</v>
      </c>
      <c r="Q662" s="15">
        <f>'Форма 2'!K2463</f>
        <v>3878</v>
      </c>
      <c r="R662" s="18">
        <v>2022</v>
      </c>
      <c r="S662" s="153">
        <v>1</v>
      </c>
    </row>
    <row r="663" spans="1:19" s="41" customFormat="1" ht="15.75" customHeight="1" x14ac:dyDescent="0.25">
      <c r="A663" s="126">
        <f t="shared" si="185"/>
        <v>19</v>
      </c>
      <c r="B663" s="126">
        <v>6320</v>
      </c>
      <c r="C663" s="142" t="s">
        <v>583</v>
      </c>
      <c r="D663" s="126">
        <v>1995</v>
      </c>
      <c r="E663" s="134" t="s">
        <v>86</v>
      </c>
      <c r="F663" s="134" t="s">
        <v>82</v>
      </c>
      <c r="G663" s="15">
        <v>7526</v>
      </c>
      <c r="H663" s="15">
        <v>6684.9</v>
      </c>
      <c r="I663" s="10">
        <v>253</v>
      </c>
      <c r="J663" s="15">
        <f>'Форма 2'!I2466</f>
        <v>6724941</v>
      </c>
      <c r="K663" s="15">
        <v>0</v>
      </c>
      <c r="L663" s="15">
        <v>0</v>
      </c>
      <c r="M663" s="15">
        <v>0</v>
      </c>
      <c r="N663" s="15">
        <f>J663-K663-L663-M663-O663</f>
        <v>6724941</v>
      </c>
      <c r="O663" s="15">
        <v>0</v>
      </c>
      <c r="P663" s="15">
        <f>J663/H663</f>
        <v>1005.99</v>
      </c>
      <c r="Q663" s="15">
        <f>'Форма 2'!K2466</f>
        <v>1027.53</v>
      </c>
      <c r="R663" s="18">
        <v>2022</v>
      </c>
      <c r="S663" s="153">
        <v>1</v>
      </c>
    </row>
    <row r="664" spans="1:19" s="41" customFormat="1" ht="15.75" customHeight="1" x14ac:dyDescent="0.25">
      <c r="A664" s="126">
        <f t="shared" si="185"/>
        <v>20</v>
      </c>
      <c r="B664" s="126">
        <v>6330</v>
      </c>
      <c r="C664" s="142" t="s">
        <v>577</v>
      </c>
      <c r="D664" s="126">
        <v>1996</v>
      </c>
      <c r="E664" s="134" t="s">
        <v>86</v>
      </c>
      <c r="F664" s="134" t="s">
        <v>82</v>
      </c>
      <c r="G664" s="15">
        <v>11732.1</v>
      </c>
      <c r="H664" s="15">
        <v>10514.2</v>
      </c>
      <c r="I664" s="10">
        <v>397</v>
      </c>
      <c r="J664" s="15">
        <f>'Форма 2'!I2473</f>
        <v>6724941</v>
      </c>
      <c r="K664" s="15">
        <v>0</v>
      </c>
      <c r="L664" s="15">
        <v>0</v>
      </c>
      <c r="M664" s="15">
        <v>0</v>
      </c>
      <c r="N664" s="15">
        <f>J664-K664-L664-M664-O664</f>
        <v>6724941</v>
      </c>
      <c r="O664" s="15">
        <v>0</v>
      </c>
      <c r="P664" s="15">
        <f>J664/H664</f>
        <v>639.61</v>
      </c>
      <c r="Q664" s="15">
        <f>'Форма 2'!K2473</f>
        <v>654.61</v>
      </c>
      <c r="R664" s="18">
        <v>2022</v>
      </c>
      <c r="S664" s="153">
        <v>1</v>
      </c>
    </row>
    <row r="665" spans="1:19" s="41" customFormat="1" ht="15.75" customHeight="1" x14ac:dyDescent="0.25">
      <c r="A665" s="126">
        <f>A664+1</f>
        <v>21</v>
      </c>
      <c r="B665" s="126">
        <v>6399</v>
      </c>
      <c r="C665" s="142" t="s">
        <v>413</v>
      </c>
      <c r="D665" s="134">
        <v>1959</v>
      </c>
      <c r="E665" s="134" t="s">
        <v>93</v>
      </c>
      <c r="F665" s="134" t="s">
        <v>114</v>
      </c>
      <c r="G665" s="15">
        <v>4252.8999999999996</v>
      </c>
      <c r="H665" s="15">
        <v>3130.7</v>
      </c>
      <c r="I665" s="10">
        <v>118</v>
      </c>
      <c r="J665" s="15">
        <f>'Форма 2'!I2480</f>
        <v>7334917.0300000003</v>
      </c>
      <c r="K665" s="15">
        <v>0</v>
      </c>
      <c r="L665" s="15">
        <v>0</v>
      </c>
      <c r="M665" s="15">
        <v>0</v>
      </c>
      <c r="N665" s="15">
        <f t="shared" si="184"/>
        <v>7334917.0300000003</v>
      </c>
      <c r="O665" s="15">
        <v>0</v>
      </c>
      <c r="P665" s="15">
        <f t="shared" si="183"/>
        <v>2342.9</v>
      </c>
      <c r="Q665" s="15">
        <f>'Форма 2'!K2480</f>
        <v>3419</v>
      </c>
      <c r="R665" s="18">
        <v>2022</v>
      </c>
      <c r="S665" s="153">
        <v>1</v>
      </c>
    </row>
    <row r="666" spans="1:19" s="41" customFormat="1" ht="15.75" customHeight="1" x14ac:dyDescent="0.25">
      <c r="A666" s="126">
        <f t="shared" si="185"/>
        <v>22</v>
      </c>
      <c r="B666" s="126">
        <v>6400</v>
      </c>
      <c r="C666" s="142" t="s">
        <v>414</v>
      </c>
      <c r="D666" s="134">
        <v>1960</v>
      </c>
      <c r="E666" s="134" t="s">
        <v>93</v>
      </c>
      <c r="F666" s="134" t="s">
        <v>114</v>
      </c>
      <c r="G666" s="15">
        <v>3898.9</v>
      </c>
      <c r="H666" s="15">
        <v>2810.7</v>
      </c>
      <c r="I666" s="10">
        <v>106</v>
      </c>
      <c r="J666" s="15">
        <f>'Форма 2'!I2487</f>
        <v>7803065.3399999999</v>
      </c>
      <c r="K666" s="15">
        <v>0</v>
      </c>
      <c r="L666" s="15">
        <v>0</v>
      </c>
      <c r="M666" s="15">
        <v>0</v>
      </c>
      <c r="N666" s="15">
        <f t="shared" si="184"/>
        <v>7803065.3399999999</v>
      </c>
      <c r="O666" s="15">
        <v>0</v>
      </c>
      <c r="P666" s="15">
        <f t="shared" si="183"/>
        <v>2776.2</v>
      </c>
      <c r="Q666" s="15">
        <f>'Форма 2'!K2487</f>
        <v>4051</v>
      </c>
      <c r="R666" s="18">
        <v>2022</v>
      </c>
      <c r="S666" s="153">
        <v>1</v>
      </c>
    </row>
    <row r="667" spans="1:19" s="41" customFormat="1" ht="15.75" customHeight="1" x14ac:dyDescent="0.25">
      <c r="A667" s="126">
        <f t="shared" si="185"/>
        <v>23</v>
      </c>
      <c r="B667" s="119">
        <v>6430</v>
      </c>
      <c r="C667" s="142" t="s">
        <v>415</v>
      </c>
      <c r="D667" s="134">
        <v>1961</v>
      </c>
      <c r="E667" s="134" t="s">
        <v>68</v>
      </c>
      <c r="F667" s="134" t="s">
        <v>82</v>
      </c>
      <c r="G667" s="15">
        <v>3270.4</v>
      </c>
      <c r="H667" s="15">
        <v>2506.4</v>
      </c>
      <c r="I667" s="10">
        <v>95</v>
      </c>
      <c r="J667" s="15">
        <f>'Форма 2'!I2494</f>
        <v>9516800.8000000007</v>
      </c>
      <c r="K667" s="15">
        <v>0</v>
      </c>
      <c r="L667" s="15">
        <v>0</v>
      </c>
      <c r="M667" s="15">
        <v>0</v>
      </c>
      <c r="N667" s="15">
        <f t="shared" si="184"/>
        <v>9516800.8000000007</v>
      </c>
      <c r="O667" s="15">
        <v>0</v>
      </c>
      <c r="P667" s="15">
        <f t="shared" si="183"/>
        <v>3797</v>
      </c>
      <c r="Q667" s="15">
        <f>'Форма 2'!K2494</f>
        <v>3878</v>
      </c>
      <c r="R667" s="18">
        <v>2022</v>
      </c>
      <c r="S667" s="153">
        <v>1</v>
      </c>
    </row>
    <row r="668" spans="1:19" s="41" customFormat="1" ht="15.75" customHeight="1" x14ac:dyDescent="0.25">
      <c r="A668" s="126">
        <f>A667+1</f>
        <v>24</v>
      </c>
      <c r="B668" s="126">
        <v>6433</v>
      </c>
      <c r="C668" s="142" t="s">
        <v>416</v>
      </c>
      <c r="D668" s="134">
        <v>1960</v>
      </c>
      <c r="E668" s="134" t="s">
        <v>68</v>
      </c>
      <c r="F668" s="134" t="s">
        <v>114</v>
      </c>
      <c r="G668" s="15">
        <v>3979.8</v>
      </c>
      <c r="H668" s="15">
        <v>3100.3</v>
      </c>
      <c r="I668" s="10">
        <v>114</v>
      </c>
      <c r="J668" s="15">
        <f>'Форма 2'!I2497</f>
        <v>8240287.3700000001</v>
      </c>
      <c r="K668" s="15">
        <v>0</v>
      </c>
      <c r="L668" s="15">
        <v>0</v>
      </c>
      <c r="M668" s="15">
        <v>0</v>
      </c>
      <c r="N668" s="15">
        <f t="shared" si="184"/>
        <v>8240287.3700000001</v>
      </c>
      <c r="O668" s="15">
        <v>0</v>
      </c>
      <c r="P668" s="15">
        <f t="shared" si="183"/>
        <v>2657.9</v>
      </c>
      <c r="Q668" s="15">
        <f>'Форма 2'!K2497</f>
        <v>3878</v>
      </c>
      <c r="R668" s="18">
        <v>2022</v>
      </c>
      <c r="S668" s="153">
        <v>1</v>
      </c>
    </row>
    <row r="669" spans="1:19" s="41" customFormat="1" ht="15.75" customHeight="1" x14ac:dyDescent="0.25">
      <c r="A669" s="126">
        <f t="shared" si="185"/>
        <v>25</v>
      </c>
      <c r="B669" s="126">
        <v>6436</v>
      </c>
      <c r="C669" s="142" t="s">
        <v>417</v>
      </c>
      <c r="D669" s="134">
        <v>1960</v>
      </c>
      <c r="E669" s="134" t="s">
        <v>93</v>
      </c>
      <c r="F669" s="134" t="s">
        <v>114</v>
      </c>
      <c r="G669" s="15">
        <v>3245</v>
      </c>
      <c r="H669" s="15">
        <v>3038.5</v>
      </c>
      <c r="I669" s="10">
        <v>115</v>
      </c>
      <c r="J669" s="15">
        <f>'Форма 2'!I2500</f>
        <v>7118901.6500000004</v>
      </c>
      <c r="K669" s="15">
        <v>0</v>
      </c>
      <c r="L669" s="15">
        <v>0</v>
      </c>
      <c r="M669" s="15">
        <v>0</v>
      </c>
      <c r="N669" s="15">
        <f t="shared" si="184"/>
        <v>7118901.6500000004</v>
      </c>
      <c r="O669" s="15">
        <v>0</v>
      </c>
      <c r="P669" s="15">
        <f t="shared" si="183"/>
        <v>2342.9</v>
      </c>
      <c r="Q669" s="15">
        <f>'Форма 2'!K2500</f>
        <v>3419</v>
      </c>
      <c r="R669" s="18">
        <v>2022</v>
      </c>
      <c r="S669" s="153">
        <v>1</v>
      </c>
    </row>
    <row r="670" spans="1:19" s="41" customFormat="1" ht="15.75" customHeight="1" x14ac:dyDescent="0.25">
      <c r="A670" s="126">
        <f t="shared" si="185"/>
        <v>26</v>
      </c>
      <c r="B670" s="146">
        <v>6439</v>
      </c>
      <c r="C670" s="142" t="s">
        <v>418</v>
      </c>
      <c r="D670" s="134">
        <v>1961</v>
      </c>
      <c r="E670" s="134" t="s">
        <v>68</v>
      </c>
      <c r="F670" s="134" t="s">
        <v>82</v>
      </c>
      <c r="G670" s="15">
        <v>4438.3999999999996</v>
      </c>
      <c r="H670" s="15">
        <v>3449.6</v>
      </c>
      <c r="I670" s="10">
        <v>130</v>
      </c>
      <c r="J670" s="15">
        <f>'Форма 2'!I2507</f>
        <v>13098131.199999999</v>
      </c>
      <c r="K670" s="15">
        <v>0</v>
      </c>
      <c r="L670" s="15">
        <v>0</v>
      </c>
      <c r="M670" s="15">
        <v>0</v>
      </c>
      <c r="N670" s="15">
        <f t="shared" si="184"/>
        <v>13098131.199999999</v>
      </c>
      <c r="O670" s="15">
        <v>0</v>
      </c>
      <c r="P670" s="15">
        <f t="shared" si="183"/>
        <v>3797</v>
      </c>
      <c r="Q670" s="15">
        <f>'Форма 2'!K2507</f>
        <v>3878</v>
      </c>
      <c r="R670" s="18">
        <v>2022</v>
      </c>
      <c r="S670" s="153">
        <v>1</v>
      </c>
    </row>
    <row r="671" spans="1:19" s="41" customFormat="1" ht="15.75" customHeight="1" x14ac:dyDescent="0.25">
      <c r="A671" s="126">
        <f>A670+1</f>
        <v>27</v>
      </c>
      <c r="B671" s="126">
        <v>6538</v>
      </c>
      <c r="C671" s="142" t="s">
        <v>419</v>
      </c>
      <c r="D671" s="134">
        <v>1926</v>
      </c>
      <c r="E671" s="134" t="s">
        <v>158</v>
      </c>
      <c r="F671" s="134" t="s">
        <v>114</v>
      </c>
      <c r="G671" s="15">
        <v>465.45</v>
      </c>
      <c r="H671" s="15">
        <v>412</v>
      </c>
      <c r="I671" s="10">
        <v>16</v>
      </c>
      <c r="J671" s="15">
        <f>'Форма 2'!I2510</f>
        <v>987481.59999999998</v>
      </c>
      <c r="K671" s="15">
        <v>0</v>
      </c>
      <c r="L671" s="15">
        <v>0</v>
      </c>
      <c r="M671" s="15">
        <v>0</v>
      </c>
      <c r="N671" s="15">
        <f t="shared" si="184"/>
        <v>987481.59999999998</v>
      </c>
      <c r="O671" s="15">
        <v>0</v>
      </c>
      <c r="P671" s="15">
        <f t="shared" si="183"/>
        <v>2396.8000000000002</v>
      </c>
      <c r="Q671" s="15">
        <f>'Форма 2'!K2510</f>
        <v>3497</v>
      </c>
      <c r="R671" s="18">
        <v>2022</v>
      </c>
      <c r="S671" s="153">
        <v>1</v>
      </c>
    </row>
    <row r="672" spans="1:19" s="158" customFormat="1" ht="15.75" customHeight="1" x14ac:dyDescent="0.25">
      <c r="A672" s="183" t="s">
        <v>41</v>
      </c>
      <c r="B672" s="183"/>
      <c r="C672" s="183"/>
      <c r="D672" s="5" t="s">
        <v>13</v>
      </c>
      <c r="E672" s="15" t="s">
        <v>13</v>
      </c>
      <c r="F672" s="15" t="s">
        <v>13</v>
      </c>
      <c r="G672" s="15">
        <f>SUM(G673:G683)</f>
        <v>52801.5</v>
      </c>
      <c r="H672" s="15">
        <f t="shared" ref="H672:O672" si="186">SUM(H673:H683)</f>
        <v>43301.51</v>
      </c>
      <c r="I672" s="10">
        <f t="shared" si="186"/>
        <v>1716</v>
      </c>
      <c r="J672" s="15">
        <f t="shared" si="186"/>
        <v>71034534.739999995</v>
      </c>
      <c r="K672" s="15">
        <f t="shared" si="186"/>
        <v>0</v>
      </c>
      <c r="L672" s="15">
        <f t="shared" si="186"/>
        <v>0</v>
      </c>
      <c r="M672" s="15">
        <f t="shared" si="186"/>
        <v>0</v>
      </c>
      <c r="N672" s="15">
        <f t="shared" si="186"/>
        <v>71034534.739999995</v>
      </c>
      <c r="O672" s="15">
        <f t="shared" si="186"/>
        <v>0</v>
      </c>
      <c r="P672" s="15" t="s">
        <v>13</v>
      </c>
      <c r="Q672" s="15" t="s">
        <v>13</v>
      </c>
      <c r="R672" s="15" t="s">
        <v>13</v>
      </c>
      <c r="S672" s="10" t="s">
        <v>13</v>
      </c>
    </row>
    <row r="673" spans="1:19" s="41" customFormat="1" ht="15.75" customHeight="1" x14ac:dyDescent="0.25">
      <c r="A673" s="20">
        <v>1</v>
      </c>
      <c r="B673" s="133">
        <v>5079</v>
      </c>
      <c r="C673" s="150" t="s">
        <v>337</v>
      </c>
      <c r="D673" s="137">
        <v>1971</v>
      </c>
      <c r="E673" s="137" t="s">
        <v>93</v>
      </c>
      <c r="F673" s="137" t="s">
        <v>82</v>
      </c>
      <c r="G673" s="25">
        <v>772.9</v>
      </c>
      <c r="H673" s="25">
        <v>712.3</v>
      </c>
      <c r="I673" s="33">
        <v>27</v>
      </c>
      <c r="J673" s="15">
        <f>'Форма 2'!I2516</f>
        <v>3045082.5</v>
      </c>
      <c r="K673" s="15">
        <v>0</v>
      </c>
      <c r="L673" s="350">
        <v>0</v>
      </c>
      <c r="M673" s="350">
        <v>0</v>
      </c>
      <c r="N673" s="15">
        <f t="shared" ref="N673:N681" si="187">J673-K673-L673-M673-O673</f>
        <v>3045082.5</v>
      </c>
      <c r="O673" s="15">
        <v>0</v>
      </c>
      <c r="P673" s="15">
        <f t="shared" ref="P673:P681" si="188">J673/H673</f>
        <v>4275</v>
      </c>
      <c r="Q673" s="15">
        <f>'Форма 2'!K2516</f>
        <v>4275</v>
      </c>
      <c r="R673" s="18" t="s">
        <v>381</v>
      </c>
      <c r="S673" s="10">
        <v>1</v>
      </c>
    </row>
    <row r="674" spans="1:19" s="41" customFormat="1" ht="15.75" customHeight="1" x14ac:dyDescent="0.25">
      <c r="A674" s="20">
        <f t="shared" ref="A674:A680" si="189">A673+1</f>
        <v>2</v>
      </c>
      <c r="B674" s="133">
        <v>5080</v>
      </c>
      <c r="C674" s="150" t="s">
        <v>338</v>
      </c>
      <c r="D674" s="137">
        <v>1972</v>
      </c>
      <c r="E674" s="137" t="s">
        <v>93</v>
      </c>
      <c r="F674" s="137" t="s">
        <v>82</v>
      </c>
      <c r="G674" s="25">
        <v>761.2</v>
      </c>
      <c r="H674" s="25">
        <v>704</v>
      </c>
      <c r="I674" s="33">
        <v>27</v>
      </c>
      <c r="J674" s="15">
        <f>'Форма 2'!I2523</f>
        <v>3009600</v>
      </c>
      <c r="K674" s="15">
        <v>0</v>
      </c>
      <c r="L674" s="350">
        <v>0</v>
      </c>
      <c r="M674" s="350">
        <v>0</v>
      </c>
      <c r="N674" s="15">
        <f t="shared" si="187"/>
        <v>3009600</v>
      </c>
      <c r="O674" s="15">
        <v>0</v>
      </c>
      <c r="P674" s="15">
        <f t="shared" si="188"/>
        <v>4275</v>
      </c>
      <c r="Q674" s="15">
        <f>'Форма 2'!K2523</f>
        <v>4275</v>
      </c>
      <c r="R674" s="18" t="s">
        <v>381</v>
      </c>
      <c r="S674" s="10">
        <v>1</v>
      </c>
    </row>
    <row r="675" spans="1:19" s="41" customFormat="1" ht="15.75" customHeight="1" x14ac:dyDescent="0.25">
      <c r="A675" s="20">
        <f t="shared" si="189"/>
        <v>3</v>
      </c>
      <c r="B675" s="133">
        <v>5091</v>
      </c>
      <c r="C675" s="150" t="s">
        <v>339</v>
      </c>
      <c r="D675" s="134">
        <v>1978</v>
      </c>
      <c r="E675" s="137" t="s">
        <v>68</v>
      </c>
      <c r="F675" s="137" t="s">
        <v>82</v>
      </c>
      <c r="G675" s="25">
        <v>2829.6</v>
      </c>
      <c r="H675" s="15">
        <v>2295.21</v>
      </c>
      <c r="I675" s="349">
        <v>87</v>
      </c>
      <c r="J675" s="15">
        <f>'Форма 2'!I2530</f>
        <v>6688241.9400000004</v>
      </c>
      <c r="K675" s="15">
        <v>0</v>
      </c>
      <c r="L675" s="350">
        <v>0</v>
      </c>
      <c r="M675" s="350">
        <v>0</v>
      </c>
      <c r="N675" s="15">
        <f t="shared" si="187"/>
        <v>6688241.9400000004</v>
      </c>
      <c r="O675" s="15">
        <v>0</v>
      </c>
      <c r="P675" s="15">
        <f t="shared" si="188"/>
        <v>2914</v>
      </c>
      <c r="Q675" s="15">
        <f>'Форма 2'!K2530</f>
        <v>2914</v>
      </c>
      <c r="R675" s="18" t="s">
        <v>381</v>
      </c>
      <c r="S675" s="126">
        <v>1</v>
      </c>
    </row>
    <row r="676" spans="1:19" s="41" customFormat="1" ht="15.75" customHeight="1" x14ac:dyDescent="0.25">
      <c r="A676" s="20">
        <f t="shared" si="189"/>
        <v>4</v>
      </c>
      <c r="B676" s="133">
        <v>5097</v>
      </c>
      <c r="C676" s="150" t="s">
        <v>340</v>
      </c>
      <c r="D676" s="134">
        <v>1972</v>
      </c>
      <c r="E676" s="137" t="s">
        <v>93</v>
      </c>
      <c r="F676" s="137" t="s">
        <v>82</v>
      </c>
      <c r="G676" s="25">
        <v>395.6</v>
      </c>
      <c r="H676" s="15">
        <v>371</v>
      </c>
      <c r="I676" s="349">
        <v>34</v>
      </c>
      <c r="J676" s="15">
        <f>'Форма 2'!I2533</f>
        <v>1586025</v>
      </c>
      <c r="K676" s="15">
        <v>0</v>
      </c>
      <c r="L676" s="350">
        <v>0</v>
      </c>
      <c r="M676" s="350">
        <v>0</v>
      </c>
      <c r="N676" s="15">
        <f t="shared" si="187"/>
        <v>1586025</v>
      </c>
      <c r="O676" s="15">
        <v>0</v>
      </c>
      <c r="P676" s="15">
        <f t="shared" si="188"/>
        <v>4275</v>
      </c>
      <c r="Q676" s="15">
        <f>'Форма 2'!K2533</f>
        <v>4275</v>
      </c>
      <c r="R676" s="18" t="s">
        <v>381</v>
      </c>
      <c r="S676" s="126">
        <v>1</v>
      </c>
    </row>
    <row r="677" spans="1:19" s="41" customFormat="1" ht="15.75" customHeight="1" x14ac:dyDescent="0.25">
      <c r="A677" s="20">
        <f t="shared" si="189"/>
        <v>5</v>
      </c>
      <c r="B677" s="133">
        <v>5107</v>
      </c>
      <c r="C677" s="150" t="s">
        <v>234</v>
      </c>
      <c r="D677" s="134">
        <v>1972</v>
      </c>
      <c r="E677" s="137" t="s">
        <v>93</v>
      </c>
      <c r="F677" s="137" t="s">
        <v>82</v>
      </c>
      <c r="G677" s="25">
        <v>804.2</v>
      </c>
      <c r="H677" s="15">
        <v>743</v>
      </c>
      <c r="I677" s="349">
        <v>43</v>
      </c>
      <c r="J677" s="15">
        <f>'Форма 2'!I2540</f>
        <v>3176325</v>
      </c>
      <c r="K677" s="15">
        <v>0</v>
      </c>
      <c r="L677" s="350">
        <v>0</v>
      </c>
      <c r="M677" s="350">
        <v>0</v>
      </c>
      <c r="N677" s="15">
        <f t="shared" si="187"/>
        <v>3176325</v>
      </c>
      <c r="O677" s="15">
        <v>0</v>
      </c>
      <c r="P677" s="15">
        <f t="shared" si="188"/>
        <v>4275</v>
      </c>
      <c r="Q677" s="15">
        <f>'Форма 2'!K2540</f>
        <v>4275</v>
      </c>
      <c r="R677" s="18" t="s">
        <v>381</v>
      </c>
      <c r="S677" s="126">
        <v>1</v>
      </c>
    </row>
    <row r="678" spans="1:19" s="41" customFormat="1" ht="15.75" customHeight="1" x14ac:dyDescent="0.25">
      <c r="A678" s="20">
        <f t="shared" si="189"/>
        <v>6</v>
      </c>
      <c r="B678" s="133">
        <v>5111</v>
      </c>
      <c r="C678" s="150" t="s">
        <v>341</v>
      </c>
      <c r="D678" s="134">
        <v>1975</v>
      </c>
      <c r="E678" s="137" t="s">
        <v>93</v>
      </c>
      <c r="F678" s="137" t="s">
        <v>82</v>
      </c>
      <c r="G678" s="25">
        <v>4436.5</v>
      </c>
      <c r="H678" s="15">
        <v>4156.3999999999996</v>
      </c>
      <c r="I678" s="349">
        <v>157</v>
      </c>
      <c r="J678" s="15">
        <f>'Форма 2'!I2547</f>
        <v>15054480.800000001</v>
      </c>
      <c r="K678" s="15">
        <v>0</v>
      </c>
      <c r="L678" s="350">
        <v>0</v>
      </c>
      <c r="M678" s="350">
        <v>0</v>
      </c>
      <c r="N678" s="15">
        <f t="shared" si="187"/>
        <v>15054480.800000001</v>
      </c>
      <c r="O678" s="15">
        <v>0</v>
      </c>
      <c r="P678" s="15">
        <f t="shared" si="188"/>
        <v>3622</v>
      </c>
      <c r="Q678" s="15">
        <f>'Форма 2'!K2547</f>
        <v>3622</v>
      </c>
      <c r="R678" s="18" t="s">
        <v>381</v>
      </c>
      <c r="S678" s="126">
        <v>1</v>
      </c>
    </row>
    <row r="679" spans="1:19" s="41" customFormat="1" ht="15.75" customHeight="1" x14ac:dyDescent="0.25">
      <c r="A679" s="20">
        <f t="shared" si="189"/>
        <v>7</v>
      </c>
      <c r="B679" s="133">
        <v>5112</v>
      </c>
      <c r="C679" s="150" t="s">
        <v>342</v>
      </c>
      <c r="D679" s="134">
        <v>1973</v>
      </c>
      <c r="E679" s="137" t="s">
        <v>93</v>
      </c>
      <c r="F679" s="137" t="s">
        <v>82</v>
      </c>
      <c r="G679" s="25">
        <v>806.9</v>
      </c>
      <c r="H679" s="15">
        <v>745.9</v>
      </c>
      <c r="I679" s="349">
        <v>48</v>
      </c>
      <c r="J679" s="15">
        <f>'Форма 2'!I2554</f>
        <v>3188722.5</v>
      </c>
      <c r="K679" s="15">
        <v>0</v>
      </c>
      <c r="L679" s="350">
        <v>0</v>
      </c>
      <c r="M679" s="350">
        <v>0</v>
      </c>
      <c r="N679" s="15">
        <f t="shared" si="187"/>
        <v>3188722.5</v>
      </c>
      <c r="O679" s="15">
        <v>0</v>
      </c>
      <c r="P679" s="15">
        <f t="shared" si="188"/>
        <v>4275</v>
      </c>
      <c r="Q679" s="15">
        <f>'Форма 2'!K2554</f>
        <v>4275</v>
      </c>
      <c r="R679" s="18" t="s">
        <v>381</v>
      </c>
      <c r="S679" s="126">
        <v>1</v>
      </c>
    </row>
    <row r="680" spans="1:19" s="41" customFormat="1" ht="15.75" customHeight="1" x14ac:dyDescent="0.25">
      <c r="A680" s="20">
        <f t="shared" si="189"/>
        <v>8</v>
      </c>
      <c r="B680" s="134">
        <v>5115</v>
      </c>
      <c r="C680" s="150" t="s">
        <v>343</v>
      </c>
      <c r="D680" s="134">
        <v>1974</v>
      </c>
      <c r="E680" s="137" t="s">
        <v>93</v>
      </c>
      <c r="F680" s="137" t="s">
        <v>82</v>
      </c>
      <c r="G680" s="25">
        <v>941.4</v>
      </c>
      <c r="H680" s="15">
        <v>860.4</v>
      </c>
      <c r="I680" s="349">
        <v>57</v>
      </c>
      <c r="J680" s="15">
        <f>'Форма 2'!I2561</f>
        <v>3678210</v>
      </c>
      <c r="K680" s="15">
        <v>0</v>
      </c>
      <c r="L680" s="350">
        <v>0</v>
      </c>
      <c r="M680" s="350">
        <v>0</v>
      </c>
      <c r="N680" s="15">
        <f t="shared" si="187"/>
        <v>3678210</v>
      </c>
      <c r="O680" s="15">
        <v>0</v>
      </c>
      <c r="P680" s="15">
        <f t="shared" si="188"/>
        <v>4275</v>
      </c>
      <c r="Q680" s="15">
        <f>'Форма 2'!K2561</f>
        <v>4275</v>
      </c>
      <c r="R680" s="18" t="s">
        <v>381</v>
      </c>
      <c r="S680" s="126">
        <v>1</v>
      </c>
    </row>
    <row r="681" spans="1:19" s="41" customFormat="1" ht="15.75" customHeight="1" x14ac:dyDescent="0.25">
      <c r="A681" s="20">
        <f>A680+1</f>
        <v>9</v>
      </c>
      <c r="B681" s="134">
        <v>5123</v>
      </c>
      <c r="C681" s="150" t="s">
        <v>345</v>
      </c>
      <c r="D681" s="137">
        <v>1975</v>
      </c>
      <c r="E681" s="137" t="s">
        <v>93</v>
      </c>
      <c r="F681" s="137" t="s">
        <v>82</v>
      </c>
      <c r="G681" s="25">
        <v>2906.9</v>
      </c>
      <c r="H681" s="15">
        <v>2573.4</v>
      </c>
      <c r="I681" s="349">
        <v>97</v>
      </c>
      <c r="J681" s="15">
        <f>'Форма 2'!I2568</f>
        <v>11001285</v>
      </c>
      <c r="K681" s="350">
        <v>0</v>
      </c>
      <c r="L681" s="350">
        <v>0</v>
      </c>
      <c r="M681" s="350">
        <v>0</v>
      </c>
      <c r="N681" s="15">
        <f t="shared" si="187"/>
        <v>11001285</v>
      </c>
      <c r="O681" s="15">
        <v>0</v>
      </c>
      <c r="P681" s="15">
        <f t="shared" si="188"/>
        <v>4275</v>
      </c>
      <c r="Q681" s="15">
        <f>'Форма 2'!K2568</f>
        <v>4275</v>
      </c>
      <c r="R681" s="18" t="s">
        <v>381</v>
      </c>
      <c r="S681" s="10">
        <v>1</v>
      </c>
    </row>
    <row r="682" spans="1:19" s="41" customFormat="1" ht="15.75" customHeight="1" x14ac:dyDescent="0.25">
      <c r="A682" s="20">
        <f>A681+1</f>
        <v>10</v>
      </c>
      <c r="B682" s="130">
        <v>5187</v>
      </c>
      <c r="C682" s="150" t="s">
        <v>586</v>
      </c>
      <c r="D682" s="22">
        <v>1992</v>
      </c>
      <c r="E682" s="137" t="s">
        <v>86</v>
      </c>
      <c r="F682" s="22" t="s">
        <v>82</v>
      </c>
      <c r="G682" s="25">
        <v>17524.400000000001</v>
      </c>
      <c r="H682" s="25">
        <v>13834.8</v>
      </c>
      <c r="I682" s="33">
        <v>523</v>
      </c>
      <c r="J682" s="15">
        <f>'Форма 2'!I2575</f>
        <v>4579236</v>
      </c>
      <c r="K682" s="15">
        <v>0</v>
      </c>
      <c r="L682" s="350">
        <v>0</v>
      </c>
      <c r="M682" s="350">
        <v>0</v>
      </c>
      <c r="N682" s="15">
        <f>J682-K682-L682-M682-O682</f>
        <v>4579236</v>
      </c>
      <c r="O682" s="15">
        <v>0</v>
      </c>
      <c r="P682" s="15">
        <f>J682/H682</f>
        <v>330.99</v>
      </c>
      <c r="Q682" s="15">
        <f>'Форма 2'!K2575</f>
        <v>330.99</v>
      </c>
      <c r="R682" s="351" t="s">
        <v>381</v>
      </c>
      <c r="S682" s="10">
        <v>1</v>
      </c>
    </row>
    <row r="683" spans="1:19" s="41" customFormat="1" ht="15.75" customHeight="1" x14ac:dyDescent="0.25">
      <c r="A683" s="20">
        <f>A682+1</f>
        <v>11</v>
      </c>
      <c r="B683" s="131">
        <v>5291</v>
      </c>
      <c r="C683" s="150" t="s">
        <v>587</v>
      </c>
      <c r="D683" s="22">
        <v>1991</v>
      </c>
      <c r="E683" s="137" t="s">
        <v>86</v>
      </c>
      <c r="F683" s="22" t="s">
        <v>82</v>
      </c>
      <c r="G683" s="25">
        <v>20621.900000000001</v>
      </c>
      <c r="H683" s="25">
        <v>16305.1</v>
      </c>
      <c r="I683" s="33">
        <v>616</v>
      </c>
      <c r="J683" s="15">
        <f>'Форма 2'!I2580</f>
        <v>16027326</v>
      </c>
      <c r="K683" s="15">
        <v>0</v>
      </c>
      <c r="L683" s="350">
        <v>0</v>
      </c>
      <c r="M683" s="350">
        <v>0</v>
      </c>
      <c r="N683" s="15">
        <f>J683-K683-L683-M683-O683</f>
        <v>16027326</v>
      </c>
      <c r="O683" s="15">
        <v>0</v>
      </c>
      <c r="P683" s="15">
        <f>J683/H683</f>
        <v>982.96</v>
      </c>
      <c r="Q683" s="15">
        <f>'Форма 2'!K2580</f>
        <v>982.96</v>
      </c>
      <c r="R683" s="351" t="s">
        <v>381</v>
      </c>
      <c r="S683" s="10">
        <v>1</v>
      </c>
    </row>
    <row r="684" spans="1:19" ht="15.75" customHeight="1" x14ac:dyDescent="0.25">
      <c r="A684" s="184" t="s">
        <v>42</v>
      </c>
      <c r="B684" s="184"/>
      <c r="C684" s="184"/>
      <c r="D684" s="134" t="s">
        <v>13</v>
      </c>
      <c r="E684" s="126" t="s">
        <v>13</v>
      </c>
      <c r="F684" s="126" t="s">
        <v>13</v>
      </c>
      <c r="G684" s="15">
        <f t="shared" ref="G684:O684" si="190">G685+G710+G720+G747</f>
        <v>424702.62</v>
      </c>
      <c r="H684" s="15">
        <f t="shared" si="190"/>
        <v>358101.43</v>
      </c>
      <c r="I684" s="10">
        <f t="shared" si="190"/>
        <v>13200</v>
      </c>
      <c r="J684" s="15">
        <f t="shared" si="190"/>
        <v>614076638.30999994</v>
      </c>
      <c r="K684" s="15">
        <f t="shared" si="190"/>
        <v>0</v>
      </c>
      <c r="L684" s="15">
        <f t="shared" si="190"/>
        <v>0</v>
      </c>
      <c r="M684" s="15">
        <f t="shared" si="190"/>
        <v>0</v>
      </c>
      <c r="N684" s="15">
        <f t="shared" si="190"/>
        <v>614076638.30999994</v>
      </c>
      <c r="O684" s="15">
        <f t="shared" si="190"/>
        <v>0</v>
      </c>
      <c r="P684" s="15" t="s">
        <v>13</v>
      </c>
      <c r="Q684" s="15" t="s">
        <v>13</v>
      </c>
      <c r="R684" s="15" t="s">
        <v>13</v>
      </c>
      <c r="S684" s="15" t="s">
        <v>13</v>
      </c>
    </row>
    <row r="685" spans="1:19" ht="15.75" customHeight="1" x14ac:dyDescent="0.25">
      <c r="A685" s="184" t="s">
        <v>91</v>
      </c>
      <c r="B685" s="184"/>
      <c r="C685" s="184"/>
      <c r="D685" s="134" t="s">
        <v>13</v>
      </c>
      <c r="E685" s="126" t="s">
        <v>13</v>
      </c>
      <c r="F685" s="126" t="s">
        <v>13</v>
      </c>
      <c r="G685" s="15">
        <f>SUM(G686:G709)</f>
        <v>72397.05</v>
      </c>
      <c r="H685" s="15">
        <f t="shared" ref="H685:O685" si="191">SUM(H686:H709)</f>
        <v>63196</v>
      </c>
      <c r="I685" s="10">
        <f t="shared" si="191"/>
        <v>2370</v>
      </c>
      <c r="J685" s="15">
        <f t="shared" si="191"/>
        <v>104391409.23</v>
      </c>
      <c r="K685" s="15">
        <f t="shared" si="191"/>
        <v>0</v>
      </c>
      <c r="L685" s="15">
        <f t="shared" si="191"/>
        <v>0</v>
      </c>
      <c r="M685" s="15">
        <f t="shared" si="191"/>
        <v>0</v>
      </c>
      <c r="N685" s="15">
        <f t="shared" si="191"/>
        <v>104391409.23</v>
      </c>
      <c r="O685" s="15">
        <f t="shared" si="191"/>
        <v>0</v>
      </c>
      <c r="P685" s="126" t="s">
        <v>13</v>
      </c>
      <c r="Q685" s="126" t="s">
        <v>13</v>
      </c>
      <c r="R685" s="126" t="s">
        <v>13</v>
      </c>
      <c r="S685" s="126" t="s">
        <v>13</v>
      </c>
    </row>
    <row r="686" spans="1:19" s="41" customFormat="1" ht="15.75" customHeight="1" x14ac:dyDescent="0.25">
      <c r="A686" s="126">
        <v>1</v>
      </c>
      <c r="B686" s="126">
        <v>757</v>
      </c>
      <c r="C686" s="142" t="s">
        <v>92</v>
      </c>
      <c r="D686" s="134">
        <v>1984</v>
      </c>
      <c r="E686" s="134" t="s">
        <v>112</v>
      </c>
      <c r="F686" s="134" t="s">
        <v>82</v>
      </c>
      <c r="G686" s="15">
        <v>1323.5</v>
      </c>
      <c r="H686" s="15">
        <v>1020.67</v>
      </c>
      <c r="I686" s="10">
        <v>41</v>
      </c>
      <c r="J686" s="15">
        <f>'Форма 2'!I2596</f>
        <v>7788732.7699999996</v>
      </c>
      <c r="K686" s="15">
        <v>0</v>
      </c>
      <c r="L686" s="15">
        <v>0</v>
      </c>
      <c r="M686" s="15">
        <v>0</v>
      </c>
      <c r="N686" s="15">
        <f t="shared" ref="N686:N704" si="192">J686-K686-L686-M686-O686</f>
        <v>7788732.7699999996</v>
      </c>
      <c r="O686" s="15">
        <v>0</v>
      </c>
      <c r="P686" s="15">
        <f t="shared" ref="P686:P704" si="193">J686/H686</f>
        <v>7631</v>
      </c>
      <c r="Q686" s="15">
        <f>'Форма 2'!K2596</f>
        <v>7631</v>
      </c>
      <c r="R686" s="351" t="s">
        <v>381</v>
      </c>
      <c r="S686" s="153">
        <v>1</v>
      </c>
    </row>
    <row r="687" spans="1:19" s="41" customFormat="1" ht="15.75" customHeight="1" x14ac:dyDescent="0.25">
      <c r="A687" s="126">
        <f>A686+1</f>
        <v>2</v>
      </c>
      <c r="B687" s="126">
        <v>887</v>
      </c>
      <c r="C687" s="142" t="s">
        <v>187</v>
      </c>
      <c r="D687" s="134">
        <v>1993</v>
      </c>
      <c r="E687" s="134" t="s">
        <v>112</v>
      </c>
      <c r="F687" s="134" t="s">
        <v>82</v>
      </c>
      <c r="G687" s="15">
        <v>2904.4</v>
      </c>
      <c r="H687" s="15">
        <v>2590.4</v>
      </c>
      <c r="I687" s="10">
        <v>98</v>
      </c>
      <c r="J687" s="15">
        <f>'Форма 2'!I2601</f>
        <v>18688855.050000001</v>
      </c>
      <c r="K687" s="15">
        <v>0</v>
      </c>
      <c r="L687" s="15">
        <v>0</v>
      </c>
      <c r="M687" s="15">
        <v>0</v>
      </c>
      <c r="N687" s="15">
        <f t="shared" si="192"/>
        <v>18688855.050000001</v>
      </c>
      <c r="O687" s="15">
        <v>0</v>
      </c>
      <c r="P687" s="15">
        <f t="shared" si="193"/>
        <v>7214.66</v>
      </c>
      <c r="Q687" s="15">
        <f>'Форма 2'!K2601</f>
        <v>8273</v>
      </c>
      <c r="R687" s="351" t="s">
        <v>381</v>
      </c>
      <c r="S687" s="153">
        <v>1</v>
      </c>
    </row>
    <row r="688" spans="1:19" s="41" customFormat="1" ht="15" customHeight="1" x14ac:dyDescent="0.25">
      <c r="A688" s="126">
        <f t="shared" ref="A688:A709" si="194">A687+1</f>
        <v>3</v>
      </c>
      <c r="B688" s="126">
        <v>320</v>
      </c>
      <c r="C688" s="124" t="s">
        <v>635</v>
      </c>
      <c r="D688" s="134">
        <v>1959</v>
      </c>
      <c r="E688" s="134" t="s">
        <v>95</v>
      </c>
      <c r="F688" s="134" t="s">
        <v>82</v>
      </c>
      <c r="G688" s="15">
        <v>1682.9</v>
      </c>
      <c r="H688" s="15">
        <v>1563.9</v>
      </c>
      <c r="I688" s="10">
        <v>59</v>
      </c>
      <c r="J688" s="15">
        <f>'Форма 2'!I2606</f>
        <v>566131.80000000005</v>
      </c>
      <c r="K688" s="15">
        <v>0</v>
      </c>
      <c r="L688" s="15">
        <v>0</v>
      </c>
      <c r="M688" s="15">
        <v>0</v>
      </c>
      <c r="N688" s="15">
        <f t="shared" si="192"/>
        <v>566131.80000000005</v>
      </c>
      <c r="O688" s="15">
        <v>0</v>
      </c>
      <c r="P688" s="15">
        <f t="shared" si="193"/>
        <v>362</v>
      </c>
      <c r="Q688" s="15">
        <f>'Форма 2'!K2606</f>
        <v>362</v>
      </c>
      <c r="R688" s="351" t="s">
        <v>381</v>
      </c>
      <c r="S688" s="153">
        <v>1</v>
      </c>
    </row>
    <row r="689" spans="1:19" s="41" customFormat="1" ht="15" customHeight="1" x14ac:dyDescent="0.25">
      <c r="A689" s="126">
        <f t="shared" si="194"/>
        <v>4</v>
      </c>
      <c r="B689" s="126">
        <v>190</v>
      </c>
      <c r="C689" s="124" t="s">
        <v>636</v>
      </c>
      <c r="D689" s="134">
        <v>1953</v>
      </c>
      <c r="E689" s="134" t="s">
        <v>95</v>
      </c>
      <c r="F689" s="134" t="s">
        <v>82</v>
      </c>
      <c r="G689" s="15">
        <v>1211.5999999999999</v>
      </c>
      <c r="H689" s="15">
        <v>1091.8</v>
      </c>
      <c r="I689" s="10">
        <v>37</v>
      </c>
      <c r="J689" s="15">
        <f>'Форма 2'!I2609</f>
        <v>395231.6</v>
      </c>
      <c r="K689" s="15">
        <v>0</v>
      </c>
      <c r="L689" s="15">
        <v>0</v>
      </c>
      <c r="M689" s="15">
        <v>0</v>
      </c>
      <c r="N689" s="15">
        <f t="shared" si="192"/>
        <v>395231.6</v>
      </c>
      <c r="O689" s="15">
        <v>0</v>
      </c>
      <c r="P689" s="15">
        <f t="shared" si="193"/>
        <v>362</v>
      </c>
      <c r="Q689" s="15">
        <f>'Форма 2'!K2609</f>
        <v>362</v>
      </c>
      <c r="R689" s="351" t="s">
        <v>381</v>
      </c>
      <c r="S689" s="153">
        <v>1</v>
      </c>
    </row>
    <row r="690" spans="1:19" s="41" customFormat="1" ht="15" customHeight="1" x14ac:dyDescent="0.25">
      <c r="A690" s="126">
        <f t="shared" si="194"/>
        <v>5</v>
      </c>
      <c r="B690" s="126">
        <v>197</v>
      </c>
      <c r="C690" s="124" t="s">
        <v>637</v>
      </c>
      <c r="D690" s="134">
        <v>1953</v>
      </c>
      <c r="E690" s="134" t="s">
        <v>95</v>
      </c>
      <c r="F690" s="134" t="s">
        <v>82</v>
      </c>
      <c r="G690" s="15">
        <v>1060.9000000000001</v>
      </c>
      <c r="H690" s="15">
        <v>1027.9000000000001</v>
      </c>
      <c r="I690" s="10">
        <v>39</v>
      </c>
      <c r="J690" s="15">
        <f>'Форма 2'!I2612</f>
        <v>372099.8</v>
      </c>
      <c r="K690" s="15">
        <v>0</v>
      </c>
      <c r="L690" s="15">
        <v>0</v>
      </c>
      <c r="M690" s="15">
        <v>0</v>
      </c>
      <c r="N690" s="15">
        <f>J690-K690-L690-M690-O690</f>
        <v>372099.8</v>
      </c>
      <c r="O690" s="15">
        <v>0</v>
      </c>
      <c r="P690" s="15">
        <f>J690/H690</f>
        <v>362</v>
      </c>
      <c r="Q690" s="15">
        <f>'Форма 2'!K2612</f>
        <v>362</v>
      </c>
      <c r="R690" s="351" t="s">
        <v>381</v>
      </c>
      <c r="S690" s="153">
        <v>1</v>
      </c>
    </row>
    <row r="691" spans="1:19" s="41" customFormat="1" ht="15" customHeight="1" x14ac:dyDescent="0.25">
      <c r="A691" s="126">
        <f t="shared" si="194"/>
        <v>6</v>
      </c>
      <c r="B691" s="126">
        <v>347</v>
      </c>
      <c r="C691" s="124" t="s">
        <v>638</v>
      </c>
      <c r="D691" s="134">
        <v>1960</v>
      </c>
      <c r="E691" s="134" t="s">
        <v>95</v>
      </c>
      <c r="F691" s="134" t="s">
        <v>82</v>
      </c>
      <c r="G691" s="15">
        <v>3366.7</v>
      </c>
      <c r="H691" s="15">
        <v>3127.4</v>
      </c>
      <c r="I691" s="10">
        <v>118</v>
      </c>
      <c r="J691" s="15">
        <f>'Форма 2'!I2615</f>
        <v>1272851.8</v>
      </c>
      <c r="K691" s="15">
        <v>0</v>
      </c>
      <c r="L691" s="15">
        <v>0</v>
      </c>
      <c r="M691" s="15">
        <v>0</v>
      </c>
      <c r="N691" s="15">
        <f>J691-K691-L691-M691-O691</f>
        <v>1272851.8</v>
      </c>
      <c r="O691" s="15">
        <v>0</v>
      </c>
      <c r="P691" s="15">
        <f>J691/H691</f>
        <v>407</v>
      </c>
      <c r="Q691" s="15">
        <f>'Форма 2'!K2615</f>
        <v>407</v>
      </c>
      <c r="R691" s="351" t="s">
        <v>381</v>
      </c>
      <c r="S691" s="153">
        <v>1</v>
      </c>
    </row>
    <row r="692" spans="1:19" s="41" customFormat="1" ht="15" customHeight="1" x14ac:dyDescent="0.25">
      <c r="A692" s="126">
        <f t="shared" si="194"/>
        <v>7</v>
      </c>
      <c r="B692" s="126">
        <v>348</v>
      </c>
      <c r="C692" s="124" t="s">
        <v>639</v>
      </c>
      <c r="D692" s="134">
        <v>1960</v>
      </c>
      <c r="E692" s="134" t="s">
        <v>95</v>
      </c>
      <c r="F692" s="134" t="s">
        <v>82</v>
      </c>
      <c r="G692" s="15">
        <v>4148</v>
      </c>
      <c r="H692" s="15">
        <v>3202.33</v>
      </c>
      <c r="I692" s="10">
        <v>120</v>
      </c>
      <c r="J692" s="15">
        <f>'Форма 2'!I2618</f>
        <v>1303348.31</v>
      </c>
      <c r="K692" s="15">
        <v>0</v>
      </c>
      <c r="L692" s="15">
        <v>0</v>
      </c>
      <c r="M692" s="15">
        <v>0</v>
      </c>
      <c r="N692" s="15">
        <f>J692-K692-L692-M692-O692</f>
        <v>1303348.31</v>
      </c>
      <c r="O692" s="15">
        <v>0</v>
      </c>
      <c r="P692" s="15">
        <f>J692/H692</f>
        <v>407</v>
      </c>
      <c r="Q692" s="15">
        <f>'Форма 2'!K2618</f>
        <v>407</v>
      </c>
      <c r="R692" s="351" t="s">
        <v>381</v>
      </c>
      <c r="S692" s="153">
        <v>1</v>
      </c>
    </row>
    <row r="693" spans="1:19" s="41" customFormat="1" ht="15" customHeight="1" x14ac:dyDescent="0.25">
      <c r="A693" s="126">
        <f t="shared" si="194"/>
        <v>8</v>
      </c>
      <c r="B693" s="126">
        <v>349</v>
      </c>
      <c r="C693" s="124" t="s">
        <v>640</v>
      </c>
      <c r="D693" s="134">
        <v>1960</v>
      </c>
      <c r="E693" s="134" t="s">
        <v>95</v>
      </c>
      <c r="F693" s="134" t="s">
        <v>82</v>
      </c>
      <c r="G693" s="15">
        <v>4824.96</v>
      </c>
      <c r="H693" s="15">
        <v>4539.0600000000004</v>
      </c>
      <c r="I693" s="10">
        <v>171</v>
      </c>
      <c r="J693" s="15">
        <f>'Форма 2'!I2621</f>
        <v>1847397.42</v>
      </c>
      <c r="K693" s="15">
        <v>0</v>
      </c>
      <c r="L693" s="15">
        <v>0</v>
      </c>
      <c r="M693" s="15">
        <v>0</v>
      </c>
      <c r="N693" s="15">
        <f>J693-K693-L693-M693-O693</f>
        <v>1847397.42</v>
      </c>
      <c r="O693" s="15">
        <v>0</v>
      </c>
      <c r="P693" s="15">
        <f>J693/H693</f>
        <v>407</v>
      </c>
      <c r="Q693" s="15">
        <f>'Форма 2'!K2621</f>
        <v>407</v>
      </c>
      <c r="R693" s="351" t="s">
        <v>381</v>
      </c>
      <c r="S693" s="153">
        <v>1</v>
      </c>
    </row>
    <row r="694" spans="1:19" s="41" customFormat="1" ht="15.75" customHeight="1" x14ac:dyDescent="0.25">
      <c r="A694" s="126">
        <f t="shared" si="194"/>
        <v>9</v>
      </c>
      <c r="B694" s="126">
        <v>870</v>
      </c>
      <c r="C694" s="142" t="s">
        <v>190</v>
      </c>
      <c r="D694" s="134">
        <v>1991</v>
      </c>
      <c r="E694" s="134" t="s">
        <v>68</v>
      </c>
      <c r="F694" s="134" t="s">
        <v>82</v>
      </c>
      <c r="G694" s="15">
        <v>3789.5</v>
      </c>
      <c r="H694" s="15">
        <v>3342.5</v>
      </c>
      <c r="I694" s="10">
        <v>126</v>
      </c>
      <c r="J694" s="15">
        <f>'Форма 2'!I2624</f>
        <v>11064099.52</v>
      </c>
      <c r="K694" s="15">
        <v>0</v>
      </c>
      <c r="L694" s="15">
        <v>0</v>
      </c>
      <c r="M694" s="15">
        <v>0</v>
      </c>
      <c r="N694" s="15">
        <f t="shared" si="192"/>
        <v>11064099.52</v>
      </c>
      <c r="O694" s="15">
        <v>0</v>
      </c>
      <c r="P694" s="15">
        <f t="shared" si="193"/>
        <v>3310.13</v>
      </c>
      <c r="Q694" s="15">
        <f>'Форма 2'!K2624</f>
        <v>3878</v>
      </c>
      <c r="R694" s="351" t="s">
        <v>381</v>
      </c>
      <c r="S694" s="153">
        <v>1</v>
      </c>
    </row>
    <row r="695" spans="1:19" s="41" customFormat="1" ht="15.75" customHeight="1" x14ac:dyDescent="0.25">
      <c r="A695" s="126">
        <f t="shared" si="194"/>
        <v>10</v>
      </c>
      <c r="B695" s="126">
        <v>827</v>
      </c>
      <c r="C695" s="142" t="s">
        <v>373</v>
      </c>
      <c r="D695" s="134">
        <v>1988</v>
      </c>
      <c r="E695" s="134" t="s">
        <v>68</v>
      </c>
      <c r="F695" s="134" t="s">
        <v>82</v>
      </c>
      <c r="G695" s="15">
        <v>4656.7</v>
      </c>
      <c r="H695" s="15">
        <v>4235.7</v>
      </c>
      <c r="I695" s="10">
        <v>160</v>
      </c>
      <c r="J695" s="15">
        <f>'Форма 2'!I2627</f>
        <v>16426044.6</v>
      </c>
      <c r="K695" s="15">
        <v>0</v>
      </c>
      <c r="L695" s="15">
        <v>0</v>
      </c>
      <c r="M695" s="15">
        <v>0</v>
      </c>
      <c r="N695" s="15">
        <f t="shared" si="192"/>
        <v>16426044.6</v>
      </c>
      <c r="O695" s="15">
        <v>0</v>
      </c>
      <c r="P695" s="15">
        <f t="shared" si="193"/>
        <v>3878</v>
      </c>
      <c r="Q695" s="15">
        <f>'Форма 2'!K2627</f>
        <v>3878</v>
      </c>
      <c r="R695" s="351" t="s">
        <v>381</v>
      </c>
      <c r="S695" s="153">
        <v>1</v>
      </c>
    </row>
    <row r="696" spans="1:19" s="41" customFormat="1" ht="15" customHeight="1" x14ac:dyDescent="0.25">
      <c r="A696" s="126">
        <f t="shared" si="194"/>
        <v>11</v>
      </c>
      <c r="B696" s="126">
        <v>293</v>
      </c>
      <c r="C696" s="124" t="s">
        <v>641</v>
      </c>
      <c r="D696" s="134">
        <v>1958</v>
      </c>
      <c r="E696" s="134" t="s">
        <v>95</v>
      </c>
      <c r="F696" s="134" t="s">
        <v>82</v>
      </c>
      <c r="G696" s="15">
        <v>1357.2</v>
      </c>
      <c r="H696" s="15">
        <v>1262.0999999999999</v>
      </c>
      <c r="I696" s="10">
        <v>61</v>
      </c>
      <c r="J696" s="15">
        <f>'Форма 2'!I2630</f>
        <v>456880.2</v>
      </c>
      <c r="K696" s="15">
        <v>0</v>
      </c>
      <c r="L696" s="15">
        <v>0</v>
      </c>
      <c r="M696" s="15">
        <v>0</v>
      </c>
      <c r="N696" s="15">
        <f t="shared" si="192"/>
        <v>456880.2</v>
      </c>
      <c r="O696" s="15">
        <v>0</v>
      </c>
      <c r="P696" s="15">
        <f t="shared" si="193"/>
        <v>362</v>
      </c>
      <c r="Q696" s="15">
        <f>'Форма 2'!K2630</f>
        <v>362</v>
      </c>
      <c r="R696" s="351" t="s">
        <v>381</v>
      </c>
      <c r="S696" s="153">
        <v>1</v>
      </c>
    </row>
    <row r="697" spans="1:19" s="41" customFormat="1" ht="15" customHeight="1" x14ac:dyDescent="0.25">
      <c r="A697" s="126">
        <f t="shared" si="194"/>
        <v>12</v>
      </c>
      <c r="B697" s="126">
        <v>471</v>
      </c>
      <c r="C697" s="124" t="s">
        <v>642</v>
      </c>
      <c r="D697" s="134">
        <v>1964</v>
      </c>
      <c r="E697" s="134" t="s">
        <v>68</v>
      </c>
      <c r="F697" s="134" t="s">
        <v>82</v>
      </c>
      <c r="G697" s="15">
        <v>1675.3</v>
      </c>
      <c r="H697" s="15">
        <v>1568.8</v>
      </c>
      <c r="I697" s="10">
        <v>59</v>
      </c>
      <c r="J697" s="15">
        <f>'Форма 2'!I2633</f>
        <v>6083806.4000000004</v>
      </c>
      <c r="K697" s="15">
        <v>0</v>
      </c>
      <c r="L697" s="15">
        <v>0</v>
      </c>
      <c r="M697" s="15">
        <v>0</v>
      </c>
      <c r="N697" s="15">
        <f>J697-K697-L697-M697-O697</f>
        <v>6083806.4000000004</v>
      </c>
      <c r="O697" s="15">
        <v>0</v>
      </c>
      <c r="P697" s="15">
        <f>J697/H697</f>
        <v>3878</v>
      </c>
      <c r="Q697" s="15">
        <f>'Форма 2'!K2633</f>
        <v>3878</v>
      </c>
      <c r="R697" s="351" t="s">
        <v>381</v>
      </c>
      <c r="S697" s="153">
        <v>1</v>
      </c>
    </row>
    <row r="698" spans="1:19" s="41" customFormat="1" ht="15" customHeight="1" x14ac:dyDescent="0.25">
      <c r="A698" s="126">
        <f t="shared" si="194"/>
        <v>13</v>
      </c>
      <c r="B698" s="126">
        <v>340</v>
      </c>
      <c r="C698" s="124" t="s">
        <v>643</v>
      </c>
      <c r="D698" s="134">
        <v>1960</v>
      </c>
      <c r="E698" s="134" t="s">
        <v>95</v>
      </c>
      <c r="F698" s="134" t="s">
        <v>82</v>
      </c>
      <c r="G698" s="15">
        <v>1457.55</v>
      </c>
      <c r="H698" s="15">
        <v>1359.55</v>
      </c>
      <c r="I698" s="10">
        <v>51</v>
      </c>
      <c r="J698" s="15">
        <f>'Форма 2'!I2636</f>
        <v>492157.1</v>
      </c>
      <c r="K698" s="15">
        <v>0</v>
      </c>
      <c r="L698" s="15">
        <v>0</v>
      </c>
      <c r="M698" s="15">
        <v>0</v>
      </c>
      <c r="N698" s="15">
        <f t="shared" si="192"/>
        <v>492157.1</v>
      </c>
      <c r="O698" s="15">
        <v>0</v>
      </c>
      <c r="P698" s="15">
        <f t="shared" si="193"/>
        <v>362</v>
      </c>
      <c r="Q698" s="15">
        <f>'Форма 2'!K2636</f>
        <v>362</v>
      </c>
      <c r="R698" s="351" t="s">
        <v>381</v>
      </c>
      <c r="S698" s="153">
        <v>1</v>
      </c>
    </row>
    <row r="699" spans="1:19" s="41" customFormat="1" ht="15" customHeight="1" x14ac:dyDescent="0.25">
      <c r="A699" s="126">
        <f t="shared" si="194"/>
        <v>14</v>
      </c>
      <c r="B699" s="126">
        <v>341</v>
      </c>
      <c r="C699" s="124" t="s">
        <v>644</v>
      </c>
      <c r="D699" s="134">
        <v>1960</v>
      </c>
      <c r="E699" s="134" t="s">
        <v>95</v>
      </c>
      <c r="F699" s="134" t="s">
        <v>82</v>
      </c>
      <c r="G699" s="15">
        <v>1366.6</v>
      </c>
      <c r="H699" s="15">
        <v>1268.5999999999999</v>
      </c>
      <c r="I699" s="10">
        <v>48</v>
      </c>
      <c r="J699" s="15">
        <f>'Форма 2'!I2639</f>
        <v>459233.2</v>
      </c>
      <c r="K699" s="15">
        <v>0</v>
      </c>
      <c r="L699" s="15">
        <v>0</v>
      </c>
      <c r="M699" s="15">
        <v>0</v>
      </c>
      <c r="N699" s="15">
        <f t="shared" si="192"/>
        <v>459233.2</v>
      </c>
      <c r="O699" s="15">
        <v>0</v>
      </c>
      <c r="P699" s="15">
        <f t="shared" si="193"/>
        <v>362</v>
      </c>
      <c r="Q699" s="15">
        <f>'Форма 2'!K2639</f>
        <v>362</v>
      </c>
      <c r="R699" s="351" t="s">
        <v>381</v>
      </c>
      <c r="S699" s="153">
        <v>1</v>
      </c>
    </row>
    <row r="700" spans="1:19" s="41" customFormat="1" ht="15" customHeight="1" x14ac:dyDescent="0.25">
      <c r="A700" s="126">
        <f t="shared" si="194"/>
        <v>15</v>
      </c>
      <c r="B700" s="126">
        <v>294</v>
      </c>
      <c r="C700" s="124" t="s">
        <v>645</v>
      </c>
      <c r="D700" s="134">
        <v>1958</v>
      </c>
      <c r="E700" s="134" t="s">
        <v>95</v>
      </c>
      <c r="F700" s="134" t="s">
        <v>82</v>
      </c>
      <c r="G700" s="15">
        <v>4068.1</v>
      </c>
      <c r="H700" s="15">
        <v>3808.2</v>
      </c>
      <c r="I700" s="10">
        <v>77</v>
      </c>
      <c r="J700" s="15">
        <f>'Форма 2'!I2642</f>
        <v>1549937.4</v>
      </c>
      <c r="K700" s="15">
        <v>0</v>
      </c>
      <c r="L700" s="15">
        <v>0</v>
      </c>
      <c r="M700" s="15">
        <v>0</v>
      </c>
      <c r="N700" s="15">
        <f t="shared" si="192"/>
        <v>1549937.4</v>
      </c>
      <c r="O700" s="15">
        <v>0</v>
      </c>
      <c r="P700" s="15">
        <f t="shared" si="193"/>
        <v>407</v>
      </c>
      <c r="Q700" s="15">
        <f>'Форма 2'!K2642</f>
        <v>407</v>
      </c>
      <c r="R700" s="351" t="s">
        <v>381</v>
      </c>
      <c r="S700" s="153">
        <v>1</v>
      </c>
    </row>
    <row r="701" spans="1:19" s="41" customFormat="1" ht="15" customHeight="1" x14ac:dyDescent="0.25">
      <c r="A701" s="126">
        <f t="shared" si="194"/>
        <v>16</v>
      </c>
      <c r="B701" s="126">
        <v>326</v>
      </c>
      <c r="C701" s="124" t="s">
        <v>646</v>
      </c>
      <c r="D701" s="134">
        <v>1959</v>
      </c>
      <c r="E701" s="134" t="s">
        <v>95</v>
      </c>
      <c r="F701" s="134" t="s">
        <v>82</v>
      </c>
      <c r="G701" s="15">
        <v>1992.7</v>
      </c>
      <c r="H701" s="15">
        <v>1786.7</v>
      </c>
      <c r="I701" s="10">
        <v>65</v>
      </c>
      <c r="J701" s="15">
        <f>'Форма 2'!I2645</f>
        <v>646785.4</v>
      </c>
      <c r="K701" s="15">
        <v>0</v>
      </c>
      <c r="L701" s="15">
        <v>0</v>
      </c>
      <c r="M701" s="15">
        <v>0</v>
      </c>
      <c r="N701" s="15">
        <f t="shared" si="192"/>
        <v>646785.4</v>
      </c>
      <c r="O701" s="15">
        <v>0</v>
      </c>
      <c r="P701" s="15">
        <f t="shared" si="193"/>
        <v>362</v>
      </c>
      <c r="Q701" s="15">
        <f>'Форма 2'!K2645</f>
        <v>362</v>
      </c>
      <c r="R701" s="351" t="s">
        <v>381</v>
      </c>
      <c r="S701" s="153">
        <v>1</v>
      </c>
    </row>
    <row r="702" spans="1:19" s="41" customFormat="1" ht="15.75" customHeight="1" x14ac:dyDescent="0.25">
      <c r="A702" s="126">
        <f t="shared" si="194"/>
        <v>17</v>
      </c>
      <c r="B702" s="126">
        <v>892</v>
      </c>
      <c r="C702" s="142" t="s">
        <v>193</v>
      </c>
      <c r="D702" s="134">
        <v>1994</v>
      </c>
      <c r="E702" s="134" t="s">
        <v>68</v>
      </c>
      <c r="F702" s="134" t="s">
        <v>82</v>
      </c>
      <c r="G702" s="15">
        <v>6442</v>
      </c>
      <c r="H702" s="15">
        <v>5909.15</v>
      </c>
      <c r="I702" s="10">
        <v>223</v>
      </c>
      <c r="J702" s="15">
        <f>'Форма 2'!I2648</f>
        <v>17901290.420000002</v>
      </c>
      <c r="K702" s="15">
        <v>0</v>
      </c>
      <c r="L702" s="15">
        <v>0</v>
      </c>
      <c r="M702" s="15">
        <v>0</v>
      </c>
      <c r="N702" s="15">
        <f t="shared" si="192"/>
        <v>17901290.420000002</v>
      </c>
      <c r="O702" s="15">
        <v>0</v>
      </c>
      <c r="P702" s="15">
        <f t="shared" si="193"/>
        <v>3029.42</v>
      </c>
      <c r="Q702" s="15">
        <f>'Форма 2'!K2648</f>
        <v>3878</v>
      </c>
      <c r="R702" s="351" t="s">
        <v>381</v>
      </c>
      <c r="S702" s="153">
        <v>1</v>
      </c>
    </row>
    <row r="703" spans="1:19" s="41" customFormat="1" ht="15.75" customHeight="1" x14ac:dyDescent="0.25">
      <c r="A703" s="126">
        <f t="shared" si="194"/>
        <v>18</v>
      </c>
      <c r="B703" s="126">
        <v>828</v>
      </c>
      <c r="C703" s="142" t="s">
        <v>194</v>
      </c>
      <c r="D703" s="134">
        <v>1988</v>
      </c>
      <c r="E703" s="134" t="s">
        <v>68</v>
      </c>
      <c r="F703" s="134" t="s">
        <v>82</v>
      </c>
      <c r="G703" s="15">
        <v>14358.52</v>
      </c>
      <c r="H703" s="15">
        <v>11340.2</v>
      </c>
      <c r="I703" s="10">
        <v>479</v>
      </c>
      <c r="J703" s="15">
        <f>'Форма 2'!I2651</f>
        <v>13870631</v>
      </c>
      <c r="K703" s="15">
        <v>0</v>
      </c>
      <c r="L703" s="15">
        <v>0</v>
      </c>
      <c r="M703" s="15">
        <v>0</v>
      </c>
      <c r="N703" s="15">
        <f t="shared" si="192"/>
        <v>13870631</v>
      </c>
      <c r="O703" s="15">
        <v>0</v>
      </c>
      <c r="P703" s="15">
        <f t="shared" si="193"/>
        <v>1223.1400000000001</v>
      </c>
      <c r="Q703" s="15">
        <f>'Форма 2'!K2651</f>
        <v>2492</v>
      </c>
      <c r="R703" s="351" t="s">
        <v>381</v>
      </c>
      <c r="S703" s="153">
        <v>1</v>
      </c>
    </row>
    <row r="704" spans="1:19" s="41" customFormat="1" ht="15.75" customHeight="1" x14ac:dyDescent="0.25">
      <c r="A704" s="126">
        <f t="shared" si="194"/>
        <v>19</v>
      </c>
      <c r="B704" s="126">
        <v>453</v>
      </c>
      <c r="C704" s="142" t="s">
        <v>98</v>
      </c>
      <c r="D704" s="134">
        <v>1963</v>
      </c>
      <c r="E704" s="134" t="s">
        <v>95</v>
      </c>
      <c r="F704" s="134" t="s">
        <v>82</v>
      </c>
      <c r="G704" s="15">
        <v>2714.9</v>
      </c>
      <c r="H704" s="15">
        <v>2382.92</v>
      </c>
      <c r="I704" s="10">
        <v>90</v>
      </c>
      <c r="J704" s="15">
        <f>'Форма 2'!I2654</f>
        <v>755836</v>
      </c>
      <c r="K704" s="15">
        <v>0</v>
      </c>
      <c r="L704" s="15">
        <v>0</v>
      </c>
      <c r="M704" s="15">
        <v>0</v>
      </c>
      <c r="N704" s="15">
        <f t="shared" si="192"/>
        <v>755836</v>
      </c>
      <c r="O704" s="15">
        <v>0</v>
      </c>
      <c r="P704" s="15">
        <f t="shared" si="193"/>
        <v>317.19</v>
      </c>
      <c r="Q704" s="15">
        <f>'Форма 2'!K2654</f>
        <v>362</v>
      </c>
      <c r="R704" s="351" t="s">
        <v>381</v>
      </c>
      <c r="S704" s="153">
        <v>1</v>
      </c>
    </row>
    <row r="705" spans="1:19" s="41" customFormat="1" ht="15" customHeight="1" x14ac:dyDescent="0.25">
      <c r="A705" s="126">
        <f t="shared" si="194"/>
        <v>20</v>
      </c>
      <c r="B705" s="126">
        <v>179</v>
      </c>
      <c r="C705" s="124" t="s">
        <v>647</v>
      </c>
      <c r="D705" s="134">
        <v>1953</v>
      </c>
      <c r="E705" s="134" t="s">
        <v>95</v>
      </c>
      <c r="F705" s="134" t="s">
        <v>82</v>
      </c>
      <c r="G705" s="15">
        <v>910.9</v>
      </c>
      <c r="H705" s="15">
        <v>840.9</v>
      </c>
      <c r="I705" s="10">
        <v>32</v>
      </c>
      <c r="J705" s="15">
        <f>'Форма 2'!I2657</f>
        <v>304405.8</v>
      </c>
      <c r="K705" s="15">
        <v>0</v>
      </c>
      <c r="L705" s="15">
        <v>0</v>
      </c>
      <c r="M705" s="15">
        <v>0</v>
      </c>
      <c r="N705" s="15">
        <f>J705-K705-L705-M705-O705</f>
        <v>304405.8</v>
      </c>
      <c r="O705" s="15">
        <v>0</v>
      </c>
      <c r="P705" s="15">
        <f>J705/H705</f>
        <v>362</v>
      </c>
      <c r="Q705" s="15">
        <f>'Форма 2'!K2657</f>
        <v>362</v>
      </c>
      <c r="R705" s="351" t="s">
        <v>381</v>
      </c>
      <c r="S705" s="153">
        <v>1</v>
      </c>
    </row>
    <row r="706" spans="1:19" s="41" customFormat="1" ht="15" customHeight="1" x14ac:dyDescent="0.25">
      <c r="A706" s="126">
        <f t="shared" si="194"/>
        <v>21</v>
      </c>
      <c r="B706" s="126">
        <v>262</v>
      </c>
      <c r="C706" s="124" t="s">
        <v>648</v>
      </c>
      <c r="D706" s="134">
        <v>1956</v>
      </c>
      <c r="E706" s="134" t="s">
        <v>95</v>
      </c>
      <c r="F706" s="134" t="s">
        <v>82</v>
      </c>
      <c r="G706" s="15">
        <v>1047.7</v>
      </c>
      <c r="H706" s="15">
        <v>990.5</v>
      </c>
      <c r="I706" s="10">
        <v>37</v>
      </c>
      <c r="J706" s="15">
        <f>'Форма 2'!I2660</f>
        <v>358561</v>
      </c>
      <c r="K706" s="15">
        <v>0</v>
      </c>
      <c r="L706" s="15">
        <v>0</v>
      </c>
      <c r="M706" s="15">
        <v>0</v>
      </c>
      <c r="N706" s="15">
        <f>J706-K706-L706-M706-O706</f>
        <v>358561</v>
      </c>
      <c r="O706" s="15">
        <v>0</v>
      </c>
      <c r="P706" s="15">
        <f>J706/H706</f>
        <v>362</v>
      </c>
      <c r="Q706" s="15">
        <f>'Форма 2'!K2660</f>
        <v>362</v>
      </c>
      <c r="R706" s="351" t="s">
        <v>381</v>
      </c>
      <c r="S706" s="153">
        <v>1</v>
      </c>
    </row>
    <row r="707" spans="1:19" s="41" customFormat="1" ht="15" customHeight="1" x14ac:dyDescent="0.25">
      <c r="A707" s="126">
        <f t="shared" si="194"/>
        <v>22</v>
      </c>
      <c r="B707" s="126">
        <v>263</v>
      </c>
      <c r="C707" s="124" t="s">
        <v>649</v>
      </c>
      <c r="D707" s="134">
        <v>1957</v>
      </c>
      <c r="E707" s="134" t="s">
        <v>95</v>
      </c>
      <c r="F707" s="134" t="s">
        <v>82</v>
      </c>
      <c r="G707" s="15">
        <v>1381.7</v>
      </c>
      <c r="H707" s="15">
        <v>994.7</v>
      </c>
      <c r="I707" s="10">
        <v>34</v>
      </c>
      <c r="J707" s="15">
        <f>'Форма 2'!I2663</f>
        <v>360081.4</v>
      </c>
      <c r="K707" s="15">
        <v>0</v>
      </c>
      <c r="L707" s="15">
        <v>0</v>
      </c>
      <c r="M707" s="15">
        <v>0</v>
      </c>
      <c r="N707" s="15">
        <f>J707-K707-L707-M707-O707</f>
        <v>360081.4</v>
      </c>
      <c r="O707" s="15">
        <v>0</v>
      </c>
      <c r="P707" s="15">
        <f>J707/H707</f>
        <v>362</v>
      </c>
      <c r="Q707" s="15">
        <f>'Форма 2'!K2663</f>
        <v>362</v>
      </c>
      <c r="R707" s="351" t="s">
        <v>381</v>
      </c>
      <c r="S707" s="153">
        <v>1</v>
      </c>
    </row>
    <row r="708" spans="1:19" s="41" customFormat="1" ht="15" customHeight="1" x14ac:dyDescent="0.25">
      <c r="A708" s="126">
        <f t="shared" si="194"/>
        <v>23</v>
      </c>
      <c r="B708" s="126">
        <v>245</v>
      </c>
      <c r="C708" s="124" t="s">
        <v>650</v>
      </c>
      <c r="D708" s="134">
        <v>1956</v>
      </c>
      <c r="E708" s="134" t="s">
        <v>95</v>
      </c>
      <c r="F708" s="134" t="s">
        <v>82</v>
      </c>
      <c r="G708" s="15">
        <v>2880.5</v>
      </c>
      <c r="H708" s="15">
        <v>2691.8</v>
      </c>
      <c r="I708" s="10">
        <v>95</v>
      </c>
      <c r="J708" s="15">
        <f>'Форма 2'!I2666</f>
        <v>974431.6</v>
      </c>
      <c r="K708" s="15">
        <v>0</v>
      </c>
      <c r="L708" s="15">
        <v>0</v>
      </c>
      <c r="M708" s="15">
        <v>0</v>
      </c>
      <c r="N708" s="15">
        <f>J708-K708-L708-M708-O708</f>
        <v>974431.6</v>
      </c>
      <c r="O708" s="15">
        <v>0</v>
      </c>
      <c r="P708" s="15">
        <f>J708/H708</f>
        <v>362</v>
      </c>
      <c r="Q708" s="15">
        <f>'Форма 2'!K2666</f>
        <v>362</v>
      </c>
      <c r="R708" s="351" t="s">
        <v>381</v>
      </c>
      <c r="S708" s="153">
        <v>1</v>
      </c>
    </row>
    <row r="709" spans="1:19" s="41" customFormat="1" ht="15" customHeight="1" x14ac:dyDescent="0.25">
      <c r="A709" s="126">
        <f t="shared" si="194"/>
        <v>24</v>
      </c>
      <c r="B709" s="126">
        <v>352</v>
      </c>
      <c r="C709" s="124" t="s">
        <v>651</v>
      </c>
      <c r="D709" s="134">
        <v>1960</v>
      </c>
      <c r="E709" s="134" t="s">
        <v>95</v>
      </c>
      <c r="F709" s="134" t="s">
        <v>82</v>
      </c>
      <c r="G709" s="15">
        <v>1774.22</v>
      </c>
      <c r="H709" s="15">
        <v>1250.22</v>
      </c>
      <c r="I709" s="10">
        <v>50</v>
      </c>
      <c r="J709" s="15">
        <f>'Форма 2'!I2669</f>
        <v>452579.64</v>
      </c>
      <c r="K709" s="15">
        <v>0</v>
      </c>
      <c r="L709" s="15">
        <v>0</v>
      </c>
      <c r="M709" s="15">
        <v>0</v>
      </c>
      <c r="N709" s="15">
        <f>J709-K709-L709-M709-O709</f>
        <v>452579.64</v>
      </c>
      <c r="O709" s="15">
        <v>0</v>
      </c>
      <c r="P709" s="15">
        <f>J709/H709</f>
        <v>362</v>
      </c>
      <c r="Q709" s="15">
        <f>'Форма 2'!K2669</f>
        <v>362</v>
      </c>
      <c r="R709" s="351" t="s">
        <v>381</v>
      </c>
      <c r="S709" s="153">
        <v>1</v>
      </c>
    </row>
    <row r="710" spans="1:19" s="41" customFormat="1" ht="15.75" customHeight="1" x14ac:dyDescent="0.25">
      <c r="A710" s="184" t="s">
        <v>101</v>
      </c>
      <c r="B710" s="184"/>
      <c r="C710" s="184"/>
      <c r="D710" s="134" t="s">
        <v>13</v>
      </c>
      <c r="E710" s="126" t="s">
        <v>13</v>
      </c>
      <c r="F710" s="126" t="s">
        <v>13</v>
      </c>
      <c r="G710" s="15">
        <f>SUM(G711:G719)</f>
        <v>123333.51</v>
      </c>
      <c r="H710" s="15">
        <f t="shared" ref="H710:O710" si="195">SUM(H711:H719)</f>
        <v>105398.58</v>
      </c>
      <c r="I710" s="10">
        <f t="shared" si="195"/>
        <v>4176</v>
      </c>
      <c r="J710" s="15">
        <f t="shared" si="195"/>
        <v>218913648.36000001</v>
      </c>
      <c r="K710" s="15">
        <f t="shared" si="195"/>
        <v>0</v>
      </c>
      <c r="L710" s="15">
        <f t="shared" si="195"/>
        <v>0</v>
      </c>
      <c r="M710" s="15">
        <f t="shared" si="195"/>
        <v>0</v>
      </c>
      <c r="N710" s="15">
        <f t="shared" si="195"/>
        <v>218913648.36000001</v>
      </c>
      <c r="O710" s="15">
        <f t="shared" si="195"/>
        <v>0</v>
      </c>
      <c r="P710" s="126" t="s">
        <v>13</v>
      </c>
      <c r="Q710" s="126" t="s">
        <v>13</v>
      </c>
      <c r="R710" s="126" t="s">
        <v>13</v>
      </c>
      <c r="S710" s="126" t="s">
        <v>13</v>
      </c>
    </row>
    <row r="711" spans="1:19" s="41" customFormat="1" ht="15" customHeight="1" x14ac:dyDescent="0.25">
      <c r="A711" s="126">
        <f>A709+1</f>
        <v>25</v>
      </c>
      <c r="B711" s="126">
        <v>1239</v>
      </c>
      <c r="C711" s="124" t="s">
        <v>652</v>
      </c>
      <c r="D711" s="134">
        <v>1993</v>
      </c>
      <c r="E711" s="134" t="s">
        <v>86</v>
      </c>
      <c r="F711" s="134" t="s">
        <v>82</v>
      </c>
      <c r="G711" s="15">
        <v>5882.8</v>
      </c>
      <c r="H711" s="15">
        <v>4337.3999999999996</v>
      </c>
      <c r="I711" s="10">
        <v>189</v>
      </c>
      <c r="J711" s="15">
        <f>'Форма 2'!I2672</f>
        <v>6868854</v>
      </c>
      <c r="K711" s="15">
        <v>0</v>
      </c>
      <c r="L711" s="15">
        <v>0</v>
      </c>
      <c r="M711" s="15">
        <v>0</v>
      </c>
      <c r="N711" s="15">
        <f>J711-K711-L711-M711-O711</f>
        <v>6868854</v>
      </c>
      <c r="O711" s="15">
        <v>0</v>
      </c>
      <c r="P711" s="15">
        <f>J711/H711</f>
        <v>1583.63</v>
      </c>
      <c r="Q711" s="15">
        <f>'Форма 2'!K2672</f>
        <v>1583.63</v>
      </c>
      <c r="R711" s="351" t="s">
        <v>381</v>
      </c>
      <c r="S711" s="153">
        <v>1</v>
      </c>
    </row>
    <row r="712" spans="1:19" s="41" customFormat="1" ht="15.75" customHeight="1" x14ac:dyDescent="0.25">
      <c r="A712" s="126">
        <f t="shared" ref="A712:A719" si="196">A711+1</f>
        <v>26</v>
      </c>
      <c r="B712" s="126">
        <v>1242</v>
      </c>
      <c r="C712" s="142" t="s">
        <v>198</v>
      </c>
      <c r="D712" s="134">
        <v>1985</v>
      </c>
      <c r="E712" s="134" t="s">
        <v>358</v>
      </c>
      <c r="F712" s="134" t="s">
        <v>114</v>
      </c>
      <c r="G712" s="15">
        <v>12311.8</v>
      </c>
      <c r="H712" s="15">
        <v>10059.200000000001</v>
      </c>
      <c r="I712" s="10">
        <v>292</v>
      </c>
      <c r="J712" s="15">
        <f>'Форма 2'!I2679</f>
        <v>13709491.09</v>
      </c>
      <c r="K712" s="15">
        <v>0</v>
      </c>
      <c r="L712" s="15">
        <v>0</v>
      </c>
      <c r="M712" s="15">
        <v>0</v>
      </c>
      <c r="N712" s="15">
        <f t="shared" ref="N712:N719" si="197">J712-K712-L712-M712-O712</f>
        <v>13709491.09</v>
      </c>
      <c r="O712" s="15">
        <v>0</v>
      </c>
      <c r="P712" s="15">
        <f t="shared" ref="P712:P719" si="198">J712/H712</f>
        <v>1362.88</v>
      </c>
      <c r="Q712" s="15">
        <f>'Форма 2'!K2679</f>
        <v>3419</v>
      </c>
      <c r="R712" s="351" t="s">
        <v>381</v>
      </c>
      <c r="S712" s="153">
        <v>1</v>
      </c>
    </row>
    <row r="713" spans="1:19" s="41" customFormat="1" ht="15" customHeight="1" x14ac:dyDescent="0.25">
      <c r="A713" s="126">
        <f t="shared" si="196"/>
        <v>27</v>
      </c>
      <c r="B713" s="126">
        <v>1397</v>
      </c>
      <c r="C713" s="124" t="s">
        <v>653</v>
      </c>
      <c r="D713" s="134">
        <v>1997</v>
      </c>
      <c r="E713" s="134" t="s">
        <v>86</v>
      </c>
      <c r="F713" s="134" t="s">
        <v>82</v>
      </c>
      <c r="G713" s="15">
        <v>8350.7999999999993</v>
      </c>
      <c r="H713" s="15">
        <v>7809.1</v>
      </c>
      <c r="I713" s="10">
        <v>295</v>
      </c>
      <c r="J713" s="15">
        <f>'Форма 2'!I2686</f>
        <v>9158472</v>
      </c>
      <c r="K713" s="15">
        <v>0</v>
      </c>
      <c r="L713" s="15">
        <v>0</v>
      </c>
      <c r="M713" s="15">
        <v>0</v>
      </c>
      <c r="N713" s="15">
        <f>J713-K713-L713-M713-O713</f>
        <v>9158472</v>
      </c>
      <c r="O713" s="15">
        <v>0</v>
      </c>
      <c r="P713" s="15">
        <f>J713/H713</f>
        <v>1172.79</v>
      </c>
      <c r="Q713" s="15">
        <f>'Форма 2'!K2686</f>
        <v>1172.79</v>
      </c>
      <c r="R713" s="351" t="s">
        <v>381</v>
      </c>
      <c r="S713" s="153">
        <v>1</v>
      </c>
    </row>
    <row r="714" spans="1:19" s="41" customFormat="1" ht="15.75" customHeight="1" x14ac:dyDescent="0.25">
      <c r="A714" s="126">
        <f t="shared" si="196"/>
        <v>28</v>
      </c>
      <c r="B714" s="126">
        <v>1279</v>
      </c>
      <c r="C714" s="142" t="s">
        <v>374</v>
      </c>
      <c r="D714" s="134">
        <v>1995</v>
      </c>
      <c r="E714" s="134" t="s">
        <v>68</v>
      </c>
      <c r="F714" s="134" t="s">
        <v>82</v>
      </c>
      <c r="G714" s="15">
        <v>5034</v>
      </c>
      <c r="H714" s="15">
        <v>4031.2</v>
      </c>
      <c r="I714" s="10">
        <v>105</v>
      </c>
      <c r="J714" s="15">
        <f>'Форма 2'!I2695</f>
        <v>15632993.6</v>
      </c>
      <c r="K714" s="15">
        <v>0</v>
      </c>
      <c r="L714" s="15">
        <v>0</v>
      </c>
      <c r="M714" s="15">
        <v>0</v>
      </c>
      <c r="N714" s="15">
        <f t="shared" si="197"/>
        <v>15632993.6</v>
      </c>
      <c r="O714" s="15">
        <v>0</v>
      </c>
      <c r="P714" s="15">
        <f t="shared" si="198"/>
        <v>3878</v>
      </c>
      <c r="Q714" s="15">
        <f>'Форма 2'!K2695</f>
        <v>3878</v>
      </c>
      <c r="R714" s="351" t="s">
        <v>381</v>
      </c>
      <c r="S714" s="153">
        <v>1</v>
      </c>
    </row>
    <row r="715" spans="1:19" s="41" customFormat="1" ht="15" customHeight="1" x14ac:dyDescent="0.25">
      <c r="A715" s="126">
        <f t="shared" si="196"/>
        <v>29</v>
      </c>
      <c r="B715" s="126">
        <v>1020</v>
      </c>
      <c r="C715" s="124" t="s">
        <v>654</v>
      </c>
      <c r="D715" s="134">
        <v>1958</v>
      </c>
      <c r="E715" s="134" t="s">
        <v>95</v>
      </c>
      <c r="F715" s="134" t="s">
        <v>82</v>
      </c>
      <c r="G715" s="15">
        <v>2254.0100000000002</v>
      </c>
      <c r="H715" s="15">
        <v>2062.31</v>
      </c>
      <c r="I715" s="10">
        <v>79</v>
      </c>
      <c r="J715" s="15">
        <f>'Форма 2'!I2698</f>
        <v>746556.22</v>
      </c>
      <c r="K715" s="15">
        <v>0</v>
      </c>
      <c r="L715" s="15">
        <v>0</v>
      </c>
      <c r="M715" s="15">
        <v>0</v>
      </c>
      <c r="N715" s="15">
        <f t="shared" si="197"/>
        <v>746556.22</v>
      </c>
      <c r="O715" s="15">
        <v>0</v>
      </c>
      <c r="P715" s="15">
        <f t="shared" si="198"/>
        <v>362</v>
      </c>
      <c r="Q715" s="15">
        <f>'Форма 2'!K2698</f>
        <v>362</v>
      </c>
      <c r="R715" s="351" t="s">
        <v>381</v>
      </c>
      <c r="S715" s="153">
        <v>1</v>
      </c>
    </row>
    <row r="716" spans="1:19" s="41" customFormat="1" ht="15.75" customHeight="1" x14ac:dyDescent="0.25">
      <c r="A716" s="126">
        <f t="shared" si="196"/>
        <v>30</v>
      </c>
      <c r="B716" s="126">
        <v>1417</v>
      </c>
      <c r="C716" s="142" t="s">
        <v>375</v>
      </c>
      <c r="D716" s="134">
        <v>1988</v>
      </c>
      <c r="E716" s="134" t="s">
        <v>68</v>
      </c>
      <c r="F716" s="134" t="s">
        <v>82</v>
      </c>
      <c r="G716" s="15">
        <v>42248.3</v>
      </c>
      <c r="H716" s="15">
        <v>37493.51</v>
      </c>
      <c r="I716" s="10">
        <v>1666</v>
      </c>
      <c r="J716" s="15">
        <f>'Форма 2'!I2701</f>
        <v>93433826.920000002</v>
      </c>
      <c r="K716" s="15">
        <v>0</v>
      </c>
      <c r="L716" s="15">
        <v>0</v>
      </c>
      <c r="M716" s="15">
        <v>0</v>
      </c>
      <c r="N716" s="15">
        <f t="shared" si="197"/>
        <v>93433826.920000002</v>
      </c>
      <c r="O716" s="15">
        <v>0</v>
      </c>
      <c r="P716" s="15">
        <f t="shared" si="198"/>
        <v>2492</v>
      </c>
      <c r="Q716" s="15">
        <f>'Форма 2'!K2701</f>
        <v>2492</v>
      </c>
      <c r="R716" s="351" t="s">
        <v>381</v>
      </c>
      <c r="S716" s="153">
        <v>1</v>
      </c>
    </row>
    <row r="717" spans="1:19" s="41" customFormat="1" ht="15.75" customHeight="1" x14ac:dyDescent="0.25">
      <c r="A717" s="126">
        <f t="shared" si="196"/>
        <v>31</v>
      </c>
      <c r="B717" s="126">
        <v>1362</v>
      </c>
      <c r="C717" s="142" t="s">
        <v>199</v>
      </c>
      <c r="D717" s="134">
        <v>1983</v>
      </c>
      <c r="E717" s="134" t="s">
        <v>89</v>
      </c>
      <c r="F717" s="134" t="s">
        <v>114</v>
      </c>
      <c r="G717" s="15">
        <v>21732</v>
      </c>
      <c r="H717" s="15">
        <v>16594.099999999999</v>
      </c>
      <c r="I717" s="10">
        <v>624</v>
      </c>
      <c r="J717" s="15">
        <f>'Форма 2'!I2704</f>
        <v>19079896.18</v>
      </c>
      <c r="K717" s="15">
        <v>0</v>
      </c>
      <c r="L717" s="15">
        <v>0</v>
      </c>
      <c r="M717" s="15">
        <v>0</v>
      </c>
      <c r="N717" s="15">
        <f t="shared" si="197"/>
        <v>19079896.18</v>
      </c>
      <c r="O717" s="15">
        <v>0</v>
      </c>
      <c r="P717" s="15">
        <f t="shared" si="198"/>
        <v>1149.8</v>
      </c>
      <c r="Q717" s="15">
        <f>'Форма 2'!K2704</f>
        <v>1628</v>
      </c>
      <c r="R717" s="351" t="s">
        <v>381</v>
      </c>
      <c r="S717" s="153">
        <v>1</v>
      </c>
    </row>
    <row r="718" spans="1:19" s="41" customFormat="1" ht="15.75" customHeight="1" x14ac:dyDescent="0.25">
      <c r="A718" s="126">
        <f t="shared" si="196"/>
        <v>32</v>
      </c>
      <c r="B718" s="126">
        <v>1628</v>
      </c>
      <c r="C718" s="142" t="s">
        <v>104</v>
      </c>
      <c r="D718" s="134">
        <v>1978</v>
      </c>
      <c r="E718" s="134" t="s">
        <v>68</v>
      </c>
      <c r="F718" s="134" t="s">
        <v>82</v>
      </c>
      <c r="G718" s="15">
        <v>6619.2</v>
      </c>
      <c r="H718" s="15">
        <v>6113.76</v>
      </c>
      <c r="I718" s="10">
        <v>288</v>
      </c>
      <c r="J718" s="15">
        <f>'Форма 2'!I2707</f>
        <v>18173742.350000001</v>
      </c>
      <c r="K718" s="15">
        <v>0</v>
      </c>
      <c r="L718" s="15">
        <v>0</v>
      </c>
      <c r="M718" s="15">
        <v>0</v>
      </c>
      <c r="N718" s="15">
        <f t="shared" si="197"/>
        <v>18173742.350000001</v>
      </c>
      <c r="O718" s="15">
        <v>0</v>
      </c>
      <c r="P718" s="15">
        <f t="shared" si="198"/>
        <v>2972.6</v>
      </c>
      <c r="Q718" s="15">
        <f>'Форма 2'!K2707</f>
        <v>3878</v>
      </c>
      <c r="R718" s="351" t="s">
        <v>381</v>
      </c>
      <c r="S718" s="153">
        <v>1</v>
      </c>
    </row>
    <row r="719" spans="1:19" s="41" customFormat="1" ht="15.75" customHeight="1" x14ac:dyDescent="0.25">
      <c r="A719" s="126">
        <f t="shared" si="196"/>
        <v>33</v>
      </c>
      <c r="B719" s="126">
        <v>1473</v>
      </c>
      <c r="C719" s="142" t="s">
        <v>200</v>
      </c>
      <c r="D719" s="134">
        <v>1985</v>
      </c>
      <c r="E719" s="134" t="s">
        <v>68</v>
      </c>
      <c r="F719" s="134" t="s">
        <v>82</v>
      </c>
      <c r="G719" s="15">
        <v>18900.599999999999</v>
      </c>
      <c r="H719" s="15">
        <v>16898</v>
      </c>
      <c r="I719" s="10">
        <v>638</v>
      </c>
      <c r="J719" s="15">
        <f>'Форма 2'!I2710</f>
        <v>42109816</v>
      </c>
      <c r="K719" s="15">
        <v>0</v>
      </c>
      <c r="L719" s="15">
        <v>0</v>
      </c>
      <c r="M719" s="15">
        <v>0</v>
      </c>
      <c r="N719" s="15">
        <f t="shared" si="197"/>
        <v>42109816</v>
      </c>
      <c r="O719" s="15">
        <v>0</v>
      </c>
      <c r="P719" s="15">
        <f t="shared" si="198"/>
        <v>2492</v>
      </c>
      <c r="Q719" s="15">
        <f>'Форма 2'!K2710</f>
        <v>2492</v>
      </c>
      <c r="R719" s="351" t="s">
        <v>381</v>
      </c>
      <c r="S719" s="153">
        <v>1</v>
      </c>
    </row>
    <row r="720" spans="1:19" s="41" customFormat="1" ht="15.75" customHeight="1" x14ac:dyDescent="0.25">
      <c r="A720" s="184" t="s">
        <v>105</v>
      </c>
      <c r="B720" s="184"/>
      <c r="C720" s="184"/>
      <c r="D720" s="134" t="s">
        <v>13</v>
      </c>
      <c r="E720" s="126" t="s">
        <v>13</v>
      </c>
      <c r="F720" s="126" t="s">
        <v>13</v>
      </c>
      <c r="G720" s="15">
        <f>SUM(G721:G746)</f>
        <v>153328.06</v>
      </c>
      <c r="H720" s="15">
        <f t="shared" ref="H720:O720" si="199">SUM(H721:H746)</f>
        <v>126662.85</v>
      </c>
      <c r="I720" s="10">
        <f t="shared" si="199"/>
        <v>4363</v>
      </c>
      <c r="J720" s="15">
        <f t="shared" si="199"/>
        <v>206659907.19999999</v>
      </c>
      <c r="K720" s="15">
        <f t="shared" si="199"/>
        <v>0</v>
      </c>
      <c r="L720" s="15">
        <f t="shared" si="199"/>
        <v>0</v>
      </c>
      <c r="M720" s="15">
        <f t="shared" si="199"/>
        <v>0</v>
      </c>
      <c r="N720" s="15">
        <f t="shared" si="199"/>
        <v>206659907.19999999</v>
      </c>
      <c r="O720" s="15">
        <f t="shared" si="199"/>
        <v>0</v>
      </c>
      <c r="P720" s="126" t="s">
        <v>13</v>
      </c>
      <c r="Q720" s="126" t="s">
        <v>13</v>
      </c>
      <c r="R720" s="126" t="s">
        <v>13</v>
      </c>
      <c r="S720" s="126" t="s">
        <v>13</v>
      </c>
    </row>
    <row r="721" spans="1:19" s="41" customFormat="1" ht="15" customHeight="1" x14ac:dyDescent="0.25">
      <c r="A721" s="126">
        <f>A719+1</f>
        <v>34</v>
      </c>
      <c r="B721" s="126">
        <v>3379</v>
      </c>
      <c r="C721" s="124" t="s">
        <v>655</v>
      </c>
      <c r="D721" s="134">
        <v>1956</v>
      </c>
      <c r="E721" s="134" t="s">
        <v>68</v>
      </c>
      <c r="F721" s="134" t="s">
        <v>82</v>
      </c>
      <c r="G721" s="15">
        <v>2034.36</v>
      </c>
      <c r="H721" s="15">
        <v>1879.46</v>
      </c>
      <c r="I721" s="10">
        <v>77</v>
      </c>
      <c r="J721" s="15">
        <f>'Форма 2'!I2713</f>
        <v>9667942.2400000002</v>
      </c>
      <c r="K721" s="15">
        <v>0</v>
      </c>
      <c r="L721" s="15">
        <v>0</v>
      </c>
      <c r="M721" s="15">
        <v>0</v>
      </c>
      <c r="N721" s="15">
        <f>J721-K721-L721-M721-O721</f>
        <v>9667942.2400000002</v>
      </c>
      <c r="O721" s="15">
        <v>0</v>
      </c>
      <c r="P721" s="15">
        <f>J721/H721</f>
        <v>5144</v>
      </c>
      <c r="Q721" s="15">
        <f>'Форма 2'!K2713</f>
        <v>5144</v>
      </c>
      <c r="R721" s="351" t="s">
        <v>381</v>
      </c>
      <c r="S721" s="153">
        <v>1</v>
      </c>
    </row>
    <row r="722" spans="1:19" s="41" customFormat="1" ht="15" customHeight="1" x14ac:dyDescent="0.25">
      <c r="A722" s="126">
        <f>A721+1</f>
        <v>35</v>
      </c>
      <c r="B722" s="126">
        <v>3081</v>
      </c>
      <c r="C722" s="124" t="s">
        <v>656</v>
      </c>
      <c r="D722" s="134">
        <v>1990</v>
      </c>
      <c r="E722" s="134" t="s">
        <v>86</v>
      </c>
      <c r="F722" s="134" t="s">
        <v>82</v>
      </c>
      <c r="G722" s="15">
        <v>15156.7</v>
      </c>
      <c r="H722" s="15">
        <v>12256.9</v>
      </c>
      <c r="I722" s="10">
        <v>379</v>
      </c>
      <c r="J722" s="15">
        <f>'Форма 2'!I2716</f>
        <v>6868854</v>
      </c>
      <c r="K722" s="15">
        <v>0</v>
      </c>
      <c r="L722" s="15">
        <v>0</v>
      </c>
      <c r="M722" s="15">
        <v>0</v>
      </c>
      <c r="N722" s="15">
        <f>J722-K722-L722-M722-O722</f>
        <v>6868854</v>
      </c>
      <c r="O722" s="15">
        <v>0</v>
      </c>
      <c r="P722" s="15">
        <f>J722/H722</f>
        <v>560.41</v>
      </c>
      <c r="Q722" s="15">
        <f>'Форма 2'!K2716</f>
        <v>560.41</v>
      </c>
      <c r="R722" s="351" t="s">
        <v>381</v>
      </c>
      <c r="S722" s="153">
        <v>1</v>
      </c>
    </row>
    <row r="723" spans="1:19" s="41" customFormat="1" ht="15" customHeight="1" x14ac:dyDescent="0.25">
      <c r="A723" s="126">
        <f t="shared" ref="A723:A746" si="200">A722+1</f>
        <v>36</v>
      </c>
      <c r="B723" s="126">
        <v>4374</v>
      </c>
      <c r="C723" s="124" t="s">
        <v>657</v>
      </c>
      <c r="D723" s="134">
        <v>1995</v>
      </c>
      <c r="E723" s="134" t="s">
        <v>86</v>
      </c>
      <c r="F723" s="134" t="s">
        <v>82</v>
      </c>
      <c r="G723" s="15">
        <v>8883.2999999999993</v>
      </c>
      <c r="H723" s="15">
        <v>6931.5</v>
      </c>
      <c r="I723" s="10">
        <v>262</v>
      </c>
      <c r="J723" s="15">
        <f>'Форма 2'!I2723</f>
        <v>6868854</v>
      </c>
      <c r="K723" s="15">
        <v>0</v>
      </c>
      <c r="L723" s="15">
        <v>0</v>
      </c>
      <c r="M723" s="15">
        <v>0</v>
      </c>
      <c r="N723" s="15">
        <f>J723-K723-L723-M723-O723</f>
        <v>6868854</v>
      </c>
      <c r="O723" s="15">
        <v>0</v>
      </c>
      <c r="P723" s="15">
        <f>J723/H723</f>
        <v>990.96</v>
      </c>
      <c r="Q723" s="15">
        <f>'Форма 2'!K2723</f>
        <v>990.96</v>
      </c>
      <c r="R723" s="351" t="s">
        <v>381</v>
      </c>
      <c r="S723" s="153">
        <v>1</v>
      </c>
    </row>
    <row r="724" spans="1:19" s="41" customFormat="1" ht="15.75" customHeight="1" x14ac:dyDescent="0.25">
      <c r="A724" s="126">
        <f t="shared" si="200"/>
        <v>37</v>
      </c>
      <c r="B724" s="126">
        <v>4329</v>
      </c>
      <c r="C724" s="142" t="s">
        <v>109</v>
      </c>
      <c r="D724" s="134">
        <v>1989</v>
      </c>
      <c r="E724" s="134" t="s">
        <v>68</v>
      </c>
      <c r="F724" s="134" t="s">
        <v>82</v>
      </c>
      <c r="G724" s="15">
        <v>8753.5</v>
      </c>
      <c r="H724" s="15">
        <v>7336.1</v>
      </c>
      <c r="I724" s="10">
        <v>253</v>
      </c>
      <c r="J724" s="15">
        <f>'Форма 2'!I2730</f>
        <v>15249632.75</v>
      </c>
      <c r="K724" s="15">
        <v>0</v>
      </c>
      <c r="L724" s="15">
        <v>0</v>
      </c>
      <c r="M724" s="15">
        <v>0</v>
      </c>
      <c r="N724" s="15">
        <f t="shared" ref="N724:N746" si="201">J724-K724-L724-M724-O724</f>
        <v>15249632.75</v>
      </c>
      <c r="O724" s="15">
        <v>0</v>
      </c>
      <c r="P724" s="15">
        <f t="shared" ref="P724:P746" si="202">J724/H724</f>
        <v>2078.71</v>
      </c>
      <c r="Q724" s="15">
        <f>'Форма 2'!K2730</f>
        <v>2492</v>
      </c>
      <c r="R724" s="351" t="s">
        <v>381</v>
      </c>
      <c r="S724" s="153">
        <v>1</v>
      </c>
    </row>
    <row r="725" spans="1:19" s="41" customFormat="1" ht="15.75" customHeight="1" x14ac:dyDescent="0.25">
      <c r="A725" s="126">
        <f t="shared" si="200"/>
        <v>38</v>
      </c>
      <c r="B725" s="126">
        <v>4335</v>
      </c>
      <c r="C725" s="142" t="s">
        <v>550</v>
      </c>
      <c r="D725" s="126">
        <v>1966</v>
      </c>
      <c r="E725" s="134" t="s">
        <v>112</v>
      </c>
      <c r="F725" s="134" t="s">
        <v>87</v>
      </c>
      <c r="G725" s="15">
        <v>3606.8</v>
      </c>
      <c r="H725" s="15">
        <v>2109.1999999999998</v>
      </c>
      <c r="I725" s="143">
        <v>80</v>
      </c>
      <c r="J725" s="15">
        <f>'Форма 2'!I2733</f>
        <v>3904129.2</v>
      </c>
      <c r="K725" s="15">
        <v>0</v>
      </c>
      <c r="L725" s="15">
        <v>0</v>
      </c>
      <c r="M725" s="15">
        <v>0</v>
      </c>
      <c r="N725" s="15">
        <f>J725-K725-L725-M725-O725</f>
        <v>3904129.2</v>
      </c>
      <c r="O725" s="15">
        <v>0</v>
      </c>
      <c r="P725" s="15">
        <f>J725/H725</f>
        <v>1851</v>
      </c>
      <c r="Q725" s="15">
        <f>'Форма 2'!K2733</f>
        <v>1851</v>
      </c>
      <c r="R725" s="351" t="s">
        <v>381</v>
      </c>
      <c r="S725" s="153">
        <v>1</v>
      </c>
    </row>
    <row r="726" spans="1:19" s="41" customFormat="1" ht="15.75" customHeight="1" x14ac:dyDescent="0.25">
      <c r="A726" s="126">
        <f t="shared" si="200"/>
        <v>39</v>
      </c>
      <c r="B726" s="126">
        <v>3112</v>
      </c>
      <c r="C726" s="142" t="s">
        <v>377</v>
      </c>
      <c r="D726" s="134">
        <v>1983</v>
      </c>
      <c r="E726" s="134" t="s">
        <v>68</v>
      </c>
      <c r="F726" s="134" t="s">
        <v>82</v>
      </c>
      <c r="G726" s="15">
        <v>21446.799999999999</v>
      </c>
      <c r="H726" s="15">
        <v>16849.099999999999</v>
      </c>
      <c r="I726" s="10">
        <v>546</v>
      </c>
      <c r="J726" s="15">
        <f>'Форма 2'!I2737</f>
        <v>41987957.200000003</v>
      </c>
      <c r="K726" s="15">
        <v>0</v>
      </c>
      <c r="L726" s="15">
        <v>0</v>
      </c>
      <c r="M726" s="15">
        <v>0</v>
      </c>
      <c r="N726" s="15">
        <f t="shared" si="201"/>
        <v>41987957.200000003</v>
      </c>
      <c r="O726" s="15">
        <v>0</v>
      </c>
      <c r="P726" s="15">
        <f t="shared" si="202"/>
        <v>2492</v>
      </c>
      <c r="Q726" s="15">
        <f>'Форма 2'!K2737</f>
        <v>2492</v>
      </c>
      <c r="R726" s="351" t="s">
        <v>381</v>
      </c>
      <c r="S726" s="153">
        <v>1</v>
      </c>
    </row>
    <row r="727" spans="1:19" s="41" customFormat="1" ht="15" customHeight="1" x14ac:dyDescent="0.25">
      <c r="A727" s="126">
        <f t="shared" si="200"/>
        <v>40</v>
      </c>
      <c r="B727" s="126">
        <v>3103</v>
      </c>
      <c r="C727" s="124" t="s">
        <v>658</v>
      </c>
      <c r="D727" s="134">
        <v>1960</v>
      </c>
      <c r="E727" s="134" t="s">
        <v>95</v>
      </c>
      <c r="F727" s="134" t="s">
        <v>82</v>
      </c>
      <c r="G727" s="15">
        <v>3257.1</v>
      </c>
      <c r="H727" s="15">
        <v>2533.89</v>
      </c>
      <c r="I727" s="10">
        <v>109</v>
      </c>
      <c r="J727" s="15">
        <f>'Форма 2'!I2740</f>
        <v>917268.18</v>
      </c>
      <c r="K727" s="15">
        <v>0</v>
      </c>
      <c r="L727" s="15">
        <v>0</v>
      </c>
      <c r="M727" s="15">
        <v>0</v>
      </c>
      <c r="N727" s="15">
        <f t="shared" si="201"/>
        <v>917268.18</v>
      </c>
      <c r="O727" s="15">
        <v>0</v>
      </c>
      <c r="P727" s="15">
        <f t="shared" si="202"/>
        <v>362</v>
      </c>
      <c r="Q727" s="15">
        <f>'Форма 2'!K2740</f>
        <v>362</v>
      </c>
      <c r="R727" s="351" t="s">
        <v>381</v>
      </c>
      <c r="S727" s="153">
        <v>1</v>
      </c>
    </row>
    <row r="728" spans="1:19" s="41" customFormat="1" ht="15" customHeight="1" x14ac:dyDescent="0.25">
      <c r="A728" s="126">
        <f t="shared" si="200"/>
        <v>41</v>
      </c>
      <c r="B728" s="126">
        <v>3105</v>
      </c>
      <c r="C728" s="124" t="s">
        <v>208</v>
      </c>
      <c r="D728" s="134">
        <v>1995</v>
      </c>
      <c r="E728" s="134" t="s">
        <v>86</v>
      </c>
      <c r="F728" s="134" t="s">
        <v>82</v>
      </c>
      <c r="G728" s="15">
        <v>14149.1</v>
      </c>
      <c r="H728" s="15">
        <v>11658.1</v>
      </c>
      <c r="I728" s="10">
        <v>440</v>
      </c>
      <c r="J728" s="15">
        <f>'Форма 2'!I2743</f>
        <v>11448090</v>
      </c>
      <c r="K728" s="15">
        <v>0</v>
      </c>
      <c r="L728" s="15">
        <v>0</v>
      </c>
      <c r="M728" s="15">
        <v>0</v>
      </c>
      <c r="N728" s="15">
        <f t="shared" si="201"/>
        <v>11448090</v>
      </c>
      <c r="O728" s="15">
        <v>0</v>
      </c>
      <c r="P728" s="15">
        <f t="shared" si="202"/>
        <v>981.99</v>
      </c>
      <c r="Q728" s="15">
        <f>'Форма 2'!K2743</f>
        <v>981.99</v>
      </c>
      <c r="R728" s="351" t="s">
        <v>381</v>
      </c>
      <c r="S728" s="153">
        <v>1</v>
      </c>
    </row>
    <row r="729" spans="1:19" s="41" customFormat="1" ht="15.75" customHeight="1" x14ac:dyDescent="0.25">
      <c r="A729" s="126">
        <f t="shared" si="200"/>
        <v>42</v>
      </c>
      <c r="B729" s="126">
        <v>3141</v>
      </c>
      <c r="C729" s="142" t="s">
        <v>212</v>
      </c>
      <c r="D729" s="134" t="s">
        <v>382</v>
      </c>
      <c r="E729" s="134" t="s">
        <v>68</v>
      </c>
      <c r="F729" s="134" t="s">
        <v>82</v>
      </c>
      <c r="G729" s="15">
        <v>11490.4</v>
      </c>
      <c r="H729" s="15">
        <v>8978.6</v>
      </c>
      <c r="I729" s="10">
        <v>142</v>
      </c>
      <c r="J729" s="15">
        <f>'Форма 2'!I2754</f>
        <v>16871690.530000001</v>
      </c>
      <c r="K729" s="15">
        <v>0</v>
      </c>
      <c r="L729" s="15">
        <v>0</v>
      </c>
      <c r="M729" s="15">
        <v>0</v>
      </c>
      <c r="N729" s="15">
        <f t="shared" si="201"/>
        <v>16871690.530000001</v>
      </c>
      <c r="O729" s="15">
        <v>0</v>
      </c>
      <c r="P729" s="15">
        <f t="shared" si="202"/>
        <v>1879.1</v>
      </c>
      <c r="Q729" s="15">
        <f>'Форма 2'!K2754</f>
        <v>2492</v>
      </c>
      <c r="R729" s="351" t="s">
        <v>381</v>
      </c>
      <c r="S729" s="153">
        <v>1</v>
      </c>
    </row>
    <row r="730" spans="1:19" s="41" customFormat="1" ht="15" customHeight="1" x14ac:dyDescent="0.25">
      <c r="A730" s="126">
        <f t="shared" si="200"/>
        <v>43</v>
      </c>
      <c r="B730" s="126">
        <v>4375</v>
      </c>
      <c r="C730" s="124" t="s">
        <v>661</v>
      </c>
      <c r="D730" s="134" t="s">
        <v>680</v>
      </c>
      <c r="E730" s="134" t="s">
        <v>86</v>
      </c>
      <c r="F730" s="134" t="s">
        <v>82</v>
      </c>
      <c r="G730" s="15">
        <v>14326.5</v>
      </c>
      <c r="H730" s="15">
        <v>11594.1</v>
      </c>
      <c r="I730" s="10">
        <v>438</v>
      </c>
      <c r="J730" s="15">
        <f>'Форма 2'!I2757</f>
        <v>6868854</v>
      </c>
      <c r="K730" s="15">
        <v>0</v>
      </c>
      <c r="L730" s="15">
        <v>0</v>
      </c>
      <c r="M730" s="15">
        <v>0</v>
      </c>
      <c r="N730" s="15">
        <f>J730-K730-L730-M730-O730</f>
        <v>6868854</v>
      </c>
      <c r="O730" s="15">
        <v>0</v>
      </c>
      <c r="P730" s="15">
        <f>J730/H730</f>
        <v>592.44000000000005</v>
      </c>
      <c r="Q730" s="15">
        <f>'Форма 2'!K2757</f>
        <v>592.44000000000005</v>
      </c>
      <c r="R730" s="351" t="s">
        <v>381</v>
      </c>
      <c r="S730" s="153">
        <v>1</v>
      </c>
    </row>
    <row r="731" spans="1:19" s="41" customFormat="1" ht="15" customHeight="1" x14ac:dyDescent="0.25">
      <c r="A731" s="126">
        <f t="shared" si="200"/>
        <v>44</v>
      </c>
      <c r="B731" s="126">
        <v>4376</v>
      </c>
      <c r="C731" s="124" t="s">
        <v>662</v>
      </c>
      <c r="D731" s="134">
        <v>1994</v>
      </c>
      <c r="E731" s="134" t="s">
        <v>86</v>
      </c>
      <c r="F731" s="134" t="s">
        <v>82</v>
      </c>
      <c r="G731" s="15">
        <v>4860.7</v>
      </c>
      <c r="H731" s="15">
        <v>3878.2</v>
      </c>
      <c r="I731" s="10">
        <v>147</v>
      </c>
      <c r="J731" s="15">
        <f>'Форма 2'!I2764</f>
        <v>4579236</v>
      </c>
      <c r="K731" s="15">
        <v>0</v>
      </c>
      <c r="L731" s="15">
        <v>0</v>
      </c>
      <c r="M731" s="15">
        <v>0</v>
      </c>
      <c r="N731" s="15">
        <f>J731-K731-L731-M731-O731</f>
        <v>4579236</v>
      </c>
      <c r="O731" s="15">
        <v>0</v>
      </c>
      <c r="P731" s="15">
        <f>J731/H731</f>
        <v>1180.76</v>
      </c>
      <c r="Q731" s="15">
        <f>'Форма 2'!K2764</f>
        <v>1180.76</v>
      </c>
      <c r="R731" s="351" t="s">
        <v>381</v>
      </c>
      <c r="S731" s="153">
        <v>1</v>
      </c>
    </row>
    <row r="732" spans="1:19" s="41" customFormat="1" ht="15.75" customHeight="1" x14ac:dyDescent="0.25">
      <c r="A732" s="126">
        <f t="shared" si="200"/>
        <v>45</v>
      </c>
      <c r="B732" s="126">
        <v>3383</v>
      </c>
      <c r="C732" s="142" t="s">
        <v>213</v>
      </c>
      <c r="D732" s="134" t="s">
        <v>383</v>
      </c>
      <c r="E732" s="134" t="s">
        <v>68</v>
      </c>
      <c r="F732" s="134" t="s">
        <v>82</v>
      </c>
      <c r="G732" s="15">
        <v>5463</v>
      </c>
      <c r="H732" s="15">
        <v>5213</v>
      </c>
      <c r="I732" s="10">
        <v>197</v>
      </c>
      <c r="J732" s="15">
        <f>'Форма 2'!I2769</f>
        <v>20216014</v>
      </c>
      <c r="K732" s="15">
        <v>0</v>
      </c>
      <c r="L732" s="15">
        <v>0</v>
      </c>
      <c r="M732" s="15">
        <v>0</v>
      </c>
      <c r="N732" s="15">
        <f t="shared" si="201"/>
        <v>20216014</v>
      </c>
      <c r="O732" s="15">
        <v>0</v>
      </c>
      <c r="P732" s="15">
        <f t="shared" si="202"/>
        <v>3878</v>
      </c>
      <c r="Q732" s="15">
        <f>'Форма 2'!K2769</f>
        <v>3878</v>
      </c>
      <c r="R732" s="351" t="s">
        <v>381</v>
      </c>
      <c r="S732" s="153">
        <v>1</v>
      </c>
    </row>
    <row r="733" spans="1:19" s="41" customFormat="1" ht="15.75" customHeight="1" x14ac:dyDescent="0.25">
      <c r="A733" s="126">
        <f t="shared" si="200"/>
        <v>46</v>
      </c>
      <c r="B733" s="126">
        <v>3388</v>
      </c>
      <c r="C733" s="142" t="s">
        <v>214</v>
      </c>
      <c r="D733" s="134">
        <v>1994</v>
      </c>
      <c r="E733" s="134" t="s">
        <v>367</v>
      </c>
      <c r="F733" s="134" t="s">
        <v>82</v>
      </c>
      <c r="G733" s="15">
        <v>4807.7</v>
      </c>
      <c r="H733" s="15">
        <v>4243</v>
      </c>
      <c r="I733" s="10">
        <v>96</v>
      </c>
      <c r="J733" s="15">
        <f>'Форма 2'!I2772</f>
        <v>29494751.989999998</v>
      </c>
      <c r="K733" s="15">
        <v>0</v>
      </c>
      <c r="L733" s="15">
        <v>0</v>
      </c>
      <c r="M733" s="15">
        <v>0</v>
      </c>
      <c r="N733" s="15">
        <f t="shared" si="201"/>
        <v>29494751.989999998</v>
      </c>
      <c r="O733" s="15">
        <v>0</v>
      </c>
      <c r="P733" s="15">
        <f t="shared" si="202"/>
        <v>6951.39</v>
      </c>
      <c r="Q733" s="15">
        <f>'Форма 2'!K2772</f>
        <v>10123</v>
      </c>
      <c r="R733" s="351" t="s">
        <v>381</v>
      </c>
      <c r="S733" s="153">
        <v>1</v>
      </c>
    </row>
    <row r="734" spans="1:19" s="41" customFormat="1" ht="15" customHeight="1" x14ac:dyDescent="0.25">
      <c r="A734" s="126">
        <f t="shared" si="200"/>
        <v>47</v>
      </c>
      <c r="B734" s="126">
        <v>3406</v>
      </c>
      <c r="C734" s="124" t="s">
        <v>547</v>
      </c>
      <c r="D734" s="134">
        <v>1956</v>
      </c>
      <c r="E734" s="134" t="s">
        <v>95</v>
      </c>
      <c r="F734" s="134" t="s">
        <v>82</v>
      </c>
      <c r="G734" s="15">
        <v>1344.96</v>
      </c>
      <c r="H734" s="15">
        <v>1229.96</v>
      </c>
      <c r="I734" s="10">
        <v>46</v>
      </c>
      <c r="J734" s="15">
        <f>'Форма 2'!I2779</f>
        <v>445245.52</v>
      </c>
      <c r="K734" s="15">
        <v>0</v>
      </c>
      <c r="L734" s="15">
        <v>0</v>
      </c>
      <c r="M734" s="15">
        <v>0</v>
      </c>
      <c r="N734" s="15">
        <f t="shared" si="201"/>
        <v>445245.52</v>
      </c>
      <c r="O734" s="15">
        <v>0</v>
      </c>
      <c r="P734" s="15">
        <f t="shared" si="202"/>
        <v>362</v>
      </c>
      <c r="Q734" s="15">
        <f>'Форма 2'!K2779</f>
        <v>362</v>
      </c>
      <c r="R734" s="351" t="s">
        <v>381</v>
      </c>
      <c r="S734" s="153">
        <v>1</v>
      </c>
    </row>
    <row r="735" spans="1:19" s="41" customFormat="1" ht="15" customHeight="1" x14ac:dyDescent="0.25">
      <c r="A735" s="126">
        <f t="shared" si="200"/>
        <v>48</v>
      </c>
      <c r="B735" s="126">
        <v>3407</v>
      </c>
      <c r="C735" s="124" t="s">
        <v>663</v>
      </c>
      <c r="D735" s="134">
        <v>1957</v>
      </c>
      <c r="E735" s="134" t="s">
        <v>95</v>
      </c>
      <c r="F735" s="134" t="s">
        <v>82</v>
      </c>
      <c r="G735" s="15">
        <v>2119.12</v>
      </c>
      <c r="H735" s="15">
        <v>2004.12</v>
      </c>
      <c r="I735" s="10">
        <v>76</v>
      </c>
      <c r="J735" s="15">
        <f>'Форма 2'!I2782</f>
        <v>725491.44</v>
      </c>
      <c r="K735" s="15">
        <v>0</v>
      </c>
      <c r="L735" s="15">
        <v>0</v>
      </c>
      <c r="M735" s="15">
        <v>0</v>
      </c>
      <c r="N735" s="15">
        <f t="shared" si="201"/>
        <v>725491.44</v>
      </c>
      <c r="O735" s="15">
        <v>0</v>
      </c>
      <c r="P735" s="15">
        <f t="shared" si="202"/>
        <v>362</v>
      </c>
      <c r="Q735" s="15">
        <f>'Форма 2'!K2782</f>
        <v>362</v>
      </c>
      <c r="R735" s="351" t="s">
        <v>381</v>
      </c>
      <c r="S735" s="153">
        <v>1</v>
      </c>
    </row>
    <row r="736" spans="1:19" s="41" customFormat="1" ht="15" customHeight="1" x14ac:dyDescent="0.25">
      <c r="A736" s="126">
        <f t="shared" si="200"/>
        <v>49</v>
      </c>
      <c r="B736" s="126">
        <v>3408</v>
      </c>
      <c r="C736" s="124" t="s">
        <v>664</v>
      </c>
      <c r="D736" s="134">
        <v>1959</v>
      </c>
      <c r="E736" s="134" t="s">
        <v>95</v>
      </c>
      <c r="F736" s="134" t="s">
        <v>82</v>
      </c>
      <c r="G736" s="15">
        <v>3389.51</v>
      </c>
      <c r="H736" s="15">
        <v>3143.51</v>
      </c>
      <c r="I736" s="10">
        <v>119</v>
      </c>
      <c r="J736" s="15">
        <f>'Форма 2'!I2785</f>
        <v>1279408.57</v>
      </c>
      <c r="K736" s="15">
        <v>0</v>
      </c>
      <c r="L736" s="15">
        <v>0</v>
      </c>
      <c r="M736" s="15">
        <v>0</v>
      </c>
      <c r="N736" s="15">
        <f t="shared" si="201"/>
        <v>1279408.57</v>
      </c>
      <c r="O736" s="15">
        <v>0</v>
      </c>
      <c r="P736" s="15">
        <f t="shared" si="202"/>
        <v>407</v>
      </c>
      <c r="Q736" s="15">
        <f>'Форма 2'!K2785</f>
        <v>407</v>
      </c>
      <c r="R736" s="351" t="s">
        <v>381</v>
      </c>
      <c r="S736" s="153">
        <v>1</v>
      </c>
    </row>
    <row r="737" spans="1:19" s="41" customFormat="1" ht="15" customHeight="1" x14ac:dyDescent="0.25">
      <c r="A737" s="126">
        <f t="shared" si="200"/>
        <v>50</v>
      </c>
      <c r="B737" s="126">
        <v>3410</v>
      </c>
      <c r="C737" s="124" t="s">
        <v>665</v>
      </c>
      <c r="D737" s="134">
        <v>1959</v>
      </c>
      <c r="E737" s="134" t="s">
        <v>95</v>
      </c>
      <c r="F737" s="134" t="s">
        <v>82</v>
      </c>
      <c r="G737" s="15">
        <v>3418.61</v>
      </c>
      <c r="H737" s="15">
        <v>3172.61</v>
      </c>
      <c r="I737" s="10">
        <v>138</v>
      </c>
      <c r="J737" s="15">
        <f>'Форма 2'!I2788</f>
        <v>1291252.27</v>
      </c>
      <c r="K737" s="15">
        <v>0</v>
      </c>
      <c r="L737" s="15">
        <v>0</v>
      </c>
      <c r="M737" s="15">
        <v>0</v>
      </c>
      <c r="N737" s="15">
        <f>J737-K737-L737-M737-O737</f>
        <v>1291252.27</v>
      </c>
      <c r="O737" s="15">
        <v>0</v>
      </c>
      <c r="P737" s="15">
        <f>J737/H737</f>
        <v>407</v>
      </c>
      <c r="Q737" s="15">
        <f>'Форма 2'!K2788</f>
        <v>407</v>
      </c>
      <c r="R737" s="351" t="s">
        <v>381</v>
      </c>
      <c r="S737" s="153">
        <v>1</v>
      </c>
    </row>
    <row r="738" spans="1:19" s="41" customFormat="1" ht="15" customHeight="1" x14ac:dyDescent="0.25">
      <c r="A738" s="126">
        <f t="shared" si="200"/>
        <v>51</v>
      </c>
      <c r="B738" s="126">
        <v>3413</v>
      </c>
      <c r="C738" s="124" t="s">
        <v>666</v>
      </c>
      <c r="D738" s="134">
        <v>1917</v>
      </c>
      <c r="E738" s="134" t="s">
        <v>95</v>
      </c>
      <c r="F738" s="134" t="s">
        <v>82</v>
      </c>
      <c r="G738" s="15">
        <v>1289.3800000000001</v>
      </c>
      <c r="H738" s="15">
        <v>1249.18</v>
      </c>
      <c r="I738" s="10">
        <v>47</v>
      </c>
      <c r="J738" s="15">
        <f>'Форма 2'!I2791</f>
        <v>452203.16</v>
      </c>
      <c r="K738" s="15">
        <v>0</v>
      </c>
      <c r="L738" s="15">
        <v>0</v>
      </c>
      <c r="M738" s="15">
        <v>0</v>
      </c>
      <c r="N738" s="15">
        <f t="shared" ref="N738:N743" si="203">J738-K738-L738-M738-O738</f>
        <v>452203.16</v>
      </c>
      <c r="O738" s="15">
        <v>0</v>
      </c>
      <c r="P738" s="15">
        <f t="shared" ref="P738:P743" si="204">J738/H738</f>
        <v>362</v>
      </c>
      <c r="Q738" s="15">
        <f>'Форма 2'!K2791</f>
        <v>362</v>
      </c>
      <c r="R738" s="351" t="s">
        <v>381</v>
      </c>
      <c r="S738" s="153">
        <v>1</v>
      </c>
    </row>
    <row r="739" spans="1:19" s="41" customFormat="1" ht="15" customHeight="1" x14ac:dyDescent="0.25">
      <c r="A739" s="126">
        <f t="shared" si="200"/>
        <v>52</v>
      </c>
      <c r="B739" s="126">
        <v>4365</v>
      </c>
      <c r="C739" s="124" t="s">
        <v>667</v>
      </c>
      <c r="D739" s="134">
        <v>1904</v>
      </c>
      <c r="E739" s="134" t="s">
        <v>95</v>
      </c>
      <c r="F739" s="134" t="s">
        <v>82</v>
      </c>
      <c r="G739" s="15">
        <v>1569</v>
      </c>
      <c r="H739" s="15">
        <v>1319.4</v>
      </c>
      <c r="I739" s="10">
        <v>51</v>
      </c>
      <c r="J739" s="15">
        <f>'Форма 2'!I2794</f>
        <v>477622.8</v>
      </c>
      <c r="K739" s="15">
        <v>0</v>
      </c>
      <c r="L739" s="15">
        <v>0</v>
      </c>
      <c r="M739" s="15">
        <v>0</v>
      </c>
      <c r="N739" s="15">
        <f t="shared" si="203"/>
        <v>477622.8</v>
      </c>
      <c r="O739" s="15">
        <v>0</v>
      </c>
      <c r="P739" s="15">
        <f t="shared" si="204"/>
        <v>362</v>
      </c>
      <c r="Q739" s="15">
        <f>'Форма 2'!K2794</f>
        <v>362</v>
      </c>
      <c r="R739" s="351" t="s">
        <v>381</v>
      </c>
      <c r="S739" s="153">
        <v>1</v>
      </c>
    </row>
    <row r="740" spans="1:19" s="41" customFormat="1" ht="15" customHeight="1" x14ac:dyDescent="0.25">
      <c r="A740" s="126">
        <f t="shared" si="200"/>
        <v>53</v>
      </c>
      <c r="B740" s="126">
        <v>3414</v>
      </c>
      <c r="C740" s="124" t="s">
        <v>668</v>
      </c>
      <c r="D740" s="134">
        <v>1917</v>
      </c>
      <c r="E740" s="134" t="s">
        <v>95</v>
      </c>
      <c r="F740" s="134" t="s">
        <v>82</v>
      </c>
      <c r="G740" s="15">
        <v>959.11</v>
      </c>
      <c r="H740" s="15">
        <v>905.11</v>
      </c>
      <c r="I740" s="10">
        <v>34</v>
      </c>
      <c r="J740" s="15">
        <f>'Форма 2'!I2797</f>
        <v>327649.82</v>
      </c>
      <c r="K740" s="15">
        <v>0</v>
      </c>
      <c r="L740" s="15">
        <v>0</v>
      </c>
      <c r="M740" s="15">
        <v>0</v>
      </c>
      <c r="N740" s="15">
        <f t="shared" si="203"/>
        <v>327649.82</v>
      </c>
      <c r="O740" s="15">
        <v>0</v>
      </c>
      <c r="P740" s="15">
        <f t="shared" si="204"/>
        <v>362</v>
      </c>
      <c r="Q740" s="15">
        <f>'Форма 2'!K2797</f>
        <v>362</v>
      </c>
      <c r="R740" s="351" t="s">
        <v>381</v>
      </c>
      <c r="S740" s="153">
        <v>1</v>
      </c>
    </row>
    <row r="741" spans="1:19" s="41" customFormat="1" ht="15" customHeight="1" x14ac:dyDescent="0.25">
      <c r="A741" s="126">
        <f t="shared" si="200"/>
        <v>54</v>
      </c>
      <c r="B741" s="126">
        <v>3415</v>
      </c>
      <c r="C741" s="124" t="s">
        <v>669</v>
      </c>
      <c r="D741" s="134">
        <v>1917</v>
      </c>
      <c r="E741" s="134" t="s">
        <v>95</v>
      </c>
      <c r="F741" s="134" t="s">
        <v>82</v>
      </c>
      <c r="G741" s="15">
        <v>721.9</v>
      </c>
      <c r="H741" s="15">
        <v>667.9</v>
      </c>
      <c r="I741" s="10">
        <v>25</v>
      </c>
      <c r="J741" s="15">
        <f>'Форма 2'!I2800</f>
        <v>241779.8</v>
      </c>
      <c r="K741" s="15">
        <v>0</v>
      </c>
      <c r="L741" s="15">
        <v>0</v>
      </c>
      <c r="M741" s="15">
        <v>0</v>
      </c>
      <c r="N741" s="15">
        <f t="shared" si="203"/>
        <v>241779.8</v>
      </c>
      <c r="O741" s="15">
        <v>0</v>
      </c>
      <c r="P741" s="15">
        <f t="shared" si="204"/>
        <v>362</v>
      </c>
      <c r="Q741" s="15">
        <f>'Форма 2'!K2800</f>
        <v>362</v>
      </c>
      <c r="R741" s="351" t="s">
        <v>381</v>
      </c>
      <c r="S741" s="153">
        <v>1</v>
      </c>
    </row>
    <row r="742" spans="1:19" s="41" customFormat="1" ht="15" customHeight="1" x14ac:dyDescent="0.25">
      <c r="A742" s="126">
        <f t="shared" si="200"/>
        <v>55</v>
      </c>
      <c r="B742" s="126">
        <v>3416</v>
      </c>
      <c r="C742" s="124" t="s">
        <v>497</v>
      </c>
      <c r="D742" s="134">
        <v>1917</v>
      </c>
      <c r="E742" s="134" t="s">
        <v>95</v>
      </c>
      <c r="F742" s="134" t="s">
        <v>82</v>
      </c>
      <c r="G742" s="15">
        <v>941</v>
      </c>
      <c r="H742" s="15">
        <v>887</v>
      </c>
      <c r="I742" s="10">
        <v>34</v>
      </c>
      <c r="J742" s="15">
        <f>'Форма 2'!I2803</f>
        <v>321094</v>
      </c>
      <c r="K742" s="15">
        <v>0</v>
      </c>
      <c r="L742" s="15">
        <v>0</v>
      </c>
      <c r="M742" s="15">
        <v>0</v>
      </c>
      <c r="N742" s="15">
        <f t="shared" si="203"/>
        <v>321094</v>
      </c>
      <c r="O742" s="15">
        <v>0</v>
      </c>
      <c r="P742" s="15">
        <f t="shared" si="204"/>
        <v>362</v>
      </c>
      <c r="Q742" s="15">
        <f>'Форма 2'!K2803</f>
        <v>362</v>
      </c>
      <c r="R742" s="351" t="s">
        <v>381</v>
      </c>
      <c r="S742" s="153">
        <v>1</v>
      </c>
    </row>
    <row r="743" spans="1:19" s="41" customFormat="1" ht="15" customHeight="1" x14ac:dyDescent="0.25">
      <c r="A743" s="126">
        <f t="shared" si="200"/>
        <v>56</v>
      </c>
      <c r="B743" s="126">
        <v>3417</v>
      </c>
      <c r="C743" s="124" t="s">
        <v>498</v>
      </c>
      <c r="D743" s="134">
        <v>1917</v>
      </c>
      <c r="E743" s="134" t="s">
        <v>95</v>
      </c>
      <c r="F743" s="134" t="s">
        <v>82</v>
      </c>
      <c r="G743" s="15">
        <v>975.5</v>
      </c>
      <c r="H743" s="15">
        <v>921.5</v>
      </c>
      <c r="I743" s="10">
        <v>35</v>
      </c>
      <c r="J743" s="15">
        <f>'Форма 2'!I2806</f>
        <v>333583</v>
      </c>
      <c r="K743" s="15">
        <v>0</v>
      </c>
      <c r="L743" s="15">
        <v>0</v>
      </c>
      <c r="M743" s="15">
        <v>0</v>
      </c>
      <c r="N743" s="15">
        <f t="shared" si="203"/>
        <v>333583</v>
      </c>
      <c r="O743" s="15">
        <v>0</v>
      </c>
      <c r="P743" s="15">
        <f t="shared" si="204"/>
        <v>362</v>
      </c>
      <c r="Q743" s="15">
        <f>'Форма 2'!K2806</f>
        <v>362</v>
      </c>
      <c r="R743" s="351" t="s">
        <v>381</v>
      </c>
      <c r="S743" s="153">
        <v>1</v>
      </c>
    </row>
    <row r="744" spans="1:19" s="41" customFormat="1" ht="15.75" customHeight="1" x14ac:dyDescent="0.25">
      <c r="A744" s="126">
        <f t="shared" si="200"/>
        <v>57</v>
      </c>
      <c r="B744" s="126">
        <v>3147</v>
      </c>
      <c r="C744" s="142" t="s">
        <v>110</v>
      </c>
      <c r="D744" s="134">
        <v>1988</v>
      </c>
      <c r="E744" s="134" t="s">
        <v>68</v>
      </c>
      <c r="F744" s="134" t="s">
        <v>82</v>
      </c>
      <c r="G744" s="15">
        <v>8586</v>
      </c>
      <c r="H744" s="15">
        <v>7160</v>
      </c>
      <c r="I744" s="10">
        <v>270</v>
      </c>
      <c r="J744" s="15">
        <f>'Форма 2'!I2809</f>
        <v>15005531.01</v>
      </c>
      <c r="K744" s="15">
        <v>0</v>
      </c>
      <c r="L744" s="15">
        <v>0</v>
      </c>
      <c r="M744" s="15">
        <v>0</v>
      </c>
      <c r="N744" s="15">
        <f t="shared" si="201"/>
        <v>15005531.01</v>
      </c>
      <c r="O744" s="15">
        <v>0</v>
      </c>
      <c r="P744" s="15">
        <f t="shared" si="202"/>
        <v>2095.7399999999998</v>
      </c>
      <c r="Q744" s="15">
        <f>'Форма 2'!K2809</f>
        <v>2492</v>
      </c>
      <c r="R744" s="351" t="s">
        <v>381</v>
      </c>
      <c r="S744" s="153">
        <v>1</v>
      </c>
    </row>
    <row r="745" spans="1:19" s="41" customFormat="1" ht="15" customHeight="1" x14ac:dyDescent="0.25">
      <c r="A745" s="126">
        <f t="shared" si="200"/>
        <v>58</v>
      </c>
      <c r="B745" s="126">
        <v>4256</v>
      </c>
      <c r="C745" s="124" t="s">
        <v>670</v>
      </c>
      <c r="D745" s="134" t="s">
        <v>681</v>
      </c>
      <c r="E745" s="134" t="s">
        <v>86</v>
      </c>
      <c r="F745" s="134" t="s">
        <v>82</v>
      </c>
      <c r="G745" s="15">
        <v>5910.2</v>
      </c>
      <c r="H745" s="15">
        <v>5120</v>
      </c>
      <c r="I745" s="10">
        <v>193</v>
      </c>
      <c r="J745" s="15">
        <f>'Форма 2'!I2812</f>
        <v>2289618</v>
      </c>
      <c r="K745" s="15">
        <v>0</v>
      </c>
      <c r="L745" s="15">
        <v>0</v>
      </c>
      <c r="M745" s="15">
        <v>0</v>
      </c>
      <c r="N745" s="15">
        <f t="shared" si="201"/>
        <v>2289618</v>
      </c>
      <c r="O745" s="15">
        <v>0</v>
      </c>
      <c r="P745" s="15">
        <f t="shared" si="202"/>
        <v>447.19</v>
      </c>
      <c r="Q745" s="15">
        <f>'Форма 2'!K2812</f>
        <v>447.19</v>
      </c>
      <c r="R745" s="351" t="s">
        <v>381</v>
      </c>
      <c r="S745" s="153">
        <v>1</v>
      </c>
    </row>
    <row r="746" spans="1:19" s="41" customFormat="1" ht="15.75" customHeight="1" x14ac:dyDescent="0.25">
      <c r="A746" s="126">
        <f t="shared" si="200"/>
        <v>59</v>
      </c>
      <c r="B746" s="126">
        <v>3423</v>
      </c>
      <c r="C746" s="142" t="s">
        <v>378</v>
      </c>
      <c r="D746" s="134">
        <v>1997</v>
      </c>
      <c r="E746" s="134" t="s">
        <v>68</v>
      </c>
      <c r="F746" s="134" t="s">
        <v>82</v>
      </c>
      <c r="G746" s="15">
        <v>3867.81</v>
      </c>
      <c r="H746" s="15">
        <v>3421.41</v>
      </c>
      <c r="I746" s="10">
        <v>129</v>
      </c>
      <c r="J746" s="15">
        <f>'Форма 2'!I2815</f>
        <v>8526153.7200000007</v>
      </c>
      <c r="K746" s="15">
        <v>0</v>
      </c>
      <c r="L746" s="15">
        <v>0</v>
      </c>
      <c r="M746" s="15">
        <v>0</v>
      </c>
      <c r="N746" s="15">
        <f t="shared" si="201"/>
        <v>8526153.7200000007</v>
      </c>
      <c r="O746" s="15">
        <v>0</v>
      </c>
      <c r="P746" s="15">
        <f t="shared" si="202"/>
        <v>2492</v>
      </c>
      <c r="Q746" s="15">
        <f>'Форма 2'!K2815</f>
        <v>2492</v>
      </c>
      <c r="R746" s="351" t="s">
        <v>381</v>
      </c>
      <c r="S746" s="153">
        <v>1</v>
      </c>
    </row>
    <row r="747" spans="1:19" s="41" customFormat="1" ht="15.75" customHeight="1" x14ac:dyDescent="0.25">
      <c r="A747" s="184" t="s">
        <v>111</v>
      </c>
      <c r="B747" s="184"/>
      <c r="C747" s="184"/>
      <c r="D747" s="134" t="s">
        <v>13</v>
      </c>
      <c r="E747" s="126" t="s">
        <v>13</v>
      </c>
      <c r="F747" s="126" t="s">
        <v>13</v>
      </c>
      <c r="G747" s="15">
        <f>SUM(G748:G755)</f>
        <v>75644</v>
      </c>
      <c r="H747" s="15">
        <f t="shared" ref="H747:O747" si="205">SUM(H748:H755)</f>
        <v>62844</v>
      </c>
      <c r="I747" s="10">
        <f t="shared" si="205"/>
        <v>2291</v>
      </c>
      <c r="J747" s="15">
        <f t="shared" si="205"/>
        <v>84111673.519999996</v>
      </c>
      <c r="K747" s="15">
        <f t="shared" si="205"/>
        <v>0</v>
      </c>
      <c r="L747" s="15">
        <f t="shared" si="205"/>
        <v>0</v>
      </c>
      <c r="M747" s="15">
        <f t="shared" si="205"/>
        <v>0</v>
      </c>
      <c r="N747" s="15">
        <f t="shared" si="205"/>
        <v>84111673.519999996</v>
      </c>
      <c r="O747" s="15">
        <f t="shared" si="205"/>
        <v>0</v>
      </c>
      <c r="P747" s="126" t="s">
        <v>13</v>
      </c>
      <c r="Q747" s="126" t="s">
        <v>13</v>
      </c>
      <c r="R747" s="126" t="s">
        <v>13</v>
      </c>
      <c r="S747" s="126" t="s">
        <v>13</v>
      </c>
    </row>
    <row r="748" spans="1:19" s="41" customFormat="1" ht="15" customHeight="1" x14ac:dyDescent="0.25">
      <c r="A748" s="126">
        <f>A746+1</f>
        <v>60</v>
      </c>
      <c r="B748" s="126">
        <v>2292</v>
      </c>
      <c r="C748" s="124" t="s">
        <v>671</v>
      </c>
      <c r="D748" s="134">
        <v>1993</v>
      </c>
      <c r="E748" s="134" t="s">
        <v>68</v>
      </c>
      <c r="F748" s="134" t="s">
        <v>82</v>
      </c>
      <c r="G748" s="15">
        <v>2801.2</v>
      </c>
      <c r="H748" s="15">
        <v>2567.1999999999998</v>
      </c>
      <c r="I748" s="10">
        <v>97</v>
      </c>
      <c r="J748" s="15">
        <f>'Форма 2'!I2818</f>
        <v>9955601.5999999996</v>
      </c>
      <c r="K748" s="15">
        <v>0</v>
      </c>
      <c r="L748" s="15">
        <v>0</v>
      </c>
      <c r="M748" s="15">
        <v>0</v>
      </c>
      <c r="N748" s="15">
        <f>J748-K748-L748-M748-O748</f>
        <v>9955601.5999999996</v>
      </c>
      <c r="O748" s="15">
        <v>0</v>
      </c>
      <c r="P748" s="15">
        <f>J748/H748</f>
        <v>3878</v>
      </c>
      <c r="Q748" s="15">
        <f>'Форма 2'!K2818</f>
        <v>3878</v>
      </c>
      <c r="R748" s="351" t="s">
        <v>381</v>
      </c>
      <c r="S748" s="153">
        <v>1</v>
      </c>
    </row>
    <row r="749" spans="1:19" s="41" customFormat="1" ht="30" customHeight="1" x14ac:dyDescent="0.25">
      <c r="A749" s="126">
        <f t="shared" ref="A749:A755" si="206">A748+1</f>
        <v>61</v>
      </c>
      <c r="B749" s="126">
        <v>2475</v>
      </c>
      <c r="C749" s="124" t="s">
        <v>672</v>
      </c>
      <c r="D749" s="134" t="s">
        <v>682</v>
      </c>
      <c r="E749" s="134" t="s">
        <v>86</v>
      </c>
      <c r="F749" s="134" t="s">
        <v>82</v>
      </c>
      <c r="G749" s="15">
        <v>20736.3</v>
      </c>
      <c r="H749" s="15">
        <v>16349</v>
      </c>
      <c r="I749" s="10">
        <v>604</v>
      </c>
      <c r="J749" s="15">
        <f>'Форма 2'!I2821</f>
        <v>6868854</v>
      </c>
      <c r="K749" s="15">
        <v>0</v>
      </c>
      <c r="L749" s="15">
        <v>0</v>
      </c>
      <c r="M749" s="15">
        <v>0</v>
      </c>
      <c r="N749" s="15">
        <f t="shared" ref="N749:N750" si="207">J749-K749-L749-M749-O749</f>
        <v>6868854</v>
      </c>
      <c r="O749" s="15">
        <v>0</v>
      </c>
      <c r="P749" s="15">
        <f t="shared" ref="P749:P750" si="208">J749/H749</f>
        <v>420.14</v>
      </c>
      <c r="Q749" s="15">
        <f>'Форма 2'!K2821</f>
        <v>420.14</v>
      </c>
      <c r="R749" s="351" t="s">
        <v>381</v>
      </c>
      <c r="S749" s="153">
        <v>1</v>
      </c>
    </row>
    <row r="750" spans="1:19" s="41" customFormat="1" ht="15" customHeight="1" x14ac:dyDescent="0.25">
      <c r="A750" s="126">
        <f t="shared" si="206"/>
        <v>62</v>
      </c>
      <c r="B750" s="126">
        <v>2243</v>
      </c>
      <c r="C750" s="124" t="s">
        <v>673</v>
      </c>
      <c r="D750" s="134">
        <v>1996</v>
      </c>
      <c r="E750" s="134" t="s">
        <v>86</v>
      </c>
      <c r="F750" s="134" t="s">
        <v>82</v>
      </c>
      <c r="G750" s="15">
        <v>13863</v>
      </c>
      <c r="H750" s="15">
        <v>13145.2</v>
      </c>
      <c r="I750" s="10">
        <v>344</v>
      </c>
      <c r="J750" s="15">
        <f>'Форма 2'!I2828</f>
        <v>13737708</v>
      </c>
      <c r="K750" s="15">
        <v>0</v>
      </c>
      <c r="L750" s="15">
        <v>0</v>
      </c>
      <c r="M750" s="15">
        <v>0</v>
      </c>
      <c r="N750" s="15">
        <f t="shared" si="207"/>
        <v>13737708</v>
      </c>
      <c r="O750" s="15">
        <v>0</v>
      </c>
      <c r="P750" s="15">
        <f t="shared" si="208"/>
        <v>1045.07</v>
      </c>
      <c r="Q750" s="15">
        <f>'Форма 2'!K2828</f>
        <v>1045.07</v>
      </c>
      <c r="R750" s="351" t="s">
        <v>381</v>
      </c>
      <c r="S750" s="153">
        <v>1</v>
      </c>
    </row>
    <row r="751" spans="1:19" s="41" customFormat="1" ht="15.75" customHeight="1" x14ac:dyDescent="0.25">
      <c r="A751" s="126">
        <f t="shared" si="206"/>
        <v>63</v>
      </c>
      <c r="B751" s="126">
        <v>2286</v>
      </c>
      <c r="C751" s="142" t="s">
        <v>220</v>
      </c>
      <c r="D751" s="134" t="s">
        <v>384</v>
      </c>
      <c r="E751" s="134" t="s">
        <v>68</v>
      </c>
      <c r="F751" s="134" t="s">
        <v>82</v>
      </c>
      <c r="G751" s="15">
        <v>22311.8</v>
      </c>
      <c r="H751" s="15">
        <v>18477.8</v>
      </c>
      <c r="I751" s="10">
        <v>698</v>
      </c>
      <c r="J751" s="15">
        <f>'Форма 2'!I2841</f>
        <v>41258864.920000002</v>
      </c>
      <c r="K751" s="15">
        <v>0</v>
      </c>
      <c r="L751" s="15">
        <v>0</v>
      </c>
      <c r="M751" s="15">
        <v>0</v>
      </c>
      <c r="N751" s="15">
        <f>J751-K751-L751-M751-O751</f>
        <v>41258864.920000002</v>
      </c>
      <c r="O751" s="15">
        <v>0</v>
      </c>
      <c r="P751" s="15">
        <f>J751/H751</f>
        <v>2232.89</v>
      </c>
      <c r="Q751" s="15">
        <f>'Форма 2'!K2841</f>
        <v>2492</v>
      </c>
      <c r="R751" s="351" t="s">
        <v>381</v>
      </c>
      <c r="S751" s="153">
        <v>1</v>
      </c>
    </row>
    <row r="752" spans="1:19" s="41" customFormat="1" ht="15" customHeight="1" x14ac:dyDescent="0.25">
      <c r="A752" s="126">
        <f t="shared" si="206"/>
        <v>64</v>
      </c>
      <c r="B752" s="126">
        <v>2397</v>
      </c>
      <c r="C752" s="124" t="s">
        <v>674</v>
      </c>
      <c r="D752" s="134">
        <v>1995</v>
      </c>
      <c r="E752" s="134" t="s">
        <v>86</v>
      </c>
      <c r="F752" s="134" t="s">
        <v>82</v>
      </c>
      <c r="G752" s="15">
        <v>4514.7</v>
      </c>
      <c r="H752" s="15">
        <v>2703.3</v>
      </c>
      <c r="I752" s="10">
        <v>135</v>
      </c>
      <c r="J752" s="15">
        <f>'Форма 2'!I2844</f>
        <v>4579236</v>
      </c>
      <c r="K752" s="15">
        <v>0</v>
      </c>
      <c r="L752" s="15">
        <v>0</v>
      </c>
      <c r="M752" s="15">
        <v>0</v>
      </c>
      <c r="N752" s="15">
        <f t="shared" ref="N752:N755" si="209">J752-K752-L752-M752-O752</f>
        <v>4579236</v>
      </c>
      <c r="O752" s="15">
        <v>0</v>
      </c>
      <c r="P752" s="15">
        <f t="shared" ref="P752:P755" si="210">J752/H752</f>
        <v>1693.94</v>
      </c>
      <c r="Q752" s="15">
        <f>'Форма 2'!K2844</f>
        <v>1693.94</v>
      </c>
      <c r="R752" s="351" t="s">
        <v>381</v>
      </c>
      <c r="S752" s="153">
        <v>1</v>
      </c>
    </row>
    <row r="753" spans="1:19" s="41" customFormat="1" ht="15" customHeight="1" x14ac:dyDescent="0.25">
      <c r="A753" s="126">
        <f t="shared" si="206"/>
        <v>65</v>
      </c>
      <c r="B753" s="126">
        <v>2379</v>
      </c>
      <c r="C753" s="124" t="s">
        <v>675</v>
      </c>
      <c r="D753" s="134">
        <v>1997</v>
      </c>
      <c r="E753" s="134" t="s">
        <v>86</v>
      </c>
      <c r="F753" s="134" t="s">
        <v>82</v>
      </c>
      <c r="G753" s="15">
        <v>8774</v>
      </c>
      <c r="H753" s="15">
        <v>7274</v>
      </c>
      <c r="I753" s="10">
        <v>209</v>
      </c>
      <c r="J753" s="15">
        <f>'Форма 2'!I2849</f>
        <v>6868854</v>
      </c>
      <c r="K753" s="15">
        <v>0</v>
      </c>
      <c r="L753" s="15">
        <v>0</v>
      </c>
      <c r="M753" s="15">
        <v>0</v>
      </c>
      <c r="N753" s="15">
        <f t="shared" si="209"/>
        <v>6868854</v>
      </c>
      <c r="O753" s="15">
        <v>0</v>
      </c>
      <c r="P753" s="15">
        <f t="shared" si="210"/>
        <v>944.3</v>
      </c>
      <c r="Q753" s="15">
        <f>'Форма 2'!K2849</f>
        <v>944.3</v>
      </c>
      <c r="R753" s="351" t="s">
        <v>381</v>
      </c>
      <c r="S753" s="153">
        <v>1</v>
      </c>
    </row>
    <row r="754" spans="1:19" s="41" customFormat="1" ht="15" customHeight="1" x14ac:dyDescent="0.25">
      <c r="A754" s="126">
        <f t="shared" si="206"/>
        <v>66</v>
      </c>
      <c r="B754" s="126">
        <v>2954</v>
      </c>
      <c r="C754" s="124" t="s">
        <v>676</v>
      </c>
      <c r="D754" s="134">
        <v>1959</v>
      </c>
      <c r="E754" s="134" t="s">
        <v>95</v>
      </c>
      <c r="F754" s="134" t="s">
        <v>82</v>
      </c>
      <c r="G754" s="15">
        <v>1298.2</v>
      </c>
      <c r="H754" s="15">
        <v>1238.2</v>
      </c>
      <c r="I754" s="10">
        <v>107</v>
      </c>
      <c r="J754" s="15">
        <f>'Форма 2'!I2856</f>
        <v>448228.4</v>
      </c>
      <c r="K754" s="15">
        <v>0</v>
      </c>
      <c r="L754" s="15">
        <v>0</v>
      </c>
      <c r="M754" s="15">
        <v>0</v>
      </c>
      <c r="N754" s="15">
        <f t="shared" si="209"/>
        <v>448228.4</v>
      </c>
      <c r="O754" s="15">
        <v>0</v>
      </c>
      <c r="P754" s="15">
        <f t="shared" si="210"/>
        <v>362</v>
      </c>
      <c r="Q754" s="15">
        <f>'Форма 2'!K2856</f>
        <v>362</v>
      </c>
      <c r="R754" s="351" t="s">
        <v>381</v>
      </c>
      <c r="S754" s="153">
        <v>1</v>
      </c>
    </row>
    <row r="755" spans="1:19" s="41" customFormat="1" ht="15" customHeight="1" x14ac:dyDescent="0.25">
      <c r="A755" s="126">
        <f t="shared" si="206"/>
        <v>67</v>
      </c>
      <c r="B755" s="126">
        <v>2955</v>
      </c>
      <c r="C755" s="124" t="s">
        <v>677</v>
      </c>
      <c r="D755" s="134">
        <v>1960</v>
      </c>
      <c r="E755" s="134" t="s">
        <v>95</v>
      </c>
      <c r="F755" s="134" t="s">
        <v>82</v>
      </c>
      <c r="G755" s="15">
        <v>1344.8</v>
      </c>
      <c r="H755" s="15">
        <v>1089.3</v>
      </c>
      <c r="I755" s="10">
        <v>97</v>
      </c>
      <c r="J755" s="15">
        <f>'Форма 2'!I2859</f>
        <v>394326.6</v>
      </c>
      <c r="K755" s="15">
        <v>0</v>
      </c>
      <c r="L755" s="15">
        <v>0</v>
      </c>
      <c r="M755" s="15">
        <v>0</v>
      </c>
      <c r="N755" s="15">
        <f t="shared" si="209"/>
        <v>394326.6</v>
      </c>
      <c r="O755" s="15">
        <v>0</v>
      </c>
      <c r="P755" s="15">
        <f t="shared" si="210"/>
        <v>362</v>
      </c>
      <c r="Q755" s="15">
        <f>'Форма 2'!K2859</f>
        <v>362</v>
      </c>
      <c r="R755" s="351" t="s">
        <v>381</v>
      </c>
      <c r="S755" s="153">
        <v>1</v>
      </c>
    </row>
    <row r="756" spans="1:19" ht="15.75" customHeight="1" x14ac:dyDescent="0.25">
      <c r="A756" s="175" t="s">
        <v>31</v>
      </c>
      <c r="B756" s="175"/>
      <c r="C756" s="175"/>
      <c r="D756" s="5" t="s">
        <v>13</v>
      </c>
      <c r="E756" s="15" t="s">
        <v>13</v>
      </c>
      <c r="F756" s="15" t="s">
        <v>13</v>
      </c>
      <c r="G756" s="15">
        <f>SUM(G757:G758)</f>
        <v>1553.3</v>
      </c>
      <c r="H756" s="15">
        <f t="shared" ref="H756:O756" si="211">SUM(H757:H758)</f>
        <v>1102.8</v>
      </c>
      <c r="I756" s="10">
        <f t="shared" si="211"/>
        <v>51</v>
      </c>
      <c r="J756" s="15">
        <f t="shared" si="211"/>
        <v>3216795.3</v>
      </c>
      <c r="K756" s="15">
        <f t="shared" si="211"/>
        <v>0</v>
      </c>
      <c r="L756" s="15">
        <f t="shared" si="211"/>
        <v>0</v>
      </c>
      <c r="M756" s="15">
        <f t="shared" si="211"/>
        <v>0</v>
      </c>
      <c r="N756" s="15">
        <f t="shared" si="211"/>
        <v>3216795.3</v>
      </c>
      <c r="O756" s="15">
        <f t="shared" si="211"/>
        <v>0</v>
      </c>
      <c r="P756" s="15" t="s">
        <v>13</v>
      </c>
      <c r="Q756" s="15" t="s">
        <v>13</v>
      </c>
      <c r="R756" s="15" t="s">
        <v>13</v>
      </c>
      <c r="S756" s="126" t="s">
        <v>13</v>
      </c>
    </row>
    <row r="757" spans="1:19" ht="15.75" customHeight="1" x14ac:dyDescent="0.25">
      <c r="A757" s="22">
        <v>1</v>
      </c>
      <c r="B757" s="22">
        <v>8047</v>
      </c>
      <c r="C757" s="340" t="s">
        <v>440</v>
      </c>
      <c r="D757" s="126">
        <v>1964</v>
      </c>
      <c r="E757" s="126" t="s">
        <v>68</v>
      </c>
      <c r="F757" s="126" t="s">
        <v>82</v>
      </c>
      <c r="G757" s="15">
        <v>410.7</v>
      </c>
      <c r="H757" s="15">
        <v>395.7</v>
      </c>
      <c r="I757" s="10">
        <v>12</v>
      </c>
      <c r="J757" s="15">
        <f>'Форма 2'!I2863</f>
        <v>3042141.6</v>
      </c>
      <c r="K757" s="15">
        <v>0</v>
      </c>
      <c r="L757" s="15">
        <v>0</v>
      </c>
      <c r="M757" s="15">
        <v>0</v>
      </c>
      <c r="N757" s="15">
        <f>J757-O757</f>
        <v>3042141.6</v>
      </c>
      <c r="O757" s="15">
        <v>0</v>
      </c>
      <c r="P757" s="15">
        <f>J757/H757</f>
        <v>7688</v>
      </c>
      <c r="Q757" s="15">
        <f>'Форма 2'!K2863</f>
        <v>7688</v>
      </c>
      <c r="R757" s="18">
        <v>2022</v>
      </c>
      <c r="S757" s="153">
        <v>1</v>
      </c>
    </row>
    <row r="758" spans="1:19" ht="15.75" customHeight="1" x14ac:dyDescent="0.25">
      <c r="A758" s="22">
        <f>A757+1</f>
        <v>2</v>
      </c>
      <c r="B758" s="22">
        <v>4847</v>
      </c>
      <c r="C758" s="340" t="s">
        <v>569</v>
      </c>
      <c r="D758" s="126">
        <v>1982</v>
      </c>
      <c r="E758" s="126" t="s">
        <v>68</v>
      </c>
      <c r="F758" s="126" t="s">
        <v>81</v>
      </c>
      <c r="G758" s="15">
        <v>1142.5999999999999</v>
      </c>
      <c r="H758" s="15">
        <v>707.1</v>
      </c>
      <c r="I758" s="10">
        <v>39</v>
      </c>
      <c r="J758" s="15">
        <f>'Форма 2'!I2866</f>
        <v>174653.7</v>
      </c>
      <c r="K758" s="15">
        <v>0</v>
      </c>
      <c r="L758" s="15">
        <v>0</v>
      </c>
      <c r="M758" s="15">
        <v>0</v>
      </c>
      <c r="N758" s="15">
        <f>J758-O758</f>
        <v>174653.7</v>
      </c>
      <c r="O758" s="15">
        <v>0</v>
      </c>
      <c r="P758" s="15">
        <f>J758/H758</f>
        <v>247</v>
      </c>
      <c r="Q758" s="15">
        <f>'Форма 2'!K2866</f>
        <v>247</v>
      </c>
      <c r="R758" s="18">
        <v>2022</v>
      </c>
      <c r="S758" s="153">
        <v>1</v>
      </c>
    </row>
    <row r="759" spans="1:19" ht="15.75" customHeight="1" x14ac:dyDescent="0.25">
      <c r="A759" s="195" t="s">
        <v>32</v>
      </c>
      <c r="B759" s="195"/>
      <c r="C759" s="195"/>
      <c r="D759" s="126" t="s">
        <v>13</v>
      </c>
      <c r="E759" s="126" t="s">
        <v>13</v>
      </c>
      <c r="F759" s="126" t="s">
        <v>13</v>
      </c>
      <c r="G759" s="25">
        <f t="shared" ref="G759:O759" si="212">SUM(G760:G760)</f>
        <v>585.54</v>
      </c>
      <c r="H759" s="25">
        <f t="shared" si="212"/>
        <v>519.54</v>
      </c>
      <c r="I759" s="33">
        <f t="shared" si="212"/>
        <v>19</v>
      </c>
      <c r="J759" s="25">
        <f t="shared" si="212"/>
        <v>3010058.9</v>
      </c>
      <c r="K759" s="25">
        <f t="shared" si="212"/>
        <v>0</v>
      </c>
      <c r="L759" s="25">
        <f t="shared" si="212"/>
        <v>0</v>
      </c>
      <c r="M759" s="25">
        <f t="shared" si="212"/>
        <v>0</v>
      </c>
      <c r="N759" s="25">
        <f t="shared" si="212"/>
        <v>3010058.9</v>
      </c>
      <c r="O759" s="25">
        <f t="shared" si="212"/>
        <v>0</v>
      </c>
      <c r="P759" s="15" t="s">
        <v>13</v>
      </c>
      <c r="Q759" s="15" t="s">
        <v>13</v>
      </c>
      <c r="R759" s="15" t="s">
        <v>13</v>
      </c>
      <c r="S759" s="10" t="s">
        <v>13</v>
      </c>
    </row>
    <row r="760" spans="1:19" ht="15.75" customHeight="1" x14ac:dyDescent="0.25">
      <c r="A760" s="113">
        <v>1</v>
      </c>
      <c r="B760" s="131">
        <v>7317</v>
      </c>
      <c r="C760" s="150" t="s">
        <v>505</v>
      </c>
      <c r="D760" s="22">
        <v>1969</v>
      </c>
      <c r="E760" s="22" t="s">
        <v>68</v>
      </c>
      <c r="F760" s="22" t="s">
        <v>114</v>
      </c>
      <c r="G760" s="25">
        <v>585.54</v>
      </c>
      <c r="H760" s="25">
        <v>519.54</v>
      </c>
      <c r="I760" s="33">
        <v>19</v>
      </c>
      <c r="J760" s="25">
        <f>'Форма 2'!I2869</f>
        <v>3010058.9</v>
      </c>
      <c r="K760" s="25">
        <v>0</v>
      </c>
      <c r="L760" s="25">
        <v>0</v>
      </c>
      <c r="M760" s="25">
        <v>0</v>
      </c>
      <c r="N760" s="25">
        <f>J760-K760-L760-M760-O760</f>
        <v>3010058.9</v>
      </c>
      <c r="O760" s="25">
        <v>0</v>
      </c>
      <c r="P760" s="15">
        <f>J760/H760</f>
        <v>5793.7</v>
      </c>
      <c r="Q760" s="15">
        <f>'Форма 2'!K2869</f>
        <v>8203</v>
      </c>
      <c r="R760" s="351" t="s">
        <v>381</v>
      </c>
      <c r="S760" s="10">
        <v>1</v>
      </c>
    </row>
    <row r="761" spans="1:19" ht="15.75" customHeight="1" x14ac:dyDescent="0.25">
      <c r="A761" s="194" t="s">
        <v>34</v>
      </c>
      <c r="B761" s="194"/>
      <c r="C761" s="194"/>
      <c r="D761" s="5" t="s">
        <v>13</v>
      </c>
      <c r="E761" s="15" t="s">
        <v>13</v>
      </c>
      <c r="F761" s="15" t="s">
        <v>13</v>
      </c>
      <c r="G761" s="25">
        <f t="shared" ref="G761:O761" si="213">SUM(G762:G762)</f>
        <v>319.5</v>
      </c>
      <c r="H761" s="25">
        <f t="shared" si="213"/>
        <v>291.3</v>
      </c>
      <c r="I761" s="33">
        <f t="shared" si="213"/>
        <v>11</v>
      </c>
      <c r="J761" s="25">
        <f t="shared" si="213"/>
        <v>1018676.1</v>
      </c>
      <c r="K761" s="25">
        <f t="shared" si="213"/>
        <v>0</v>
      </c>
      <c r="L761" s="25">
        <f t="shared" si="213"/>
        <v>0</v>
      </c>
      <c r="M761" s="25">
        <f t="shared" si="213"/>
        <v>0</v>
      </c>
      <c r="N761" s="25">
        <f t="shared" si="213"/>
        <v>1018676.1</v>
      </c>
      <c r="O761" s="25">
        <f t="shared" si="213"/>
        <v>0</v>
      </c>
      <c r="P761" s="15" t="s">
        <v>13</v>
      </c>
      <c r="Q761" s="15" t="s">
        <v>13</v>
      </c>
      <c r="R761" s="15" t="s">
        <v>13</v>
      </c>
      <c r="S761" s="10" t="s">
        <v>13</v>
      </c>
    </row>
    <row r="762" spans="1:19" ht="15.75" customHeight="1" x14ac:dyDescent="0.25">
      <c r="A762" s="21">
        <v>1</v>
      </c>
      <c r="B762" s="21">
        <v>6732</v>
      </c>
      <c r="C762" s="142" t="s">
        <v>294</v>
      </c>
      <c r="D762" s="134">
        <v>1967</v>
      </c>
      <c r="E762" s="134" t="s">
        <v>230</v>
      </c>
      <c r="F762" s="134" t="s">
        <v>296</v>
      </c>
      <c r="G762" s="354">
        <v>319.5</v>
      </c>
      <c r="H762" s="135">
        <v>291.3</v>
      </c>
      <c r="I762" s="138">
        <v>11</v>
      </c>
      <c r="J762" s="15">
        <f>'Форма 2'!I2873</f>
        <v>1018676.1</v>
      </c>
      <c r="K762" s="15">
        <v>0</v>
      </c>
      <c r="L762" s="15">
        <v>0</v>
      </c>
      <c r="M762" s="15">
        <v>0</v>
      </c>
      <c r="N762" s="15">
        <f>J762-O762</f>
        <v>1018676.1</v>
      </c>
      <c r="O762" s="15">
        <v>0</v>
      </c>
      <c r="P762" s="15">
        <f>J762/H762</f>
        <v>3497</v>
      </c>
      <c r="Q762" s="15">
        <f>'Форма 2'!K2873</f>
        <v>3497</v>
      </c>
      <c r="R762" s="353">
        <v>2022</v>
      </c>
      <c r="S762" s="153">
        <v>1</v>
      </c>
    </row>
    <row r="763" spans="1:19" ht="15.75" customHeight="1" x14ac:dyDescent="0.25">
      <c r="A763" s="196" t="s">
        <v>35</v>
      </c>
      <c r="B763" s="197"/>
      <c r="C763" s="198"/>
      <c r="D763" s="22" t="s">
        <v>13</v>
      </c>
      <c r="E763" s="22" t="s">
        <v>13</v>
      </c>
      <c r="F763" s="22" t="s">
        <v>13</v>
      </c>
      <c r="G763" s="25">
        <f>SUM(G764:G777)</f>
        <v>8126.2</v>
      </c>
      <c r="H763" s="25">
        <f t="shared" ref="H763:O763" si="214">SUM(H764:H777)</f>
        <v>7327.8</v>
      </c>
      <c r="I763" s="33">
        <f t="shared" si="214"/>
        <v>294</v>
      </c>
      <c r="J763" s="25">
        <f t="shared" si="214"/>
        <v>54242460.200000003</v>
      </c>
      <c r="K763" s="25">
        <f t="shared" si="214"/>
        <v>0</v>
      </c>
      <c r="L763" s="25">
        <f t="shared" si="214"/>
        <v>0</v>
      </c>
      <c r="M763" s="25">
        <f t="shared" si="214"/>
        <v>0</v>
      </c>
      <c r="N763" s="25">
        <f t="shared" si="214"/>
        <v>54242460.200000003</v>
      </c>
      <c r="O763" s="25">
        <f t="shared" si="214"/>
        <v>0</v>
      </c>
      <c r="P763" s="15" t="s">
        <v>13</v>
      </c>
      <c r="Q763" s="15" t="s">
        <v>13</v>
      </c>
      <c r="R763" s="15" t="s">
        <v>13</v>
      </c>
      <c r="S763" s="153" t="s">
        <v>13</v>
      </c>
    </row>
    <row r="764" spans="1:19" ht="15.75" customHeight="1" x14ac:dyDescent="0.25">
      <c r="A764" s="113">
        <v>1</v>
      </c>
      <c r="B764" s="137">
        <v>5379</v>
      </c>
      <c r="C764" s="150" t="s">
        <v>535</v>
      </c>
      <c r="D764" s="22">
        <v>1966</v>
      </c>
      <c r="E764" s="22" t="s">
        <v>158</v>
      </c>
      <c r="F764" s="22" t="s">
        <v>82</v>
      </c>
      <c r="G764" s="25">
        <v>369.2</v>
      </c>
      <c r="H764" s="25">
        <v>327.39999999999998</v>
      </c>
      <c r="I764" s="33">
        <v>10</v>
      </c>
      <c r="J764" s="25">
        <f>'Форма 2'!I2879</f>
        <v>1198611.3999999999</v>
      </c>
      <c r="K764" s="25">
        <v>0</v>
      </c>
      <c r="L764" s="25">
        <v>0</v>
      </c>
      <c r="M764" s="25">
        <v>0</v>
      </c>
      <c r="N764" s="15">
        <f t="shared" ref="N764:N777" si="215">J764-K764-L764-M764-O764</f>
        <v>1198611.3999999999</v>
      </c>
      <c r="O764" s="25">
        <v>0</v>
      </c>
      <c r="P764" s="15">
        <f t="shared" ref="P764:P777" si="216">J764/H764</f>
        <v>3661</v>
      </c>
      <c r="Q764" s="15">
        <f>'Форма 2'!K2879</f>
        <v>3661</v>
      </c>
      <c r="R764" s="18">
        <v>2022</v>
      </c>
      <c r="S764" s="153">
        <v>1</v>
      </c>
    </row>
    <row r="765" spans="1:19" ht="15.75" customHeight="1" x14ac:dyDescent="0.25">
      <c r="A765" s="113">
        <f t="shared" ref="A765:A777" si="217">A764+1</f>
        <v>2</v>
      </c>
      <c r="B765" s="137">
        <v>5584</v>
      </c>
      <c r="C765" s="157" t="s">
        <v>536</v>
      </c>
      <c r="D765" s="22">
        <v>1964</v>
      </c>
      <c r="E765" s="22" t="s">
        <v>68</v>
      </c>
      <c r="F765" s="22" t="s">
        <v>82</v>
      </c>
      <c r="G765" s="25">
        <v>313.7</v>
      </c>
      <c r="H765" s="25">
        <v>293.39999999999998</v>
      </c>
      <c r="I765" s="33">
        <v>16</v>
      </c>
      <c r="J765" s="25">
        <f>'Форма 2'!I2884</f>
        <v>2406760.2000000002</v>
      </c>
      <c r="K765" s="25">
        <v>0</v>
      </c>
      <c r="L765" s="25">
        <v>0</v>
      </c>
      <c r="M765" s="25">
        <v>0</v>
      </c>
      <c r="N765" s="15">
        <f t="shared" si="215"/>
        <v>2406760.2000000002</v>
      </c>
      <c r="O765" s="25">
        <v>0</v>
      </c>
      <c r="P765" s="15">
        <f t="shared" si="216"/>
        <v>8203</v>
      </c>
      <c r="Q765" s="15">
        <f>'Форма 2'!K2884</f>
        <v>8203</v>
      </c>
      <c r="R765" s="18">
        <v>2022</v>
      </c>
      <c r="S765" s="153">
        <v>1</v>
      </c>
    </row>
    <row r="766" spans="1:19" ht="15.75" customHeight="1" x14ac:dyDescent="0.25">
      <c r="A766" s="113">
        <f t="shared" si="217"/>
        <v>3</v>
      </c>
      <c r="B766" s="137">
        <v>5406</v>
      </c>
      <c r="C766" s="157" t="s">
        <v>510</v>
      </c>
      <c r="D766" s="22">
        <v>1963</v>
      </c>
      <c r="E766" s="22" t="s">
        <v>112</v>
      </c>
      <c r="F766" s="22" t="s">
        <v>82</v>
      </c>
      <c r="G766" s="25">
        <v>407.4</v>
      </c>
      <c r="H766" s="25">
        <v>380.2</v>
      </c>
      <c r="I766" s="33">
        <v>11</v>
      </c>
      <c r="J766" s="25">
        <f>'Форма 2'!I2887</f>
        <v>3971949.4</v>
      </c>
      <c r="K766" s="25">
        <v>0</v>
      </c>
      <c r="L766" s="25">
        <v>0</v>
      </c>
      <c r="M766" s="25">
        <v>0</v>
      </c>
      <c r="N766" s="15">
        <f>J766-K766-L766-M766-O766</f>
        <v>3971949.4</v>
      </c>
      <c r="O766" s="25">
        <v>0</v>
      </c>
      <c r="P766" s="15">
        <f>J766/H766</f>
        <v>10447</v>
      </c>
      <c r="Q766" s="15">
        <f>'Форма 2'!K2887</f>
        <v>10447</v>
      </c>
      <c r="R766" s="18">
        <v>2022</v>
      </c>
      <c r="S766" s="153">
        <v>1</v>
      </c>
    </row>
    <row r="767" spans="1:19" ht="15.75" customHeight="1" x14ac:dyDescent="0.25">
      <c r="A767" s="113">
        <f t="shared" si="217"/>
        <v>4</v>
      </c>
      <c r="B767" s="137">
        <v>5590</v>
      </c>
      <c r="C767" s="157" t="s">
        <v>511</v>
      </c>
      <c r="D767" s="22">
        <v>1963</v>
      </c>
      <c r="E767" s="22" t="s">
        <v>68</v>
      </c>
      <c r="F767" s="22" t="s">
        <v>82</v>
      </c>
      <c r="G767" s="25">
        <v>615.79999999999995</v>
      </c>
      <c r="H767" s="25">
        <v>542.9</v>
      </c>
      <c r="I767" s="33">
        <v>19</v>
      </c>
      <c r="J767" s="25">
        <f>'Форма 2'!I2892</f>
        <v>4453408.7</v>
      </c>
      <c r="K767" s="25">
        <v>0</v>
      </c>
      <c r="L767" s="25">
        <v>0</v>
      </c>
      <c r="M767" s="25">
        <v>0</v>
      </c>
      <c r="N767" s="15">
        <f>J767-K767-L767-M767-O767</f>
        <v>4453408.7</v>
      </c>
      <c r="O767" s="25">
        <v>0</v>
      </c>
      <c r="P767" s="15">
        <f>J767/H767</f>
        <v>8203</v>
      </c>
      <c r="Q767" s="15">
        <f>'Форма 2'!K2892</f>
        <v>8203</v>
      </c>
      <c r="R767" s="18">
        <v>2022</v>
      </c>
      <c r="S767" s="153">
        <v>1</v>
      </c>
    </row>
    <row r="768" spans="1:19" ht="15.75" customHeight="1" x14ac:dyDescent="0.25">
      <c r="A768" s="113">
        <f t="shared" si="217"/>
        <v>5</v>
      </c>
      <c r="B768" s="137">
        <v>5608</v>
      </c>
      <c r="C768" s="157" t="s">
        <v>542</v>
      </c>
      <c r="D768" s="22">
        <v>1970</v>
      </c>
      <c r="E768" s="22" t="s">
        <v>68</v>
      </c>
      <c r="F768" s="22" t="s">
        <v>82</v>
      </c>
      <c r="G768" s="25">
        <v>725</v>
      </c>
      <c r="H768" s="25">
        <v>689.9</v>
      </c>
      <c r="I768" s="33">
        <v>22</v>
      </c>
      <c r="J768" s="25">
        <f>'Форма 2'!I2895</f>
        <v>5659249.7000000002</v>
      </c>
      <c r="K768" s="25">
        <v>0</v>
      </c>
      <c r="L768" s="25">
        <v>0</v>
      </c>
      <c r="M768" s="25">
        <v>0</v>
      </c>
      <c r="N768" s="15">
        <f t="shared" si="215"/>
        <v>5659249.7000000002</v>
      </c>
      <c r="O768" s="15">
        <v>0</v>
      </c>
      <c r="P768" s="15">
        <f t="shared" si="216"/>
        <v>8203</v>
      </c>
      <c r="Q768" s="15">
        <f>'Форма 2'!K2895</f>
        <v>8203</v>
      </c>
      <c r="R768" s="18">
        <v>2022</v>
      </c>
      <c r="S768" s="153">
        <v>1</v>
      </c>
    </row>
    <row r="769" spans="1:19" ht="15.75" customHeight="1" x14ac:dyDescent="0.25">
      <c r="A769" s="113">
        <f t="shared" si="217"/>
        <v>6</v>
      </c>
      <c r="B769" s="22">
        <v>5627</v>
      </c>
      <c r="C769" s="157" t="s">
        <v>537</v>
      </c>
      <c r="D769" s="22">
        <v>1962</v>
      </c>
      <c r="E769" s="137" t="s">
        <v>68</v>
      </c>
      <c r="F769" s="137" t="s">
        <v>82</v>
      </c>
      <c r="G769" s="25">
        <v>755.5</v>
      </c>
      <c r="H769" s="15">
        <v>695.7</v>
      </c>
      <c r="I769" s="28">
        <v>27</v>
      </c>
      <c r="J769" s="15">
        <f>'Форма 2'!I2898</f>
        <v>5706827.0999999996</v>
      </c>
      <c r="K769" s="15">
        <v>0</v>
      </c>
      <c r="L769" s="15">
        <v>0</v>
      </c>
      <c r="M769" s="15">
        <v>0</v>
      </c>
      <c r="N769" s="15">
        <f t="shared" si="215"/>
        <v>5706827.0999999996</v>
      </c>
      <c r="O769" s="15">
        <v>0</v>
      </c>
      <c r="P769" s="15">
        <f t="shared" si="216"/>
        <v>8203</v>
      </c>
      <c r="Q769" s="15">
        <f>'Форма 2'!K2898</f>
        <v>8203</v>
      </c>
      <c r="R769" s="18">
        <v>2022</v>
      </c>
      <c r="S769" s="153">
        <v>1</v>
      </c>
    </row>
    <row r="770" spans="1:19" ht="15.75" customHeight="1" x14ac:dyDescent="0.25">
      <c r="A770" s="113">
        <f t="shared" si="217"/>
        <v>7</v>
      </c>
      <c r="B770" s="27">
        <v>5495</v>
      </c>
      <c r="C770" s="157" t="s">
        <v>543</v>
      </c>
      <c r="D770" s="22">
        <v>1970</v>
      </c>
      <c r="E770" s="137" t="s">
        <v>68</v>
      </c>
      <c r="F770" s="137" t="s">
        <v>82</v>
      </c>
      <c r="G770" s="25">
        <v>1580.9</v>
      </c>
      <c r="H770" s="15">
        <v>1511.2</v>
      </c>
      <c r="I770" s="28">
        <v>51</v>
      </c>
      <c r="J770" s="15">
        <f>'Форма 2'!I2901</f>
        <v>8804251.1999999993</v>
      </c>
      <c r="K770" s="15">
        <v>0</v>
      </c>
      <c r="L770" s="15">
        <v>0</v>
      </c>
      <c r="M770" s="15">
        <v>0</v>
      </c>
      <c r="N770" s="15">
        <f t="shared" si="215"/>
        <v>8804251.1999999993</v>
      </c>
      <c r="O770" s="15">
        <v>0</v>
      </c>
      <c r="P770" s="15">
        <f t="shared" si="216"/>
        <v>5826</v>
      </c>
      <c r="Q770" s="15">
        <f>'Форма 2'!K2901</f>
        <v>5826</v>
      </c>
      <c r="R770" s="18">
        <v>2022</v>
      </c>
      <c r="S770" s="153">
        <v>1</v>
      </c>
    </row>
    <row r="771" spans="1:19" ht="15.75" customHeight="1" x14ac:dyDescent="0.25">
      <c r="A771" s="22">
        <f t="shared" si="217"/>
        <v>8</v>
      </c>
      <c r="B771" s="22">
        <v>5474</v>
      </c>
      <c r="C771" s="150" t="s">
        <v>517</v>
      </c>
      <c r="D771" s="22">
        <v>1963</v>
      </c>
      <c r="E771" s="137" t="s">
        <v>68</v>
      </c>
      <c r="F771" s="137" t="s">
        <v>82</v>
      </c>
      <c r="G771" s="25">
        <v>983</v>
      </c>
      <c r="H771" s="15">
        <v>751.5</v>
      </c>
      <c r="I771" s="26">
        <v>37</v>
      </c>
      <c r="J771" s="15">
        <f>'Форма 2'!I2904</f>
        <v>6164554.5</v>
      </c>
      <c r="K771" s="15">
        <v>0</v>
      </c>
      <c r="L771" s="15">
        <v>0</v>
      </c>
      <c r="M771" s="15">
        <v>0</v>
      </c>
      <c r="N771" s="15">
        <f>J771-K771-L771-M771-O771</f>
        <v>6164554.5</v>
      </c>
      <c r="O771" s="15">
        <v>0</v>
      </c>
      <c r="P771" s="15">
        <f>J771/H771</f>
        <v>8203</v>
      </c>
      <c r="Q771" s="15">
        <f>'Форма 2'!K2904</f>
        <v>8203</v>
      </c>
      <c r="R771" s="18">
        <v>2022</v>
      </c>
      <c r="S771" s="153">
        <v>1</v>
      </c>
    </row>
    <row r="772" spans="1:19" ht="15.75" customHeight="1" x14ac:dyDescent="0.25">
      <c r="A772" s="22">
        <f t="shared" si="217"/>
        <v>9</v>
      </c>
      <c r="B772" s="27">
        <v>5483</v>
      </c>
      <c r="C772" s="150" t="s">
        <v>522</v>
      </c>
      <c r="D772" s="22">
        <v>1960</v>
      </c>
      <c r="E772" s="137" t="s">
        <v>68</v>
      </c>
      <c r="F772" s="137" t="s">
        <v>82</v>
      </c>
      <c r="G772" s="25">
        <v>354</v>
      </c>
      <c r="H772" s="15">
        <v>323</v>
      </c>
      <c r="I772" s="30">
        <v>13</v>
      </c>
      <c r="J772" s="15">
        <f>'Форма 2'!I2907</f>
        <v>2649569</v>
      </c>
      <c r="K772" s="15">
        <v>0</v>
      </c>
      <c r="L772" s="15">
        <v>0</v>
      </c>
      <c r="M772" s="15">
        <v>0</v>
      </c>
      <c r="N772" s="15">
        <f>J772-K772-L772-M772-O772</f>
        <v>2649569</v>
      </c>
      <c r="O772" s="15">
        <v>0</v>
      </c>
      <c r="P772" s="15">
        <f>J772/H772</f>
        <v>8203</v>
      </c>
      <c r="Q772" s="15">
        <f>'Форма 2'!K2907</f>
        <v>8203</v>
      </c>
      <c r="R772" s="18">
        <v>2022</v>
      </c>
      <c r="S772" s="153">
        <v>1</v>
      </c>
    </row>
    <row r="773" spans="1:19" ht="15.75" customHeight="1" x14ac:dyDescent="0.25">
      <c r="A773" s="22">
        <f t="shared" si="217"/>
        <v>10</v>
      </c>
      <c r="B773" s="27">
        <v>5716</v>
      </c>
      <c r="C773" s="150" t="s">
        <v>538</v>
      </c>
      <c r="D773" s="22">
        <v>1965</v>
      </c>
      <c r="E773" s="137" t="s">
        <v>68</v>
      </c>
      <c r="F773" s="137" t="s">
        <v>82</v>
      </c>
      <c r="G773" s="25">
        <v>432.7</v>
      </c>
      <c r="H773" s="15">
        <v>380.8</v>
      </c>
      <c r="I773" s="33">
        <v>12</v>
      </c>
      <c r="J773" s="15">
        <f>'Форма 2'!I2910</f>
        <v>3123702.4</v>
      </c>
      <c r="K773" s="15">
        <v>0</v>
      </c>
      <c r="L773" s="15">
        <v>0</v>
      </c>
      <c r="M773" s="15">
        <v>0</v>
      </c>
      <c r="N773" s="15">
        <f t="shared" si="215"/>
        <v>3123702.4</v>
      </c>
      <c r="O773" s="25">
        <v>0</v>
      </c>
      <c r="P773" s="15">
        <f t="shared" si="216"/>
        <v>8203</v>
      </c>
      <c r="Q773" s="15">
        <f>'Форма 2'!K2910</f>
        <v>8203</v>
      </c>
      <c r="R773" s="18">
        <v>2022</v>
      </c>
      <c r="S773" s="153">
        <v>1</v>
      </c>
    </row>
    <row r="774" spans="1:19" ht="15.75" customHeight="1" x14ac:dyDescent="0.25">
      <c r="A774" s="22">
        <f t="shared" si="217"/>
        <v>11</v>
      </c>
      <c r="B774" s="27">
        <v>5718</v>
      </c>
      <c r="C774" s="150" t="s">
        <v>539</v>
      </c>
      <c r="D774" s="22">
        <v>1967</v>
      </c>
      <c r="E774" s="137" t="s">
        <v>68</v>
      </c>
      <c r="F774" s="137" t="s">
        <v>82</v>
      </c>
      <c r="G774" s="25">
        <v>412.1</v>
      </c>
      <c r="H774" s="15">
        <v>376.5</v>
      </c>
      <c r="I774" s="33">
        <v>15</v>
      </c>
      <c r="J774" s="15">
        <f>'Форма 2'!I2913</f>
        <v>3088429.5</v>
      </c>
      <c r="K774" s="15">
        <v>0</v>
      </c>
      <c r="L774" s="15">
        <v>0</v>
      </c>
      <c r="M774" s="15">
        <v>0</v>
      </c>
      <c r="N774" s="15">
        <f t="shared" si="215"/>
        <v>3088429.5</v>
      </c>
      <c r="O774" s="15">
        <v>0</v>
      </c>
      <c r="P774" s="15">
        <f t="shared" si="216"/>
        <v>8203</v>
      </c>
      <c r="Q774" s="15">
        <f>'Форма 2'!K2913</f>
        <v>8203</v>
      </c>
      <c r="R774" s="18">
        <v>2022</v>
      </c>
      <c r="S774" s="153">
        <v>1</v>
      </c>
    </row>
    <row r="775" spans="1:19" ht="15.75" customHeight="1" x14ac:dyDescent="0.25">
      <c r="A775" s="22">
        <f t="shared" si="217"/>
        <v>12</v>
      </c>
      <c r="B775" s="27">
        <v>5795</v>
      </c>
      <c r="C775" s="150" t="s">
        <v>540</v>
      </c>
      <c r="D775" s="22">
        <v>1969</v>
      </c>
      <c r="E775" s="137" t="s">
        <v>68</v>
      </c>
      <c r="F775" s="137" t="s">
        <v>82</v>
      </c>
      <c r="G775" s="25">
        <v>380</v>
      </c>
      <c r="H775" s="15">
        <v>340</v>
      </c>
      <c r="I775" s="33">
        <v>30</v>
      </c>
      <c r="J775" s="15">
        <f>'Форма 2'!I2916</f>
        <v>2789020</v>
      </c>
      <c r="K775" s="15">
        <v>0</v>
      </c>
      <c r="L775" s="15">
        <v>0</v>
      </c>
      <c r="M775" s="15">
        <v>0</v>
      </c>
      <c r="N775" s="15">
        <f t="shared" si="215"/>
        <v>2789020</v>
      </c>
      <c r="O775" s="15">
        <v>0</v>
      </c>
      <c r="P775" s="15">
        <f t="shared" si="216"/>
        <v>8203</v>
      </c>
      <c r="Q775" s="15">
        <f>'Форма 2'!K2916</f>
        <v>8203</v>
      </c>
      <c r="R775" s="18">
        <v>2022</v>
      </c>
      <c r="S775" s="153">
        <v>1</v>
      </c>
    </row>
    <row r="776" spans="1:19" ht="15.75" customHeight="1" x14ac:dyDescent="0.25">
      <c r="A776" s="22">
        <f t="shared" si="217"/>
        <v>13</v>
      </c>
      <c r="B776" s="22">
        <v>5797</v>
      </c>
      <c r="C776" s="150" t="s">
        <v>514</v>
      </c>
      <c r="D776" s="22">
        <v>1965</v>
      </c>
      <c r="E776" s="137" t="s">
        <v>68</v>
      </c>
      <c r="F776" s="137" t="s">
        <v>82</v>
      </c>
      <c r="G776" s="25">
        <v>399.5</v>
      </c>
      <c r="H776" s="15">
        <v>353.9</v>
      </c>
      <c r="I776" s="28">
        <v>22</v>
      </c>
      <c r="J776" s="15">
        <f>'Форма 2'!I2919</f>
        <v>2903041.7</v>
      </c>
      <c r="K776" s="15">
        <v>0</v>
      </c>
      <c r="L776" s="15">
        <v>0</v>
      </c>
      <c r="M776" s="15">
        <v>0</v>
      </c>
      <c r="N776" s="15">
        <f>J776-K776-L776-M776-O776</f>
        <v>2903041.7</v>
      </c>
      <c r="O776" s="15">
        <v>0</v>
      </c>
      <c r="P776" s="15">
        <f>J776/H776</f>
        <v>8203</v>
      </c>
      <c r="Q776" s="15">
        <f>'Форма 2'!K2919</f>
        <v>8203</v>
      </c>
      <c r="R776" s="18">
        <v>2022</v>
      </c>
      <c r="S776" s="153">
        <v>1</v>
      </c>
    </row>
    <row r="777" spans="1:19" ht="15.75" customHeight="1" x14ac:dyDescent="0.25">
      <c r="A777" s="22">
        <f t="shared" si="217"/>
        <v>14</v>
      </c>
      <c r="B777" s="24">
        <v>5734</v>
      </c>
      <c r="C777" s="150" t="s">
        <v>541</v>
      </c>
      <c r="D777" s="22">
        <v>1965</v>
      </c>
      <c r="E777" s="137" t="s">
        <v>158</v>
      </c>
      <c r="F777" s="137" t="s">
        <v>82</v>
      </c>
      <c r="G777" s="25">
        <v>397.4</v>
      </c>
      <c r="H777" s="15">
        <v>361.4</v>
      </c>
      <c r="I777" s="28">
        <v>9</v>
      </c>
      <c r="J777" s="15">
        <f>'Форма 2'!I2922</f>
        <v>1323085.3999999999</v>
      </c>
      <c r="K777" s="15">
        <v>0</v>
      </c>
      <c r="L777" s="15">
        <v>0</v>
      </c>
      <c r="M777" s="15">
        <v>0</v>
      </c>
      <c r="N777" s="15">
        <f t="shared" si="215"/>
        <v>1323085.3999999999</v>
      </c>
      <c r="O777" s="15">
        <v>0</v>
      </c>
      <c r="P777" s="15">
        <f t="shared" si="216"/>
        <v>3661</v>
      </c>
      <c r="Q777" s="15">
        <f>'Форма 2'!K2922</f>
        <v>3661</v>
      </c>
      <c r="R777" s="18">
        <v>2022</v>
      </c>
      <c r="S777" s="153">
        <v>1</v>
      </c>
    </row>
    <row r="778" spans="1:19" ht="15.75" customHeight="1" x14ac:dyDescent="0.25">
      <c r="A778" s="194" t="s">
        <v>36</v>
      </c>
      <c r="B778" s="194"/>
      <c r="C778" s="194"/>
      <c r="D778" s="5" t="s">
        <v>13</v>
      </c>
      <c r="E778" s="15" t="s">
        <v>13</v>
      </c>
      <c r="F778" s="15" t="s">
        <v>13</v>
      </c>
      <c r="G778" s="15">
        <f t="shared" ref="G778:O778" si="218">SUM(G779:G779)</f>
        <v>428.2</v>
      </c>
      <c r="H778" s="15">
        <f t="shared" si="218"/>
        <v>357.9</v>
      </c>
      <c r="I778" s="10">
        <f t="shared" si="218"/>
        <v>20</v>
      </c>
      <c r="J778" s="15">
        <f t="shared" si="218"/>
        <v>2935853.7</v>
      </c>
      <c r="K778" s="15">
        <f t="shared" si="218"/>
        <v>0</v>
      </c>
      <c r="L778" s="15">
        <f t="shared" si="218"/>
        <v>0</v>
      </c>
      <c r="M778" s="15">
        <f t="shared" si="218"/>
        <v>0</v>
      </c>
      <c r="N778" s="15">
        <f t="shared" si="218"/>
        <v>2935853.7</v>
      </c>
      <c r="O778" s="15">
        <f t="shared" si="218"/>
        <v>0</v>
      </c>
      <c r="P778" s="15" t="s">
        <v>13</v>
      </c>
      <c r="Q778" s="15" t="s">
        <v>13</v>
      </c>
      <c r="R778" s="15" t="s">
        <v>13</v>
      </c>
      <c r="S778" s="10" t="s">
        <v>13</v>
      </c>
    </row>
    <row r="779" spans="1:19" ht="15.75" customHeight="1" x14ac:dyDescent="0.25">
      <c r="A779" s="22">
        <v>1</v>
      </c>
      <c r="B779" s="22">
        <v>4933</v>
      </c>
      <c r="C779" s="151" t="s">
        <v>588</v>
      </c>
      <c r="D779" s="141">
        <v>1991</v>
      </c>
      <c r="E779" s="141" t="s">
        <v>68</v>
      </c>
      <c r="F779" s="141" t="s">
        <v>82</v>
      </c>
      <c r="G779" s="15">
        <v>428.2</v>
      </c>
      <c r="H779" s="15">
        <v>357.9</v>
      </c>
      <c r="I779" s="32">
        <v>20</v>
      </c>
      <c r="J779" s="15">
        <f>'Форма 2'!I2928</f>
        <v>2935853.7</v>
      </c>
      <c r="K779" s="15">
        <v>0</v>
      </c>
      <c r="L779" s="15">
        <v>0</v>
      </c>
      <c r="M779" s="15">
        <v>0</v>
      </c>
      <c r="N779" s="15">
        <f>J779-O779</f>
        <v>2935853.7</v>
      </c>
      <c r="O779" s="15">
        <v>0</v>
      </c>
      <c r="P779" s="15">
        <f>J779/H779</f>
        <v>8203</v>
      </c>
      <c r="Q779" s="15">
        <f>'Форма 2'!K2928</f>
        <v>8203</v>
      </c>
      <c r="R779" s="356" t="s">
        <v>381</v>
      </c>
      <c r="S779" s="153">
        <v>1</v>
      </c>
    </row>
    <row r="780" spans="1:19" ht="15.75" customHeight="1" x14ac:dyDescent="0.25">
      <c r="A780" s="194" t="s">
        <v>48</v>
      </c>
      <c r="B780" s="194"/>
      <c r="C780" s="194"/>
      <c r="D780" s="5" t="s">
        <v>13</v>
      </c>
      <c r="E780" s="15" t="s">
        <v>13</v>
      </c>
      <c r="F780" s="15" t="s">
        <v>13</v>
      </c>
      <c r="G780" s="15">
        <f t="shared" ref="G780:O780" si="219">SUM(G781:G781)</f>
        <v>468.3</v>
      </c>
      <c r="H780" s="15">
        <f t="shared" si="219"/>
        <v>446</v>
      </c>
      <c r="I780" s="10">
        <f t="shared" si="219"/>
        <v>22</v>
      </c>
      <c r="J780" s="15">
        <f t="shared" si="219"/>
        <v>1715762</v>
      </c>
      <c r="K780" s="15">
        <f t="shared" si="219"/>
        <v>0</v>
      </c>
      <c r="L780" s="15">
        <f t="shared" si="219"/>
        <v>0</v>
      </c>
      <c r="M780" s="15">
        <f t="shared" si="219"/>
        <v>0</v>
      </c>
      <c r="N780" s="15">
        <f t="shared" si="219"/>
        <v>1715762</v>
      </c>
      <c r="O780" s="15">
        <f t="shared" si="219"/>
        <v>0</v>
      </c>
      <c r="P780" s="15" t="s">
        <v>13</v>
      </c>
      <c r="Q780" s="15" t="s">
        <v>13</v>
      </c>
      <c r="R780" s="15" t="s">
        <v>13</v>
      </c>
      <c r="S780" s="10" t="s">
        <v>13</v>
      </c>
    </row>
    <row r="781" spans="1:19" ht="15.75" customHeight="1" x14ac:dyDescent="0.25">
      <c r="A781" s="20">
        <v>1</v>
      </c>
      <c r="B781" s="8">
        <v>6756</v>
      </c>
      <c r="C781" s="142" t="s">
        <v>302</v>
      </c>
      <c r="D781" s="134">
        <v>1967</v>
      </c>
      <c r="E781" s="134" t="s">
        <v>230</v>
      </c>
      <c r="F781" s="134" t="s">
        <v>87</v>
      </c>
      <c r="G781" s="354">
        <v>468.3</v>
      </c>
      <c r="H781" s="15">
        <v>446</v>
      </c>
      <c r="I781" s="138">
        <v>22</v>
      </c>
      <c r="J781" s="15">
        <f>'Форма 2'!I2932</f>
        <v>1715762</v>
      </c>
      <c r="K781" s="15">
        <v>0</v>
      </c>
      <c r="L781" s="15">
        <v>0</v>
      </c>
      <c r="M781" s="15">
        <v>0</v>
      </c>
      <c r="N781" s="15">
        <f>J781-L781-M781-O781</f>
        <v>1715762</v>
      </c>
      <c r="O781" s="15">
        <v>0</v>
      </c>
      <c r="P781" s="15">
        <f>J781/H781</f>
        <v>3847</v>
      </c>
      <c r="Q781" s="15">
        <f>'Форма 2'!K2932</f>
        <v>3847</v>
      </c>
      <c r="R781" s="353">
        <v>2022</v>
      </c>
      <c r="S781" s="153">
        <v>1</v>
      </c>
    </row>
    <row r="782" spans="1:19" ht="15.75" customHeight="1" x14ac:dyDescent="0.25">
      <c r="A782" s="193" t="s">
        <v>51</v>
      </c>
      <c r="B782" s="193"/>
      <c r="C782" s="193"/>
      <c r="D782" s="5" t="s">
        <v>13</v>
      </c>
      <c r="E782" s="15" t="s">
        <v>13</v>
      </c>
      <c r="F782" s="15" t="s">
        <v>13</v>
      </c>
      <c r="G782" s="25">
        <f>SUM(G783:G783)</f>
        <v>374.01</v>
      </c>
      <c r="H782" s="25">
        <f t="shared" ref="H782:O782" si="220">SUM(H783:H783)</f>
        <v>249.08</v>
      </c>
      <c r="I782" s="33">
        <f t="shared" si="220"/>
        <v>13</v>
      </c>
      <c r="J782" s="25">
        <f t="shared" si="220"/>
        <v>1373676.2</v>
      </c>
      <c r="K782" s="25">
        <f t="shared" si="220"/>
        <v>0</v>
      </c>
      <c r="L782" s="25">
        <f t="shared" si="220"/>
        <v>0</v>
      </c>
      <c r="M782" s="25">
        <f t="shared" si="220"/>
        <v>0</v>
      </c>
      <c r="N782" s="25">
        <f t="shared" si="220"/>
        <v>1373676.2</v>
      </c>
      <c r="O782" s="25">
        <f t="shared" si="220"/>
        <v>0</v>
      </c>
      <c r="P782" s="15" t="s">
        <v>13</v>
      </c>
      <c r="Q782" s="15" t="s">
        <v>13</v>
      </c>
      <c r="R782" s="15" t="s">
        <v>13</v>
      </c>
      <c r="S782" s="10" t="s">
        <v>13</v>
      </c>
    </row>
    <row r="783" spans="1:19" ht="15.75" customHeight="1" x14ac:dyDescent="0.25">
      <c r="A783" s="159">
        <v>1</v>
      </c>
      <c r="B783" s="160">
        <v>7384</v>
      </c>
      <c r="C783" s="342" t="s">
        <v>592</v>
      </c>
      <c r="D783" s="159">
        <v>1969</v>
      </c>
      <c r="E783" s="335" t="s">
        <v>112</v>
      </c>
      <c r="F783" s="335" t="s">
        <v>385</v>
      </c>
      <c r="G783" s="357">
        <v>374.01</v>
      </c>
      <c r="H783" s="358">
        <v>249.08</v>
      </c>
      <c r="I783" s="359">
        <v>13</v>
      </c>
      <c r="J783" s="358">
        <f>'Форма 2'!I2940</f>
        <v>1373676.2</v>
      </c>
      <c r="K783" s="358">
        <v>0</v>
      </c>
      <c r="L783" s="358">
        <v>0</v>
      </c>
      <c r="M783" s="358">
        <v>0</v>
      </c>
      <c r="N783" s="358">
        <f>J783-K783-L783-M783-O783</f>
        <v>1373676.2</v>
      </c>
      <c r="O783" s="358">
        <v>0</v>
      </c>
      <c r="P783" s="358">
        <f>J783/H783</f>
        <v>5515</v>
      </c>
      <c r="Q783" s="358">
        <f>'Форма 2'!K2940</f>
        <v>5515</v>
      </c>
      <c r="R783" s="360">
        <v>2022</v>
      </c>
      <c r="S783" s="346">
        <v>1</v>
      </c>
    </row>
    <row r="784" spans="1:19" ht="15.75" customHeight="1" x14ac:dyDescent="0.25">
      <c r="A784" s="175" t="s">
        <v>49</v>
      </c>
      <c r="B784" s="175"/>
      <c r="C784" s="175"/>
      <c r="D784" s="5" t="s">
        <v>13</v>
      </c>
      <c r="E784" s="15" t="s">
        <v>13</v>
      </c>
      <c r="F784" s="15" t="s">
        <v>13</v>
      </c>
      <c r="G784" s="15">
        <f t="shared" ref="G784:O784" si="221">SUM(G785:G800)</f>
        <v>17434.310000000001</v>
      </c>
      <c r="H784" s="15">
        <f t="shared" si="221"/>
        <v>13388.42</v>
      </c>
      <c r="I784" s="10">
        <f t="shared" si="221"/>
        <v>532</v>
      </c>
      <c r="J784" s="15">
        <f t="shared" si="221"/>
        <v>36294581.979999997</v>
      </c>
      <c r="K784" s="15">
        <f t="shared" si="221"/>
        <v>0</v>
      </c>
      <c r="L784" s="15">
        <f t="shared" si="221"/>
        <v>0</v>
      </c>
      <c r="M784" s="15">
        <f t="shared" si="221"/>
        <v>0</v>
      </c>
      <c r="N784" s="15">
        <f t="shared" si="221"/>
        <v>36294581.979999997</v>
      </c>
      <c r="O784" s="15">
        <f t="shared" si="221"/>
        <v>0</v>
      </c>
      <c r="P784" s="15" t="s">
        <v>13</v>
      </c>
      <c r="Q784" s="15" t="s">
        <v>13</v>
      </c>
      <c r="R784" s="15" t="s">
        <v>13</v>
      </c>
      <c r="S784" s="10" t="s">
        <v>13</v>
      </c>
    </row>
    <row r="785" spans="1:19" ht="15.75" customHeight="1" x14ac:dyDescent="0.25">
      <c r="A785" s="22">
        <v>1</v>
      </c>
      <c r="B785" s="145">
        <v>6855</v>
      </c>
      <c r="C785" s="121" t="s">
        <v>306</v>
      </c>
      <c r="D785" s="22">
        <v>1965</v>
      </c>
      <c r="E785" s="137" t="s">
        <v>232</v>
      </c>
      <c r="F785" s="137" t="s">
        <v>82</v>
      </c>
      <c r="G785" s="25">
        <v>424.9</v>
      </c>
      <c r="H785" s="15">
        <v>396.5</v>
      </c>
      <c r="I785" s="33">
        <v>16</v>
      </c>
      <c r="J785" s="15">
        <f>'Форма 2'!I2946</f>
        <v>207766</v>
      </c>
      <c r="K785" s="350">
        <v>0</v>
      </c>
      <c r="L785" s="15">
        <v>0</v>
      </c>
      <c r="M785" s="15">
        <v>0</v>
      </c>
      <c r="N785" s="15">
        <f t="shared" ref="N785:N790" si="222">J785-K785-L785-M785-O785</f>
        <v>207766</v>
      </c>
      <c r="O785" s="15">
        <v>0</v>
      </c>
      <c r="P785" s="15">
        <f>J785/H785</f>
        <v>524</v>
      </c>
      <c r="Q785" s="15">
        <f>'Форма 2'!K2946</f>
        <v>524</v>
      </c>
      <c r="R785" s="126">
        <v>2022</v>
      </c>
      <c r="S785" s="153">
        <v>1</v>
      </c>
    </row>
    <row r="786" spans="1:19" ht="15.75" customHeight="1" x14ac:dyDescent="0.25">
      <c r="A786" s="22">
        <f t="shared" ref="A786:A791" si="223">A785+1</f>
        <v>2</v>
      </c>
      <c r="B786" s="39">
        <v>7023</v>
      </c>
      <c r="C786" s="150" t="s">
        <v>307</v>
      </c>
      <c r="D786" s="22">
        <v>1968</v>
      </c>
      <c r="E786" s="38" t="s">
        <v>95</v>
      </c>
      <c r="F786" s="22" t="s">
        <v>82</v>
      </c>
      <c r="G786" s="25">
        <v>1728.9</v>
      </c>
      <c r="H786" s="15">
        <v>1276.9000000000001</v>
      </c>
      <c r="I786" s="33">
        <v>47</v>
      </c>
      <c r="J786" s="15">
        <f>'Форма 2'!I2949</f>
        <v>462237.8</v>
      </c>
      <c r="K786" s="350">
        <v>0</v>
      </c>
      <c r="L786" s="350">
        <v>0</v>
      </c>
      <c r="M786" s="350">
        <v>0</v>
      </c>
      <c r="N786" s="350">
        <f t="shared" si="222"/>
        <v>462237.8</v>
      </c>
      <c r="O786" s="15">
        <v>0</v>
      </c>
      <c r="P786" s="15">
        <f>J786/H786</f>
        <v>362</v>
      </c>
      <c r="Q786" s="15">
        <f>'Форма 2'!K2949</f>
        <v>362</v>
      </c>
      <c r="R786" s="126">
        <v>2022</v>
      </c>
      <c r="S786" s="153">
        <v>1</v>
      </c>
    </row>
    <row r="787" spans="1:19" ht="15.75" customHeight="1" x14ac:dyDescent="0.25">
      <c r="A787" s="22">
        <f t="shared" si="223"/>
        <v>3</v>
      </c>
      <c r="B787" s="22">
        <v>7024</v>
      </c>
      <c r="C787" s="150" t="s">
        <v>308</v>
      </c>
      <c r="D787" s="22">
        <v>1968</v>
      </c>
      <c r="E787" s="38" t="s">
        <v>95</v>
      </c>
      <c r="F787" s="22" t="s">
        <v>82</v>
      </c>
      <c r="G787" s="25">
        <v>1698.5</v>
      </c>
      <c r="H787" s="15">
        <v>1249.5999999999999</v>
      </c>
      <c r="I787" s="33">
        <v>47</v>
      </c>
      <c r="J787" s="15">
        <f>'Форма 2'!I2952</f>
        <v>452355.2</v>
      </c>
      <c r="K787" s="350">
        <v>0</v>
      </c>
      <c r="L787" s="350">
        <v>0</v>
      </c>
      <c r="M787" s="350">
        <v>0</v>
      </c>
      <c r="N787" s="350">
        <f t="shared" si="222"/>
        <v>452355.2</v>
      </c>
      <c r="O787" s="15">
        <v>0</v>
      </c>
      <c r="P787" s="15">
        <f>J787/H787</f>
        <v>362</v>
      </c>
      <c r="Q787" s="15">
        <f>'Форма 2'!K2952</f>
        <v>362</v>
      </c>
      <c r="R787" s="126">
        <v>2022</v>
      </c>
      <c r="S787" s="153">
        <v>1</v>
      </c>
    </row>
    <row r="788" spans="1:19" ht="15.75" customHeight="1" x14ac:dyDescent="0.25">
      <c r="A788" s="22">
        <f t="shared" si="223"/>
        <v>4</v>
      </c>
      <c r="B788" s="143">
        <v>6974</v>
      </c>
      <c r="C788" s="121" t="s">
        <v>312</v>
      </c>
      <c r="D788" s="22">
        <v>1961</v>
      </c>
      <c r="E788" s="22" t="s">
        <v>93</v>
      </c>
      <c r="F788" s="137" t="s">
        <v>82</v>
      </c>
      <c r="G788" s="25">
        <v>1024.42</v>
      </c>
      <c r="H788" s="15">
        <v>629.72</v>
      </c>
      <c r="I788" s="33">
        <v>25</v>
      </c>
      <c r="J788" s="15">
        <f>'Форма 2'!I2955</f>
        <v>2700869.08</v>
      </c>
      <c r="K788" s="350">
        <v>0</v>
      </c>
      <c r="L788" s="15">
        <v>0</v>
      </c>
      <c r="M788" s="15">
        <v>0</v>
      </c>
      <c r="N788" s="15">
        <f t="shared" si="222"/>
        <v>2700869.08</v>
      </c>
      <c r="O788" s="15">
        <v>0</v>
      </c>
      <c r="P788" s="15">
        <f>J788/H788</f>
        <v>4289</v>
      </c>
      <c r="Q788" s="15">
        <f>'Форма 2'!K2955</f>
        <v>4289</v>
      </c>
      <c r="R788" s="126">
        <v>2022</v>
      </c>
      <c r="S788" s="153">
        <v>1</v>
      </c>
    </row>
    <row r="789" spans="1:19" ht="15.75" customHeight="1" x14ac:dyDescent="0.25">
      <c r="A789" s="22">
        <f t="shared" si="223"/>
        <v>5</v>
      </c>
      <c r="B789" s="22">
        <v>6975</v>
      </c>
      <c r="C789" s="121" t="s">
        <v>313</v>
      </c>
      <c r="D789" s="22">
        <v>1969</v>
      </c>
      <c r="E789" s="22" t="s">
        <v>93</v>
      </c>
      <c r="F789" s="137" t="s">
        <v>82</v>
      </c>
      <c r="G789" s="25">
        <v>1023.8</v>
      </c>
      <c r="H789" s="15">
        <v>629.1</v>
      </c>
      <c r="I789" s="33">
        <v>25</v>
      </c>
      <c r="J789" s="15">
        <f>'Форма 2'!I2962</f>
        <v>2698209.9</v>
      </c>
      <c r="K789" s="15">
        <v>0</v>
      </c>
      <c r="L789" s="15">
        <v>0</v>
      </c>
      <c r="M789" s="15">
        <v>0</v>
      </c>
      <c r="N789" s="15">
        <f t="shared" si="222"/>
        <v>2698209.9</v>
      </c>
      <c r="O789" s="15">
        <v>0</v>
      </c>
      <c r="P789" s="15">
        <f>J789/H789</f>
        <v>4289</v>
      </c>
      <c r="Q789" s="15">
        <f>'Форма 2'!K2962</f>
        <v>4289</v>
      </c>
      <c r="R789" s="126">
        <v>2022</v>
      </c>
      <c r="S789" s="153">
        <v>1</v>
      </c>
    </row>
    <row r="790" spans="1:19" ht="15.75" customHeight="1" x14ac:dyDescent="0.25">
      <c r="A790" s="22">
        <f t="shared" si="223"/>
        <v>6</v>
      </c>
      <c r="B790" s="22">
        <v>6982</v>
      </c>
      <c r="C790" s="121" t="s">
        <v>316</v>
      </c>
      <c r="D790" s="22">
        <v>1959</v>
      </c>
      <c r="E790" s="22" t="s">
        <v>93</v>
      </c>
      <c r="F790" s="137" t="s">
        <v>82</v>
      </c>
      <c r="G790" s="25">
        <v>711.1</v>
      </c>
      <c r="H790" s="15">
        <v>652.70000000000005</v>
      </c>
      <c r="I790" s="33">
        <v>26</v>
      </c>
      <c r="J790" s="15">
        <f>'Форма 2'!I2969</f>
        <v>2644087.7000000002</v>
      </c>
      <c r="K790" s="15">
        <v>0</v>
      </c>
      <c r="L790" s="15">
        <v>0</v>
      </c>
      <c r="M790" s="15">
        <v>0</v>
      </c>
      <c r="N790" s="15">
        <f t="shared" si="222"/>
        <v>2644087.7000000002</v>
      </c>
      <c r="O790" s="15">
        <v>0</v>
      </c>
      <c r="P790" s="15">
        <f t="shared" ref="P790" si="224">J790/H790</f>
        <v>4051</v>
      </c>
      <c r="Q790" s="15">
        <f>'Форма 2'!K2969</f>
        <v>4051</v>
      </c>
      <c r="R790" s="126">
        <v>2022</v>
      </c>
      <c r="S790" s="153">
        <v>1</v>
      </c>
    </row>
    <row r="791" spans="1:19" ht="15.75" customHeight="1" x14ac:dyDescent="0.25">
      <c r="A791" s="11">
        <f t="shared" si="223"/>
        <v>7</v>
      </c>
      <c r="B791" s="8">
        <v>6983</v>
      </c>
      <c r="C791" s="334" t="s">
        <v>317</v>
      </c>
      <c r="D791" s="137">
        <v>1960</v>
      </c>
      <c r="E791" s="137" t="s">
        <v>93</v>
      </c>
      <c r="F791" s="22" t="s">
        <v>82</v>
      </c>
      <c r="G791" s="25">
        <v>438.9</v>
      </c>
      <c r="H791" s="15">
        <v>403.9</v>
      </c>
      <c r="I791" s="33">
        <v>16</v>
      </c>
      <c r="J791" s="350">
        <f>'Форма 2'!I2976</f>
        <v>1636198.9</v>
      </c>
      <c r="K791" s="350">
        <v>0</v>
      </c>
      <c r="L791" s="350">
        <v>0</v>
      </c>
      <c r="M791" s="350">
        <v>0</v>
      </c>
      <c r="N791" s="350">
        <f t="shared" ref="N791:N800" si="225">J791-K791-L791-M791-O791</f>
        <v>1636198.9</v>
      </c>
      <c r="O791" s="15">
        <v>0</v>
      </c>
      <c r="P791" s="15">
        <f t="shared" ref="P791:P800" si="226">J791/H791</f>
        <v>4051</v>
      </c>
      <c r="Q791" s="350">
        <f>'Форма 2'!K2976</f>
        <v>4051</v>
      </c>
      <c r="R791" s="353">
        <v>2022</v>
      </c>
      <c r="S791" s="153">
        <v>1</v>
      </c>
    </row>
    <row r="792" spans="1:19" ht="15.75" customHeight="1" x14ac:dyDescent="0.25">
      <c r="A792" s="22">
        <f t="shared" ref="A792:A800" si="227">A791+1</f>
        <v>8</v>
      </c>
      <c r="B792" s="22">
        <v>6984</v>
      </c>
      <c r="C792" s="121" t="s">
        <v>318</v>
      </c>
      <c r="D792" s="22">
        <v>1970</v>
      </c>
      <c r="E792" s="22" t="s">
        <v>93</v>
      </c>
      <c r="F792" s="137" t="s">
        <v>82</v>
      </c>
      <c r="G792" s="25">
        <v>1076.3</v>
      </c>
      <c r="H792" s="15">
        <v>651.1</v>
      </c>
      <c r="I792" s="33">
        <v>26</v>
      </c>
      <c r="J792" s="15">
        <f>'Форма 2'!I2983</f>
        <v>2792567.9</v>
      </c>
      <c r="K792" s="15">
        <v>0</v>
      </c>
      <c r="L792" s="15">
        <v>0</v>
      </c>
      <c r="M792" s="15">
        <v>0</v>
      </c>
      <c r="N792" s="350">
        <f t="shared" si="225"/>
        <v>2792567.9</v>
      </c>
      <c r="O792" s="15">
        <v>0</v>
      </c>
      <c r="P792" s="15">
        <f t="shared" si="226"/>
        <v>4289</v>
      </c>
      <c r="Q792" s="15">
        <f>'Форма 2'!K2983</f>
        <v>4289</v>
      </c>
      <c r="R792" s="126">
        <v>2022</v>
      </c>
      <c r="S792" s="153">
        <v>1</v>
      </c>
    </row>
    <row r="793" spans="1:19" ht="15.75" customHeight="1" x14ac:dyDescent="0.25">
      <c r="A793" s="22">
        <f t="shared" si="227"/>
        <v>9</v>
      </c>
      <c r="B793" s="22">
        <v>6931</v>
      </c>
      <c r="C793" s="150" t="s">
        <v>321</v>
      </c>
      <c r="D793" s="22">
        <v>1975</v>
      </c>
      <c r="E793" s="38" t="s">
        <v>68</v>
      </c>
      <c r="F793" s="22" t="s">
        <v>82</v>
      </c>
      <c r="G793" s="25">
        <v>4703.3</v>
      </c>
      <c r="H793" s="15">
        <v>3585.5</v>
      </c>
      <c r="I793" s="33">
        <v>142</v>
      </c>
      <c r="J793" s="15">
        <f>'Форма 2'!I2990</f>
        <v>13442039.5</v>
      </c>
      <c r="K793" s="15">
        <v>0</v>
      </c>
      <c r="L793" s="15">
        <v>0</v>
      </c>
      <c r="M793" s="15">
        <v>0</v>
      </c>
      <c r="N793" s="15">
        <f t="shared" si="225"/>
        <v>13442039.5</v>
      </c>
      <c r="O793" s="15">
        <v>0</v>
      </c>
      <c r="P793" s="15">
        <f t="shared" si="226"/>
        <v>3749</v>
      </c>
      <c r="Q793" s="15">
        <f>'Форма 2'!K2990</f>
        <v>3749</v>
      </c>
      <c r="R793" s="126">
        <v>2022</v>
      </c>
      <c r="S793" s="153">
        <v>1</v>
      </c>
    </row>
    <row r="794" spans="1:19" ht="15.75" customHeight="1" x14ac:dyDescent="0.25">
      <c r="A794" s="22">
        <f t="shared" si="227"/>
        <v>10</v>
      </c>
      <c r="B794" s="22">
        <v>6818</v>
      </c>
      <c r="C794" s="121" t="s">
        <v>322</v>
      </c>
      <c r="D794" s="22">
        <v>1963</v>
      </c>
      <c r="E794" s="22" t="s">
        <v>93</v>
      </c>
      <c r="F794" s="137" t="s">
        <v>82</v>
      </c>
      <c r="G794" s="25">
        <v>1084.1300000000001</v>
      </c>
      <c r="H794" s="15">
        <v>636.4</v>
      </c>
      <c r="I794" s="33">
        <v>25</v>
      </c>
      <c r="J794" s="15">
        <f>'Форма 2'!I2993</f>
        <v>2729519.6</v>
      </c>
      <c r="K794" s="15">
        <v>0</v>
      </c>
      <c r="L794" s="15">
        <v>0</v>
      </c>
      <c r="M794" s="15">
        <v>0</v>
      </c>
      <c r="N794" s="15">
        <f>J794-K794-L794-M794-O794</f>
        <v>2729519.6</v>
      </c>
      <c r="O794" s="15">
        <v>0</v>
      </c>
      <c r="P794" s="15">
        <f t="shared" si="226"/>
        <v>4289</v>
      </c>
      <c r="Q794" s="15">
        <f>'Форма 2'!K2993</f>
        <v>4289</v>
      </c>
      <c r="R794" s="126">
        <v>2022</v>
      </c>
      <c r="S794" s="153">
        <v>1</v>
      </c>
    </row>
    <row r="795" spans="1:19" ht="15.75" customHeight="1" x14ac:dyDescent="0.25">
      <c r="A795" s="22">
        <f>A794+1</f>
        <v>11</v>
      </c>
      <c r="B795" s="22">
        <v>8006</v>
      </c>
      <c r="C795" s="121" t="s">
        <v>323</v>
      </c>
      <c r="D795" s="22">
        <v>1961</v>
      </c>
      <c r="E795" s="38" t="s">
        <v>232</v>
      </c>
      <c r="F795" s="22" t="s">
        <v>82</v>
      </c>
      <c r="G795" s="25">
        <v>686.4</v>
      </c>
      <c r="H795" s="15">
        <v>637.20000000000005</v>
      </c>
      <c r="I795" s="33">
        <v>25</v>
      </c>
      <c r="J795" s="15">
        <f>'Форма 2'!I3000</f>
        <v>333892.8</v>
      </c>
      <c r="K795" s="15">
        <v>0</v>
      </c>
      <c r="L795" s="15">
        <v>0</v>
      </c>
      <c r="M795" s="15">
        <v>0</v>
      </c>
      <c r="N795" s="15">
        <f t="shared" si="225"/>
        <v>333892.8</v>
      </c>
      <c r="O795" s="15">
        <v>0</v>
      </c>
      <c r="P795" s="15">
        <f t="shared" si="226"/>
        <v>524</v>
      </c>
      <c r="Q795" s="15">
        <f>'Форма 2'!K3000</f>
        <v>524</v>
      </c>
      <c r="R795" s="126">
        <v>2022</v>
      </c>
      <c r="S795" s="153">
        <v>1</v>
      </c>
    </row>
    <row r="796" spans="1:19" ht="15.75" customHeight="1" x14ac:dyDescent="0.25">
      <c r="A796" s="22">
        <f t="shared" si="227"/>
        <v>12</v>
      </c>
      <c r="B796" s="143">
        <v>8005</v>
      </c>
      <c r="C796" s="121" t="s">
        <v>324</v>
      </c>
      <c r="D796" s="22">
        <v>1961</v>
      </c>
      <c r="E796" s="38" t="s">
        <v>232</v>
      </c>
      <c r="F796" s="22" t="s">
        <v>82</v>
      </c>
      <c r="G796" s="25">
        <v>706.8</v>
      </c>
      <c r="H796" s="15">
        <v>657.6</v>
      </c>
      <c r="I796" s="33">
        <v>26</v>
      </c>
      <c r="J796" s="15">
        <f>'Форма 2'!I3003</f>
        <v>344582.40000000002</v>
      </c>
      <c r="K796" s="350">
        <v>0</v>
      </c>
      <c r="L796" s="15">
        <v>0</v>
      </c>
      <c r="M796" s="15">
        <v>0</v>
      </c>
      <c r="N796" s="15">
        <f t="shared" si="225"/>
        <v>344582.40000000002</v>
      </c>
      <c r="O796" s="15">
        <v>0</v>
      </c>
      <c r="P796" s="15">
        <f t="shared" si="226"/>
        <v>524</v>
      </c>
      <c r="Q796" s="15">
        <f>'Форма 2'!K3003</f>
        <v>524</v>
      </c>
      <c r="R796" s="126">
        <v>2022</v>
      </c>
      <c r="S796" s="153">
        <v>1</v>
      </c>
    </row>
    <row r="797" spans="1:19" ht="15.75" customHeight="1" x14ac:dyDescent="0.25">
      <c r="A797" s="22">
        <f t="shared" si="227"/>
        <v>13</v>
      </c>
      <c r="B797" s="22">
        <v>6868</v>
      </c>
      <c r="C797" s="121" t="s">
        <v>325</v>
      </c>
      <c r="D797" s="22">
        <v>1963</v>
      </c>
      <c r="E797" s="137" t="s">
        <v>158</v>
      </c>
      <c r="F797" s="137" t="s">
        <v>82</v>
      </c>
      <c r="G797" s="25">
        <v>745.4</v>
      </c>
      <c r="H797" s="15">
        <v>701</v>
      </c>
      <c r="I797" s="33">
        <v>43</v>
      </c>
      <c r="J797" s="15">
        <f>'Форма 2'!I3006</f>
        <v>2451397</v>
      </c>
      <c r="K797" s="15">
        <v>0</v>
      </c>
      <c r="L797" s="15">
        <v>0</v>
      </c>
      <c r="M797" s="15">
        <v>0</v>
      </c>
      <c r="N797" s="15">
        <f t="shared" si="225"/>
        <v>2451397</v>
      </c>
      <c r="O797" s="15">
        <v>0</v>
      </c>
      <c r="P797" s="15">
        <f t="shared" si="226"/>
        <v>3497</v>
      </c>
      <c r="Q797" s="15">
        <f>'Форма 2'!K3006</f>
        <v>3497</v>
      </c>
      <c r="R797" s="126">
        <v>2022</v>
      </c>
      <c r="S797" s="153">
        <v>1</v>
      </c>
    </row>
    <row r="798" spans="1:19" ht="15.75" customHeight="1" x14ac:dyDescent="0.25">
      <c r="A798" s="22">
        <f>A797+1</f>
        <v>14</v>
      </c>
      <c r="B798" s="145">
        <v>6999</v>
      </c>
      <c r="C798" s="121" t="s">
        <v>326</v>
      </c>
      <c r="D798" s="22">
        <v>1950</v>
      </c>
      <c r="E798" s="137" t="s">
        <v>591</v>
      </c>
      <c r="F798" s="22" t="s">
        <v>82</v>
      </c>
      <c r="G798" s="25">
        <v>413.7</v>
      </c>
      <c r="H798" s="15">
        <v>383.7</v>
      </c>
      <c r="I798" s="33">
        <v>15</v>
      </c>
      <c r="J798" s="15">
        <f>'Форма 2'!I3011</f>
        <v>464660.7</v>
      </c>
      <c r="K798" s="350">
        <v>0</v>
      </c>
      <c r="L798" s="15">
        <v>0</v>
      </c>
      <c r="M798" s="15">
        <v>0</v>
      </c>
      <c r="N798" s="15">
        <f t="shared" si="225"/>
        <v>464660.7</v>
      </c>
      <c r="O798" s="15">
        <v>0</v>
      </c>
      <c r="P798" s="15">
        <f t="shared" si="226"/>
        <v>1211</v>
      </c>
      <c r="Q798" s="15">
        <f>'Форма 2'!K3011</f>
        <v>1211</v>
      </c>
      <c r="R798" s="126">
        <v>2022</v>
      </c>
      <c r="S798" s="153">
        <v>1</v>
      </c>
    </row>
    <row r="799" spans="1:19" ht="15.75" customHeight="1" x14ac:dyDescent="0.25">
      <c r="A799" s="22">
        <f>A798+1</f>
        <v>15</v>
      </c>
      <c r="B799" s="145">
        <v>7061</v>
      </c>
      <c r="C799" s="121" t="s">
        <v>327</v>
      </c>
      <c r="D799" s="22">
        <v>1960</v>
      </c>
      <c r="E799" s="38" t="s">
        <v>89</v>
      </c>
      <c r="F799" s="22" t="s">
        <v>82</v>
      </c>
      <c r="G799" s="25">
        <v>410.26</v>
      </c>
      <c r="H799" s="15">
        <v>390</v>
      </c>
      <c r="I799" s="33">
        <v>15</v>
      </c>
      <c r="J799" s="15">
        <f>'Форма 2'!I3016</f>
        <v>1159470</v>
      </c>
      <c r="K799" s="350">
        <v>0</v>
      </c>
      <c r="L799" s="15">
        <v>0</v>
      </c>
      <c r="M799" s="15">
        <v>0</v>
      </c>
      <c r="N799" s="15">
        <f t="shared" si="225"/>
        <v>1159470</v>
      </c>
      <c r="O799" s="15">
        <v>0</v>
      </c>
      <c r="P799" s="15">
        <f t="shared" si="226"/>
        <v>2973</v>
      </c>
      <c r="Q799" s="15">
        <f>'Форма 2'!K3016</f>
        <v>2973</v>
      </c>
      <c r="R799" s="126">
        <v>2022</v>
      </c>
      <c r="S799" s="153">
        <v>1</v>
      </c>
    </row>
    <row r="800" spans="1:19" ht="15.75" customHeight="1" x14ac:dyDescent="0.25">
      <c r="A800" s="22">
        <f t="shared" si="227"/>
        <v>16</v>
      </c>
      <c r="B800" s="22">
        <v>7080</v>
      </c>
      <c r="C800" s="121" t="s">
        <v>328</v>
      </c>
      <c r="D800" s="22">
        <v>1957</v>
      </c>
      <c r="E800" s="137" t="s">
        <v>158</v>
      </c>
      <c r="F800" s="137" t="s">
        <v>82</v>
      </c>
      <c r="G800" s="25">
        <v>557.5</v>
      </c>
      <c r="H800" s="15">
        <v>507.5</v>
      </c>
      <c r="I800" s="33">
        <v>13</v>
      </c>
      <c r="J800" s="15">
        <f>'Форма 2'!I3019</f>
        <v>1774727.5</v>
      </c>
      <c r="K800" s="15">
        <v>0</v>
      </c>
      <c r="L800" s="15">
        <v>0</v>
      </c>
      <c r="M800" s="15">
        <v>0</v>
      </c>
      <c r="N800" s="15">
        <f t="shared" si="225"/>
        <v>1774727.5</v>
      </c>
      <c r="O800" s="15">
        <v>0</v>
      </c>
      <c r="P800" s="15">
        <f t="shared" si="226"/>
        <v>3497</v>
      </c>
      <c r="Q800" s="15">
        <f>'Форма 2'!K3019</f>
        <v>3497</v>
      </c>
      <c r="R800" s="126">
        <v>2022</v>
      </c>
      <c r="S800" s="153">
        <v>1</v>
      </c>
    </row>
    <row r="801" spans="1:19" ht="15.75" customHeight="1" x14ac:dyDescent="0.25">
      <c r="A801" s="193" t="s">
        <v>50</v>
      </c>
      <c r="B801" s="193"/>
      <c r="C801" s="193"/>
      <c r="D801" s="5" t="s">
        <v>13</v>
      </c>
      <c r="E801" s="15" t="s">
        <v>13</v>
      </c>
      <c r="F801" s="15" t="s">
        <v>13</v>
      </c>
      <c r="G801" s="25">
        <f t="shared" ref="G801:O801" si="228">SUM(G802:G802)</f>
        <v>948.8</v>
      </c>
      <c r="H801" s="25">
        <f t="shared" si="228"/>
        <v>863</v>
      </c>
      <c r="I801" s="33">
        <f t="shared" si="228"/>
        <v>33</v>
      </c>
      <c r="J801" s="25">
        <f t="shared" si="228"/>
        <v>6634744</v>
      </c>
      <c r="K801" s="25">
        <f t="shared" si="228"/>
        <v>0</v>
      </c>
      <c r="L801" s="25">
        <f t="shared" si="228"/>
        <v>0</v>
      </c>
      <c r="M801" s="25">
        <f t="shared" si="228"/>
        <v>0</v>
      </c>
      <c r="N801" s="25">
        <f t="shared" si="228"/>
        <v>6634744</v>
      </c>
      <c r="O801" s="25">
        <f t="shared" si="228"/>
        <v>0</v>
      </c>
      <c r="P801" s="15" t="s">
        <v>13</v>
      </c>
      <c r="Q801" s="15" t="s">
        <v>13</v>
      </c>
      <c r="R801" s="15" t="s">
        <v>13</v>
      </c>
      <c r="S801" s="10" t="s">
        <v>13</v>
      </c>
    </row>
    <row r="802" spans="1:19" ht="15.75" customHeight="1" x14ac:dyDescent="0.25">
      <c r="A802" s="21">
        <v>1</v>
      </c>
      <c r="B802" s="11">
        <v>7177</v>
      </c>
      <c r="C802" s="150" t="s">
        <v>304</v>
      </c>
      <c r="D802" s="137">
        <v>1970</v>
      </c>
      <c r="E802" s="137" t="s">
        <v>68</v>
      </c>
      <c r="F802" s="137" t="s">
        <v>385</v>
      </c>
      <c r="G802" s="25">
        <v>948.8</v>
      </c>
      <c r="H802" s="15">
        <v>863</v>
      </c>
      <c r="I802" s="33">
        <v>33</v>
      </c>
      <c r="J802" s="15">
        <f>'Форма 2'!I3025</f>
        <v>6634744</v>
      </c>
      <c r="K802" s="15">
        <v>0</v>
      </c>
      <c r="L802" s="15">
        <v>0</v>
      </c>
      <c r="M802" s="15">
        <v>0</v>
      </c>
      <c r="N802" s="25">
        <f>J802-O802</f>
        <v>6634744</v>
      </c>
      <c r="O802" s="25">
        <v>0</v>
      </c>
      <c r="P802" s="15">
        <f>J802/H802</f>
        <v>7688</v>
      </c>
      <c r="Q802" s="15">
        <f>'Форма 2'!K3025</f>
        <v>7688</v>
      </c>
      <c r="R802" s="126">
        <v>2022</v>
      </c>
      <c r="S802" s="153">
        <v>1</v>
      </c>
    </row>
  </sheetData>
  <autoFilter ref="A8:S802"/>
  <customSheetViews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1"/>
      <autoFilter ref="B1:Y1">
        <filterColumn colId="7">
          <filters>
            <filter val="Х"/>
          </filters>
        </filterColumn>
      </autoFilter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>
        <filterColumn colId="7">
          <filters>
            <filter val="Х"/>
          </filters>
        </filterColumn>
      </autoFilter>
    </customSheetView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3"/>
      <autoFilter ref="B1:Z1"/>
    </customSheetView>
  </customSheetViews>
  <mergeCells count="83">
    <mergeCell ref="A310:C310"/>
    <mergeCell ref="A505:C505"/>
    <mergeCell ref="A625:C625"/>
    <mergeCell ref="A325:C325"/>
    <mergeCell ref="A640:C640"/>
    <mergeCell ref="A330:C330"/>
    <mergeCell ref="A593:C593"/>
    <mergeCell ref="A541:C541"/>
    <mergeCell ref="A25:C25"/>
    <mergeCell ref="A644:C644"/>
    <mergeCell ref="A627:C627"/>
    <mergeCell ref="A632:C632"/>
    <mergeCell ref="A631:C631"/>
    <mergeCell ref="A642:C642"/>
    <mergeCell ref="A547:C547"/>
    <mergeCell ref="A552:C552"/>
    <mergeCell ref="A377:C377"/>
    <mergeCell ref="A395:C395"/>
    <mergeCell ref="A537:C537"/>
    <mergeCell ref="A396:C396"/>
    <mergeCell ref="A433:C433"/>
    <mergeCell ref="A452:C452"/>
    <mergeCell ref="A583:C583"/>
    <mergeCell ref="A587:C587"/>
    <mergeCell ref="A782:C782"/>
    <mergeCell ref="A596:C596"/>
    <mergeCell ref="G4:G6"/>
    <mergeCell ref="B4:B7"/>
    <mergeCell ref="E4:E7"/>
    <mergeCell ref="F4:F7"/>
    <mergeCell ref="D4:D7"/>
    <mergeCell ref="A87:C87"/>
    <mergeCell ref="A10:C10"/>
    <mergeCell ref="C4:C7"/>
    <mergeCell ref="A16:C16"/>
    <mergeCell ref="A590:C590"/>
    <mergeCell ref="A328:C328"/>
    <mergeCell ref="A121:C121"/>
    <mergeCell ref="A230:C230"/>
    <mergeCell ref="H4:H6"/>
    <mergeCell ref="A801:C801"/>
    <mergeCell ref="A672:C672"/>
    <mergeCell ref="A780:C780"/>
    <mergeCell ref="A784:C784"/>
    <mergeCell ref="A761:C761"/>
    <mergeCell ref="A684:C684"/>
    <mergeCell ref="A685:C685"/>
    <mergeCell ref="A778:C778"/>
    <mergeCell ref="A710:C710"/>
    <mergeCell ref="A720:C720"/>
    <mergeCell ref="A747:C747"/>
    <mergeCell ref="A759:C759"/>
    <mergeCell ref="A763:C763"/>
    <mergeCell ref="A756:C756"/>
    <mergeCell ref="A196:C196"/>
    <mergeCell ref="A226:C226"/>
    <mergeCell ref="S4:S7"/>
    <mergeCell ref="A3:R3"/>
    <mergeCell ref="A32:C32"/>
    <mergeCell ref="A71:C71"/>
    <mergeCell ref="J4:O4"/>
    <mergeCell ref="K5:O5"/>
    <mergeCell ref="Q4:Q6"/>
    <mergeCell ref="P4:P6"/>
    <mergeCell ref="R4:R7"/>
    <mergeCell ref="J5:J6"/>
    <mergeCell ref="I4:I6"/>
    <mergeCell ref="O1:S1"/>
    <mergeCell ref="A2:S2"/>
    <mergeCell ref="A237:C237"/>
    <mergeCell ref="A244:C244"/>
    <mergeCell ref="A305:C305"/>
    <mergeCell ref="A286:C286"/>
    <mergeCell ref="A275:C275"/>
    <mergeCell ref="A264:C264"/>
    <mergeCell ref="A271:C271"/>
    <mergeCell ref="A4:A7"/>
    <mergeCell ref="A280:C280"/>
    <mergeCell ref="A299:C299"/>
    <mergeCell ref="A11:C11"/>
    <mergeCell ref="A27:C27"/>
    <mergeCell ref="A86:C86"/>
    <mergeCell ref="A140:C140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46" firstPageNumber="2" fitToHeight="0" orientation="landscape" useFirstPageNumber="1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FF3130"/>
  <sheetViews>
    <sheetView tabSelected="1" view="pageBreakPreview" zoomScale="60" zoomScaleNormal="60" workbookViewId="0">
      <pane xSplit="3" ySplit="4" topLeftCell="D2995" activePane="bottomRight" state="frozen"/>
      <selection pane="topRight" activeCell="D1" sqref="D1"/>
      <selection pane="bottomLeft" activeCell="A5" sqref="A5"/>
      <selection pane="bottomRight" activeCell="I1317" sqref="I1317"/>
    </sheetView>
  </sheetViews>
  <sheetFormatPr defaultColWidth="9.140625" defaultRowHeight="15.75" x14ac:dyDescent="0.25"/>
  <cols>
    <col min="1" max="1" width="6.28515625" style="83" customWidth="1"/>
    <col min="2" max="2" width="7.42578125" style="42" customWidth="1"/>
    <col min="3" max="3" width="51.85546875" style="85" customWidth="1"/>
    <col min="4" max="4" width="15.140625" style="42" customWidth="1"/>
    <col min="5" max="5" width="10.5703125" style="90" customWidth="1"/>
    <col min="6" max="6" width="13" style="90" customWidth="1"/>
    <col min="7" max="7" width="31.140625" style="86" customWidth="1"/>
    <col min="8" max="8" width="44.140625" style="87" customWidth="1"/>
    <col min="9" max="9" width="20.7109375" style="42" customWidth="1"/>
    <col min="10" max="10" width="13" style="42" customWidth="1"/>
    <col min="11" max="11" width="12.28515625" style="42" customWidth="1"/>
    <col min="12" max="16384" width="9.140625" style="42"/>
  </cols>
  <sheetData>
    <row r="1" spans="1:11" ht="39" customHeight="1" x14ac:dyDescent="0.25">
      <c r="A1" s="313" t="s">
        <v>285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</row>
    <row r="2" spans="1:11" x14ac:dyDescent="0.25">
      <c r="A2" s="43"/>
      <c r="B2" s="44"/>
      <c r="C2" s="147"/>
      <c r="D2" s="45"/>
      <c r="E2" s="46"/>
      <c r="F2" s="46"/>
      <c r="G2" s="47"/>
      <c r="H2" s="48"/>
      <c r="I2" s="48"/>
      <c r="J2" s="45"/>
      <c r="K2" s="45"/>
    </row>
    <row r="3" spans="1:11" s="86" customFormat="1" ht="94.5" x14ac:dyDescent="0.25">
      <c r="A3" s="105" t="s">
        <v>25</v>
      </c>
      <c r="B3" s="105" t="s">
        <v>28</v>
      </c>
      <c r="C3" s="104" t="s">
        <v>1</v>
      </c>
      <c r="D3" s="104" t="s">
        <v>19</v>
      </c>
      <c r="E3" s="5" t="s">
        <v>56</v>
      </c>
      <c r="F3" s="5" t="s">
        <v>2</v>
      </c>
      <c r="G3" s="104" t="s">
        <v>20</v>
      </c>
      <c r="H3" s="104" t="s">
        <v>21</v>
      </c>
      <c r="I3" s="104" t="s">
        <v>22</v>
      </c>
      <c r="J3" s="104" t="s">
        <v>23</v>
      </c>
      <c r="K3" s="104" t="s">
        <v>24</v>
      </c>
    </row>
    <row r="4" spans="1:11" x14ac:dyDescent="0.25">
      <c r="A4" s="105">
        <v>1</v>
      </c>
      <c r="B4" s="105">
        <v>2</v>
      </c>
      <c r="C4" s="105">
        <v>3</v>
      </c>
      <c r="D4" s="105">
        <v>4</v>
      </c>
      <c r="E4" s="122">
        <v>5</v>
      </c>
      <c r="F4" s="122">
        <v>6</v>
      </c>
      <c r="G4" s="122">
        <v>7</v>
      </c>
      <c r="H4" s="49">
        <v>8</v>
      </c>
      <c r="I4" s="105">
        <v>9</v>
      </c>
      <c r="J4" s="105">
        <v>10</v>
      </c>
      <c r="K4" s="105">
        <v>11</v>
      </c>
    </row>
    <row r="5" spans="1:11" x14ac:dyDescent="0.25">
      <c r="A5" s="51" t="s">
        <v>282</v>
      </c>
      <c r="B5" s="52"/>
      <c r="C5" s="148"/>
      <c r="D5" s="50">
        <f>D6+D19+D43+D46+D63+D262+D359+D931+D939+D957+D975+D1023+D1045+D1055+D1070+D1087+D1131</f>
        <v>1035926.99</v>
      </c>
      <c r="E5" s="53"/>
      <c r="F5" s="53"/>
      <c r="G5" s="108"/>
      <c r="H5" s="54"/>
      <c r="I5" s="55">
        <f>I6+I19+I43+I46+I63+I262+I359+I931+I939+I957+I975+I1023+I1045+I1055+I1070+I1087+I1131</f>
        <v>993251676.13</v>
      </c>
      <c r="J5" s="55"/>
      <c r="K5" s="55"/>
    </row>
    <row r="6" spans="1:11" x14ac:dyDescent="0.25">
      <c r="A6" s="71" t="s">
        <v>16</v>
      </c>
      <c r="B6" s="71"/>
      <c r="C6" s="56"/>
      <c r="D6" s="50">
        <f>D7+D12+D14+D16</f>
        <v>1222.7</v>
      </c>
      <c r="E6" s="50"/>
      <c r="F6" s="50"/>
      <c r="G6" s="108"/>
      <c r="H6" s="54"/>
      <c r="I6" s="50">
        <f>I7+I12+I14+I16</f>
        <v>1315886.17</v>
      </c>
      <c r="J6" s="50"/>
      <c r="K6" s="50"/>
    </row>
    <row r="7" spans="1:11" x14ac:dyDescent="0.25">
      <c r="A7" s="216">
        <v>1</v>
      </c>
      <c r="B7" s="265">
        <v>4661</v>
      </c>
      <c r="C7" s="212" t="s">
        <v>262</v>
      </c>
      <c r="D7" s="265">
        <v>330.2</v>
      </c>
      <c r="E7" s="265" t="s">
        <v>167</v>
      </c>
      <c r="F7" s="265">
        <v>2</v>
      </c>
      <c r="G7" s="105"/>
      <c r="H7" s="108" t="s">
        <v>66</v>
      </c>
      <c r="I7" s="50">
        <f>SUM(I8:I11)</f>
        <v>1063312.17</v>
      </c>
      <c r="J7" s="50">
        <f>SUM(J8:J11)</f>
        <v>3220.21</v>
      </c>
      <c r="K7" s="50">
        <f>SUM(K8:K11)</f>
        <v>3661</v>
      </c>
    </row>
    <row r="8" spans="1:11" x14ac:dyDescent="0.25">
      <c r="A8" s="217"/>
      <c r="B8" s="266"/>
      <c r="C8" s="213"/>
      <c r="D8" s="266"/>
      <c r="E8" s="266"/>
      <c r="F8" s="266"/>
      <c r="G8" s="216" t="s">
        <v>70</v>
      </c>
      <c r="H8" s="57" t="s">
        <v>67</v>
      </c>
      <c r="I8" s="50">
        <v>906138.22</v>
      </c>
      <c r="J8" s="50">
        <f>I8/D7</f>
        <v>2744.21</v>
      </c>
      <c r="K8" s="50">
        <v>2967</v>
      </c>
    </row>
    <row r="9" spans="1:11" x14ac:dyDescent="0.25">
      <c r="A9" s="217"/>
      <c r="B9" s="266"/>
      <c r="C9" s="213"/>
      <c r="D9" s="266"/>
      <c r="E9" s="266"/>
      <c r="F9" s="266"/>
      <c r="G9" s="222"/>
      <c r="H9" s="57" t="s">
        <v>69</v>
      </c>
      <c r="I9" s="50">
        <f>I8*0.0214</f>
        <v>19391.36</v>
      </c>
      <c r="J9" s="50">
        <f>I9/D7</f>
        <v>58.73</v>
      </c>
      <c r="K9" s="50">
        <v>63</v>
      </c>
    </row>
    <row r="10" spans="1:11" x14ac:dyDescent="0.25">
      <c r="A10" s="217"/>
      <c r="B10" s="266"/>
      <c r="C10" s="213"/>
      <c r="D10" s="266"/>
      <c r="E10" s="266"/>
      <c r="F10" s="266"/>
      <c r="G10" s="216" t="s">
        <v>71</v>
      </c>
      <c r="H10" s="57" t="s">
        <v>67</v>
      </c>
      <c r="I10" s="50">
        <v>134895.82</v>
      </c>
      <c r="J10" s="50">
        <f>I10/D7</f>
        <v>408.53</v>
      </c>
      <c r="K10" s="50">
        <v>618</v>
      </c>
    </row>
    <row r="11" spans="1:11" x14ac:dyDescent="0.25">
      <c r="A11" s="222"/>
      <c r="B11" s="270"/>
      <c r="C11" s="214"/>
      <c r="D11" s="270"/>
      <c r="E11" s="270"/>
      <c r="F11" s="270"/>
      <c r="G11" s="222"/>
      <c r="H11" s="57" t="s">
        <v>69</v>
      </c>
      <c r="I11" s="50">
        <f>I10*0.0214</f>
        <v>2886.77</v>
      </c>
      <c r="J11" s="50">
        <f>I11/D7</f>
        <v>8.74</v>
      </c>
      <c r="K11" s="50">
        <v>13</v>
      </c>
    </row>
    <row r="12" spans="1:11" x14ac:dyDescent="0.25">
      <c r="A12" s="216">
        <f>A7+1</f>
        <v>2</v>
      </c>
      <c r="B12" s="216">
        <v>4692</v>
      </c>
      <c r="C12" s="218" t="s">
        <v>286</v>
      </c>
      <c r="D12" s="216">
        <v>237.2</v>
      </c>
      <c r="E12" s="216" t="s">
        <v>68</v>
      </c>
      <c r="F12" s="216">
        <v>2</v>
      </c>
      <c r="G12" s="216" t="s">
        <v>78</v>
      </c>
      <c r="H12" s="108" t="s">
        <v>66</v>
      </c>
      <c r="I12" s="50">
        <f>I13</f>
        <v>15180.8</v>
      </c>
      <c r="J12" s="50">
        <f>J13</f>
        <v>64</v>
      </c>
      <c r="K12" s="50">
        <f>K13</f>
        <v>64</v>
      </c>
    </row>
    <row r="13" spans="1:11" ht="63" x14ac:dyDescent="0.25">
      <c r="A13" s="222"/>
      <c r="B13" s="222"/>
      <c r="C13" s="226"/>
      <c r="D13" s="222"/>
      <c r="E13" s="222"/>
      <c r="F13" s="222"/>
      <c r="G13" s="222"/>
      <c r="H13" s="58" t="s">
        <v>168</v>
      </c>
      <c r="I13" s="50">
        <f>D12*K13</f>
        <v>15180.8</v>
      </c>
      <c r="J13" s="50">
        <f>I13/D12</f>
        <v>64</v>
      </c>
      <c r="K13" s="50">
        <f>21+43</f>
        <v>64</v>
      </c>
    </row>
    <row r="14" spans="1:11" x14ac:dyDescent="0.25">
      <c r="A14" s="215">
        <f>A12+1</f>
        <v>3</v>
      </c>
      <c r="B14" s="320">
        <v>4753</v>
      </c>
      <c r="C14" s="218" t="s">
        <v>530</v>
      </c>
      <c r="D14" s="216">
        <v>325.2</v>
      </c>
      <c r="E14" s="216" t="s">
        <v>167</v>
      </c>
      <c r="F14" s="216">
        <v>2</v>
      </c>
      <c r="G14" s="216" t="s">
        <v>65</v>
      </c>
      <c r="H14" s="58" t="s">
        <v>66</v>
      </c>
      <c r="I14" s="50">
        <f>I15</f>
        <v>84226.8</v>
      </c>
      <c r="J14" s="50">
        <f>J15</f>
        <v>259</v>
      </c>
      <c r="K14" s="50">
        <f>K15</f>
        <v>259</v>
      </c>
    </row>
    <row r="15" spans="1:11" ht="63" x14ac:dyDescent="0.25">
      <c r="A15" s="215"/>
      <c r="B15" s="320"/>
      <c r="C15" s="226"/>
      <c r="D15" s="222"/>
      <c r="E15" s="222"/>
      <c r="F15" s="222"/>
      <c r="G15" s="222"/>
      <c r="H15" s="58" t="s">
        <v>168</v>
      </c>
      <c r="I15" s="50">
        <f>K15*D14</f>
        <v>84226.8</v>
      </c>
      <c r="J15" s="50">
        <f>I15/D14</f>
        <v>259</v>
      </c>
      <c r="K15" s="50">
        <f>163+96</f>
        <v>259</v>
      </c>
    </row>
    <row r="16" spans="1:11" x14ac:dyDescent="0.25">
      <c r="A16" s="215">
        <f>A14+1</f>
        <v>4</v>
      </c>
      <c r="B16" s="215">
        <v>4754</v>
      </c>
      <c r="C16" s="321" t="s">
        <v>531</v>
      </c>
      <c r="D16" s="216">
        <v>330.1</v>
      </c>
      <c r="E16" s="216" t="s">
        <v>167</v>
      </c>
      <c r="F16" s="216">
        <v>2</v>
      </c>
      <c r="G16" s="216" t="s">
        <v>75</v>
      </c>
      <c r="H16" s="58" t="s">
        <v>66</v>
      </c>
      <c r="I16" s="50">
        <f>SUM(I17:I18)</f>
        <v>153166.39999999999</v>
      </c>
      <c r="J16" s="50">
        <f>SUM(J17:J18)</f>
        <v>464</v>
      </c>
      <c r="K16" s="50">
        <f>SUM(K17:K18)</f>
        <v>464</v>
      </c>
    </row>
    <row r="17" spans="1:11" ht="63" x14ac:dyDescent="0.25">
      <c r="A17" s="215"/>
      <c r="B17" s="215"/>
      <c r="C17" s="322"/>
      <c r="D17" s="217"/>
      <c r="E17" s="217"/>
      <c r="F17" s="217"/>
      <c r="G17" s="217"/>
      <c r="H17" s="58" t="s">
        <v>178</v>
      </c>
      <c r="I17" s="50">
        <f>K17*D16</f>
        <v>85495.9</v>
      </c>
      <c r="J17" s="50">
        <f>I17/D16</f>
        <v>259</v>
      </c>
      <c r="K17" s="50">
        <f>232+27</f>
        <v>259</v>
      </c>
    </row>
    <row r="18" spans="1:11" ht="63" x14ac:dyDescent="0.25">
      <c r="A18" s="215"/>
      <c r="B18" s="215"/>
      <c r="C18" s="323"/>
      <c r="D18" s="222"/>
      <c r="E18" s="222"/>
      <c r="F18" s="222"/>
      <c r="G18" s="222"/>
      <c r="H18" s="58" t="s">
        <v>504</v>
      </c>
      <c r="I18" s="50">
        <f>K18*D16</f>
        <v>67670.5</v>
      </c>
      <c r="J18" s="50">
        <f>I18/D16</f>
        <v>205</v>
      </c>
      <c r="K18" s="50">
        <f>177+28</f>
        <v>205</v>
      </c>
    </row>
    <row r="19" spans="1:11" x14ac:dyDescent="0.25">
      <c r="A19" s="56" t="s">
        <v>29</v>
      </c>
      <c r="B19" s="114"/>
      <c r="C19" s="91"/>
      <c r="D19" s="109">
        <f>D20+D23+D26+D29+D32+D34+D36+D39</f>
        <v>12287.33</v>
      </c>
      <c r="E19" s="122"/>
      <c r="F19" s="122"/>
      <c r="G19" s="109"/>
      <c r="H19" s="55"/>
      <c r="I19" s="50">
        <f>I20+I23+I26+I29+I32+I34+I36+I39</f>
        <v>34392463.869999997</v>
      </c>
      <c r="J19" s="50"/>
      <c r="K19" s="50"/>
    </row>
    <row r="20" spans="1:11" x14ac:dyDescent="0.25">
      <c r="A20" s="216">
        <v>1</v>
      </c>
      <c r="B20" s="216">
        <v>4405</v>
      </c>
      <c r="C20" s="218" t="s">
        <v>84</v>
      </c>
      <c r="D20" s="220">
        <v>1765.93</v>
      </c>
      <c r="E20" s="216" t="s">
        <v>68</v>
      </c>
      <c r="F20" s="216">
        <v>3</v>
      </c>
      <c r="G20" s="216" t="s">
        <v>65</v>
      </c>
      <c r="H20" s="57" t="s">
        <v>66</v>
      </c>
      <c r="I20" s="50">
        <f>I21+I22</f>
        <v>7206813.8799999999</v>
      </c>
      <c r="J20" s="50">
        <f>J21+J22</f>
        <v>4081.03</v>
      </c>
      <c r="K20" s="50">
        <f>K21+K22</f>
        <v>5144</v>
      </c>
    </row>
    <row r="21" spans="1:11" x14ac:dyDescent="0.25">
      <c r="A21" s="217"/>
      <c r="B21" s="217"/>
      <c r="C21" s="219"/>
      <c r="D21" s="221"/>
      <c r="E21" s="217"/>
      <c r="F21" s="217"/>
      <c r="G21" s="217"/>
      <c r="H21" s="57" t="s">
        <v>67</v>
      </c>
      <c r="I21" s="50">
        <v>7055819.3499999996</v>
      </c>
      <c r="J21" s="50">
        <f>I21/D20</f>
        <v>3995.53</v>
      </c>
      <c r="K21" s="50">
        <v>5036</v>
      </c>
    </row>
    <row r="22" spans="1:11" x14ac:dyDescent="0.25">
      <c r="A22" s="222"/>
      <c r="B22" s="222"/>
      <c r="C22" s="226"/>
      <c r="D22" s="227"/>
      <c r="E22" s="222"/>
      <c r="F22" s="222"/>
      <c r="G22" s="222"/>
      <c r="H22" s="57" t="s">
        <v>69</v>
      </c>
      <c r="I22" s="50">
        <v>150994.53</v>
      </c>
      <c r="J22" s="50">
        <f>I22/D20</f>
        <v>85.5</v>
      </c>
      <c r="K22" s="50">
        <v>108</v>
      </c>
    </row>
    <row r="23" spans="1:11" x14ac:dyDescent="0.25">
      <c r="A23" s="216">
        <f>A20+1</f>
        <v>2</v>
      </c>
      <c r="B23" s="216">
        <v>4563</v>
      </c>
      <c r="C23" s="218" t="s">
        <v>183</v>
      </c>
      <c r="D23" s="220">
        <v>4353.01</v>
      </c>
      <c r="E23" s="216" t="s">
        <v>68</v>
      </c>
      <c r="F23" s="216">
        <v>5</v>
      </c>
      <c r="G23" s="216" t="s">
        <v>65</v>
      </c>
      <c r="H23" s="57" t="s">
        <v>66</v>
      </c>
      <c r="I23" s="50">
        <f>I24+I25</f>
        <v>10662580.619999999</v>
      </c>
      <c r="J23" s="50">
        <f>J24+J25</f>
        <v>2449.4699999999998</v>
      </c>
      <c r="K23" s="50">
        <f>K24+K25</f>
        <v>3878</v>
      </c>
    </row>
    <row r="24" spans="1:11" x14ac:dyDescent="0.25">
      <c r="A24" s="217"/>
      <c r="B24" s="217"/>
      <c r="C24" s="219"/>
      <c r="D24" s="221"/>
      <c r="E24" s="217"/>
      <c r="F24" s="217"/>
      <c r="G24" s="217"/>
      <c r="H24" s="57" t="s">
        <v>67</v>
      </c>
      <c r="I24" s="50">
        <v>10439182.119999999</v>
      </c>
      <c r="J24" s="50">
        <f>I24/D23</f>
        <v>2398.15</v>
      </c>
      <c r="K24" s="50">
        <v>3797</v>
      </c>
    </row>
    <row r="25" spans="1:11" x14ac:dyDescent="0.25">
      <c r="A25" s="222"/>
      <c r="B25" s="222"/>
      <c r="C25" s="226"/>
      <c r="D25" s="227"/>
      <c r="E25" s="222"/>
      <c r="F25" s="222"/>
      <c r="G25" s="222"/>
      <c r="H25" s="57" t="s">
        <v>69</v>
      </c>
      <c r="I25" s="50">
        <v>223398.5</v>
      </c>
      <c r="J25" s="50">
        <f>I25/D23</f>
        <v>51.32</v>
      </c>
      <c r="K25" s="50">
        <v>81</v>
      </c>
    </row>
    <row r="26" spans="1:11" x14ac:dyDescent="0.25">
      <c r="A26" s="216">
        <f>A23+1</f>
        <v>3</v>
      </c>
      <c r="B26" s="216">
        <v>4598</v>
      </c>
      <c r="C26" s="218" t="s">
        <v>113</v>
      </c>
      <c r="D26" s="220">
        <v>726.63</v>
      </c>
      <c r="E26" s="216" t="s">
        <v>167</v>
      </c>
      <c r="F26" s="216">
        <v>2</v>
      </c>
      <c r="G26" s="216" t="s">
        <v>65</v>
      </c>
      <c r="H26" s="57" t="s">
        <v>66</v>
      </c>
      <c r="I26" s="50">
        <f>I27+I28</f>
        <v>3548027.05</v>
      </c>
      <c r="J26" s="50">
        <f>J27+J28</f>
        <v>4882.8500000000004</v>
      </c>
      <c r="K26" s="50">
        <f>K27+K28</f>
        <v>7688</v>
      </c>
    </row>
    <row r="27" spans="1:11" x14ac:dyDescent="0.25">
      <c r="A27" s="217"/>
      <c r="B27" s="217"/>
      <c r="C27" s="219"/>
      <c r="D27" s="221"/>
      <c r="E27" s="217"/>
      <c r="F27" s="217"/>
      <c r="G27" s="217"/>
      <c r="H27" s="57" t="s">
        <v>67</v>
      </c>
      <c r="I27" s="50">
        <v>3473690.08</v>
      </c>
      <c r="J27" s="50">
        <f>I27/D26</f>
        <v>4780.55</v>
      </c>
      <c r="K27" s="50">
        <v>7527</v>
      </c>
    </row>
    <row r="28" spans="1:11" x14ac:dyDescent="0.25">
      <c r="A28" s="222"/>
      <c r="B28" s="222"/>
      <c r="C28" s="226"/>
      <c r="D28" s="227"/>
      <c r="E28" s="222"/>
      <c r="F28" s="222"/>
      <c r="G28" s="222"/>
      <c r="H28" s="57" t="s">
        <v>69</v>
      </c>
      <c r="I28" s="50">
        <v>74336.97</v>
      </c>
      <c r="J28" s="50">
        <f>I28/D26</f>
        <v>102.3</v>
      </c>
      <c r="K28" s="50">
        <v>161</v>
      </c>
    </row>
    <row r="29" spans="1:11" x14ac:dyDescent="0.25">
      <c r="A29" s="216">
        <f>A26+1</f>
        <v>4</v>
      </c>
      <c r="B29" s="216">
        <v>4589</v>
      </c>
      <c r="C29" s="218" t="s">
        <v>85</v>
      </c>
      <c r="D29" s="220">
        <v>4046.4</v>
      </c>
      <c r="E29" s="216" t="s">
        <v>68</v>
      </c>
      <c r="F29" s="216">
        <v>5</v>
      </c>
      <c r="G29" s="216" t="s">
        <v>65</v>
      </c>
      <c r="H29" s="57" t="s">
        <v>66</v>
      </c>
      <c r="I29" s="50">
        <f>I30+I31</f>
        <v>10320593.359999999</v>
      </c>
      <c r="J29" s="50">
        <f>J30+J31</f>
        <v>2550.56</v>
      </c>
      <c r="K29" s="50">
        <f>K30+K31</f>
        <v>3878</v>
      </c>
    </row>
    <row r="30" spans="1:11" x14ac:dyDescent="0.25">
      <c r="A30" s="217"/>
      <c r="B30" s="217"/>
      <c r="C30" s="219"/>
      <c r="D30" s="221"/>
      <c r="E30" s="217"/>
      <c r="F30" s="217"/>
      <c r="G30" s="217"/>
      <c r="H30" s="57" t="s">
        <v>67</v>
      </c>
      <c r="I30" s="50">
        <v>10104360.050000001</v>
      </c>
      <c r="J30" s="50">
        <f>I30/D29</f>
        <v>2497.12</v>
      </c>
      <c r="K30" s="50">
        <v>3797</v>
      </c>
    </row>
    <row r="31" spans="1:11" x14ac:dyDescent="0.25">
      <c r="A31" s="222"/>
      <c r="B31" s="222"/>
      <c r="C31" s="226"/>
      <c r="D31" s="227"/>
      <c r="E31" s="222"/>
      <c r="F31" s="222"/>
      <c r="G31" s="222"/>
      <c r="H31" s="57" t="s">
        <v>69</v>
      </c>
      <c r="I31" s="50">
        <v>216233.31</v>
      </c>
      <c r="J31" s="50">
        <f>I31/D29</f>
        <v>53.44</v>
      </c>
      <c r="K31" s="50">
        <v>81</v>
      </c>
    </row>
    <row r="32" spans="1:11" x14ac:dyDescent="0.25">
      <c r="A32" s="317">
        <f>A29+1</f>
        <v>5</v>
      </c>
      <c r="B32" s="265">
        <v>8083</v>
      </c>
      <c r="C32" s="212" t="s">
        <v>352</v>
      </c>
      <c r="D32" s="271">
        <v>325.16000000000003</v>
      </c>
      <c r="E32" s="220" t="s">
        <v>167</v>
      </c>
      <c r="F32" s="265">
        <v>2</v>
      </c>
      <c r="G32" s="105"/>
      <c r="H32" s="57" t="s">
        <v>66</v>
      </c>
      <c r="I32" s="50">
        <f>SUM(I33)</f>
        <v>44546.92</v>
      </c>
      <c r="J32" s="50">
        <f>SUM(J33)</f>
        <v>137</v>
      </c>
      <c r="K32" s="50">
        <f>SUM(K33)</f>
        <v>137</v>
      </c>
    </row>
    <row r="33" spans="1:11" ht="63" x14ac:dyDescent="0.25">
      <c r="A33" s="270"/>
      <c r="B33" s="270"/>
      <c r="C33" s="214"/>
      <c r="D33" s="283"/>
      <c r="E33" s="227"/>
      <c r="F33" s="270"/>
      <c r="G33" s="105" t="s">
        <v>70</v>
      </c>
      <c r="H33" s="92" t="s">
        <v>168</v>
      </c>
      <c r="I33" s="50">
        <f>D32*K33</f>
        <v>44546.92</v>
      </c>
      <c r="J33" s="50">
        <f>I33/D32</f>
        <v>137</v>
      </c>
      <c r="K33" s="50">
        <f>116+21</f>
        <v>137</v>
      </c>
    </row>
    <row r="34" spans="1:11" x14ac:dyDescent="0.25">
      <c r="A34" s="317">
        <f>A32+1</f>
        <v>6</v>
      </c>
      <c r="B34" s="265">
        <v>4480</v>
      </c>
      <c r="C34" s="212" t="s">
        <v>354</v>
      </c>
      <c r="D34" s="271">
        <v>385</v>
      </c>
      <c r="E34" s="265" t="s">
        <v>68</v>
      </c>
      <c r="F34" s="265">
        <v>2</v>
      </c>
      <c r="G34" s="105"/>
      <c r="H34" s="57" t="s">
        <v>66</v>
      </c>
      <c r="I34" s="50">
        <f>I35</f>
        <v>90734.87</v>
      </c>
      <c r="J34" s="50">
        <f>J35</f>
        <v>235.67</v>
      </c>
      <c r="K34" s="50">
        <f>K35</f>
        <v>247</v>
      </c>
    </row>
    <row r="35" spans="1:11" ht="63" x14ac:dyDescent="0.25">
      <c r="A35" s="266"/>
      <c r="B35" s="266"/>
      <c r="C35" s="213"/>
      <c r="D35" s="272"/>
      <c r="E35" s="266"/>
      <c r="F35" s="266"/>
      <c r="G35" s="105" t="s">
        <v>65</v>
      </c>
      <c r="H35" s="92" t="s">
        <v>168</v>
      </c>
      <c r="I35" s="50">
        <v>90734.87</v>
      </c>
      <c r="J35" s="50">
        <f>I35/D34</f>
        <v>235.67</v>
      </c>
      <c r="K35" s="50">
        <f>151+96</f>
        <v>247</v>
      </c>
    </row>
    <row r="36" spans="1:11" x14ac:dyDescent="0.25">
      <c r="A36" s="265">
        <f>A34+1</f>
        <v>7</v>
      </c>
      <c r="B36" s="265">
        <v>4532</v>
      </c>
      <c r="C36" s="212" t="s">
        <v>356</v>
      </c>
      <c r="D36" s="271">
        <v>317.3</v>
      </c>
      <c r="E36" s="265" t="s">
        <v>68</v>
      </c>
      <c r="F36" s="265">
        <v>2</v>
      </c>
      <c r="G36" s="105"/>
      <c r="H36" s="57" t="s">
        <v>66</v>
      </c>
      <c r="I36" s="50">
        <f>SUM(I37:I38)</f>
        <v>53536.44</v>
      </c>
      <c r="J36" s="50">
        <f>SUM(J37:J38)</f>
        <v>168.72</v>
      </c>
      <c r="K36" s="50">
        <f>SUM(K37:K38)</f>
        <v>179</v>
      </c>
    </row>
    <row r="37" spans="1:11" ht="63" x14ac:dyDescent="0.25">
      <c r="A37" s="266"/>
      <c r="B37" s="266"/>
      <c r="C37" s="213"/>
      <c r="D37" s="272"/>
      <c r="E37" s="266"/>
      <c r="F37" s="266"/>
      <c r="G37" s="105" t="s">
        <v>70</v>
      </c>
      <c r="H37" s="92" t="s">
        <v>168</v>
      </c>
      <c r="I37" s="50">
        <v>40709.589999999997</v>
      </c>
      <c r="J37" s="50">
        <f>I37/D36</f>
        <v>128.30000000000001</v>
      </c>
      <c r="K37" s="50">
        <f>116+21</f>
        <v>137</v>
      </c>
    </row>
    <row r="38" spans="1:11" ht="63" x14ac:dyDescent="0.25">
      <c r="A38" s="270"/>
      <c r="B38" s="270"/>
      <c r="C38" s="214"/>
      <c r="D38" s="283"/>
      <c r="E38" s="270"/>
      <c r="F38" s="270"/>
      <c r="G38" s="105" t="s">
        <v>71</v>
      </c>
      <c r="H38" s="92" t="s">
        <v>168</v>
      </c>
      <c r="I38" s="50">
        <v>12826.85</v>
      </c>
      <c r="J38" s="50">
        <f>I38/D36</f>
        <v>40.42</v>
      </c>
      <c r="K38" s="50">
        <f>21+21</f>
        <v>42</v>
      </c>
    </row>
    <row r="39" spans="1:11" x14ac:dyDescent="0.25">
      <c r="A39" s="280">
        <f>A36+1</f>
        <v>8</v>
      </c>
      <c r="B39" s="280">
        <v>4464</v>
      </c>
      <c r="C39" s="281" t="s">
        <v>357</v>
      </c>
      <c r="D39" s="282">
        <v>367.9</v>
      </c>
      <c r="E39" s="220" t="s">
        <v>68</v>
      </c>
      <c r="F39" s="265">
        <v>2</v>
      </c>
      <c r="G39" s="216" t="s">
        <v>65</v>
      </c>
      <c r="H39" s="57" t="s">
        <v>66</v>
      </c>
      <c r="I39" s="50">
        <f>SUM(I40:I42)</f>
        <v>2465630.73</v>
      </c>
      <c r="J39" s="50">
        <f>SUM(J40:J42)</f>
        <v>6701.9</v>
      </c>
      <c r="K39" s="50">
        <f>SUM(K40:K42)</f>
        <v>7935</v>
      </c>
    </row>
    <row r="40" spans="1:11" ht="63" x14ac:dyDescent="0.25">
      <c r="A40" s="280"/>
      <c r="B40" s="280"/>
      <c r="C40" s="281"/>
      <c r="D40" s="282"/>
      <c r="E40" s="221"/>
      <c r="F40" s="266"/>
      <c r="G40" s="217"/>
      <c r="H40" s="92" t="s">
        <v>168</v>
      </c>
      <c r="I40" s="50">
        <v>69552.899999999994</v>
      </c>
      <c r="J40" s="50">
        <f>I40/D39</f>
        <v>189.05</v>
      </c>
      <c r="K40" s="50">
        <f>151+96</f>
        <v>247</v>
      </c>
    </row>
    <row r="41" spans="1:11" x14ac:dyDescent="0.25">
      <c r="A41" s="280"/>
      <c r="B41" s="280"/>
      <c r="C41" s="281"/>
      <c r="D41" s="282"/>
      <c r="E41" s="221"/>
      <c r="F41" s="266"/>
      <c r="G41" s="217"/>
      <c r="H41" s="57" t="s">
        <v>67</v>
      </c>
      <c r="I41" s="50">
        <v>2345876.08</v>
      </c>
      <c r="J41" s="50">
        <f>I41/D39</f>
        <v>6376.4</v>
      </c>
      <c r="K41" s="50">
        <v>7527</v>
      </c>
    </row>
    <row r="42" spans="1:11" x14ac:dyDescent="0.25">
      <c r="A42" s="280"/>
      <c r="B42" s="280"/>
      <c r="C42" s="281"/>
      <c r="D42" s="282"/>
      <c r="E42" s="227"/>
      <c r="F42" s="270"/>
      <c r="G42" s="222"/>
      <c r="H42" s="57" t="s">
        <v>69</v>
      </c>
      <c r="I42" s="50">
        <v>50201.75</v>
      </c>
      <c r="J42" s="50">
        <f>I42/D39</f>
        <v>136.44999999999999</v>
      </c>
      <c r="K42" s="50">
        <v>161</v>
      </c>
    </row>
    <row r="43" spans="1:11" x14ac:dyDescent="0.25">
      <c r="A43" s="56" t="s">
        <v>533</v>
      </c>
      <c r="B43" s="114"/>
      <c r="C43" s="91"/>
      <c r="D43" s="109">
        <f>D44</f>
        <v>381.3</v>
      </c>
      <c r="E43" s="122"/>
      <c r="F43" s="122"/>
      <c r="G43" s="109"/>
      <c r="H43" s="55"/>
      <c r="I43" s="109">
        <f>I44</f>
        <v>95325</v>
      </c>
      <c r="J43" s="50"/>
      <c r="K43" s="50"/>
    </row>
    <row r="44" spans="1:11" x14ac:dyDescent="0.25">
      <c r="A44" s="231">
        <v>1</v>
      </c>
      <c r="B44" s="231">
        <v>4784</v>
      </c>
      <c r="C44" s="195" t="s">
        <v>532</v>
      </c>
      <c r="D44" s="231">
        <v>381.3</v>
      </c>
      <c r="E44" s="231" t="s">
        <v>68</v>
      </c>
      <c r="F44" s="231">
        <v>2</v>
      </c>
      <c r="G44" s="216" t="s">
        <v>65</v>
      </c>
      <c r="H44" s="108" t="s">
        <v>66</v>
      </c>
      <c r="I44" s="109">
        <f>I45</f>
        <v>95325</v>
      </c>
      <c r="J44" s="109">
        <f>J45</f>
        <v>250</v>
      </c>
      <c r="K44" s="109">
        <f>K45</f>
        <v>250</v>
      </c>
    </row>
    <row r="45" spans="1:11" ht="63" x14ac:dyDescent="0.25">
      <c r="A45" s="231"/>
      <c r="B45" s="231"/>
      <c r="C45" s="195"/>
      <c r="D45" s="231"/>
      <c r="E45" s="231"/>
      <c r="F45" s="231"/>
      <c r="G45" s="222"/>
      <c r="H45" s="57" t="s">
        <v>168</v>
      </c>
      <c r="I45" s="109">
        <f>D44*K45</f>
        <v>95325</v>
      </c>
      <c r="J45" s="109">
        <f>I45/D44</f>
        <v>250</v>
      </c>
      <c r="K45" s="111">
        <f>154+96</f>
        <v>250</v>
      </c>
    </row>
    <row r="46" spans="1:11" x14ac:dyDescent="0.25">
      <c r="A46" s="56" t="s">
        <v>30</v>
      </c>
      <c r="B46" s="114"/>
      <c r="C46" s="91"/>
      <c r="D46" s="109">
        <f>D47+D52+D55+D60</f>
        <v>2243</v>
      </c>
      <c r="E46" s="122"/>
      <c r="F46" s="122"/>
      <c r="G46" s="109"/>
      <c r="H46" s="55"/>
      <c r="I46" s="50">
        <f>I47+I52+I55+I60</f>
        <v>6825661.21</v>
      </c>
      <c r="J46" s="50"/>
      <c r="K46" s="50"/>
    </row>
    <row r="47" spans="1:11" x14ac:dyDescent="0.25">
      <c r="A47" s="232">
        <v>1</v>
      </c>
      <c r="B47" s="232">
        <v>6698</v>
      </c>
      <c r="C47" s="298" t="s">
        <v>264</v>
      </c>
      <c r="D47" s="232">
        <v>332.7</v>
      </c>
      <c r="E47" s="228" t="s">
        <v>167</v>
      </c>
      <c r="F47" s="228">
        <v>2</v>
      </c>
      <c r="G47" s="42"/>
      <c r="H47" s="57" t="s">
        <v>66</v>
      </c>
      <c r="I47" s="50">
        <f>I48+I49+I50+I51</f>
        <v>2014936.67</v>
      </c>
      <c r="J47" s="50">
        <f>J48+J49+J50+J51</f>
        <v>6056.32</v>
      </c>
      <c r="K47" s="50">
        <f>K48+K49+K50+K51</f>
        <v>8931</v>
      </c>
    </row>
    <row r="48" spans="1:11" x14ac:dyDescent="0.25">
      <c r="A48" s="233"/>
      <c r="B48" s="233"/>
      <c r="C48" s="306"/>
      <c r="D48" s="233"/>
      <c r="E48" s="229"/>
      <c r="F48" s="229"/>
      <c r="G48" s="232" t="s">
        <v>77</v>
      </c>
      <c r="H48" s="57" t="s">
        <v>67</v>
      </c>
      <c r="I48" s="50">
        <v>237215.09</v>
      </c>
      <c r="J48" s="50">
        <f>I48/D47</f>
        <v>713</v>
      </c>
      <c r="K48" s="50">
        <v>713</v>
      </c>
    </row>
    <row r="49" spans="1:11" x14ac:dyDescent="0.25">
      <c r="A49" s="233"/>
      <c r="B49" s="233"/>
      <c r="C49" s="306"/>
      <c r="D49" s="233"/>
      <c r="E49" s="229"/>
      <c r="F49" s="229"/>
      <c r="G49" s="234"/>
      <c r="H49" s="57" t="s">
        <v>69</v>
      </c>
      <c r="I49" s="50">
        <v>4634.51</v>
      </c>
      <c r="J49" s="50">
        <f>I49/D47</f>
        <v>13.93</v>
      </c>
      <c r="K49" s="50">
        <v>15</v>
      </c>
    </row>
    <row r="50" spans="1:11" x14ac:dyDescent="0.25">
      <c r="A50" s="233"/>
      <c r="B50" s="233"/>
      <c r="C50" s="306"/>
      <c r="D50" s="233"/>
      <c r="E50" s="229"/>
      <c r="F50" s="229"/>
      <c r="G50" s="232" t="s">
        <v>65</v>
      </c>
      <c r="H50" s="57" t="s">
        <v>67</v>
      </c>
      <c r="I50" s="50">
        <v>1735938</v>
      </c>
      <c r="J50" s="50">
        <f>I50/D47</f>
        <v>5217.7299999999996</v>
      </c>
      <c r="K50" s="50">
        <v>8031</v>
      </c>
    </row>
    <row r="51" spans="1:11" x14ac:dyDescent="0.25">
      <c r="A51" s="234"/>
      <c r="B51" s="234"/>
      <c r="C51" s="299"/>
      <c r="D51" s="234"/>
      <c r="E51" s="230"/>
      <c r="F51" s="230"/>
      <c r="G51" s="234"/>
      <c r="H51" s="57" t="s">
        <v>69</v>
      </c>
      <c r="I51" s="50">
        <v>37149.07</v>
      </c>
      <c r="J51" s="50">
        <f>I51/D47</f>
        <v>111.66</v>
      </c>
      <c r="K51" s="50">
        <v>172</v>
      </c>
    </row>
    <row r="52" spans="1:11" x14ac:dyDescent="0.25">
      <c r="A52" s="232">
        <v>2</v>
      </c>
      <c r="B52" s="232">
        <v>6646</v>
      </c>
      <c r="C52" s="298" t="s">
        <v>265</v>
      </c>
      <c r="D52" s="232">
        <v>481.9</v>
      </c>
      <c r="E52" s="232" t="s">
        <v>167</v>
      </c>
      <c r="F52" s="232">
        <v>2</v>
      </c>
      <c r="G52" s="231" t="s">
        <v>65</v>
      </c>
      <c r="H52" s="57" t="s">
        <v>66</v>
      </c>
      <c r="I52" s="50">
        <f>I53+I54</f>
        <v>2959854.86</v>
      </c>
      <c r="J52" s="50">
        <f>J53+J54</f>
        <v>6142.05</v>
      </c>
      <c r="K52" s="50">
        <f>K53+K54</f>
        <v>8203</v>
      </c>
    </row>
    <row r="53" spans="1:11" x14ac:dyDescent="0.25">
      <c r="A53" s="233"/>
      <c r="B53" s="233"/>
      <c r="C53" s="306"/>
      <c r="D53" s="233"/>
      <c r="E53" s="233"/>
      <c r="F53" s="233"/>
      <c r="G53" s="231"/>
      <c r="H53" s="57" t="s">
        <v>67</v>
      </c>
      <c r="I53" s="50">
        <v>2897841.06</v>
      </c>
      <c r="J53" s="50">
        <f>I53/D52-0.01</f>
        <v>6013.36</v>
      </c>
      <c r="K53" s="50">
        <v>8031</v>
      </c>
    </row>
    <row r="54" spans="1:11" x14ac:dyDescent="0.25">
      <c r="A54" s="234"/>
      <c r="B54" s="234"/>
      <c r="C54" s="299"/>
      <c r="D54" s="234"/>
      <c r="E54" s="234"/>
      <c r="F54" s="234"/>
      <c r="G54" s="231"/>
      <c r="H54" s="57" t="s">
        <v>69</v>
      </c>
      <c r="I54" s="50">
        <v>62013.8</v>
      </c>
      <c r="J54" s="50">
        <f>I54/D52</f>
        <v>128.69</v>
      </c>
      <c r="K54" s="50">
        <v>172</v>
      </c>
    </row>
    <row r="55" spans="1:11" x14ac:dyDescent="0.25">
      <c r="A55" s="231">
        <f>A52+1</f>
        <v>3</v>
      </c>
      <c r="B55" s="231">
        <v>6714</v>
      </c>
      <c r="C55" s="195" t="s">
        <v>263</v>
      </c>
      <c r="D55" s="232">
        <v>706.7</v>
      </c>
      <c r="E55" s="232" t="s">
        <v>68</v>
      </c>
      <c r="F55" s="232">
        <v>2</v>
      </c>
      <c r="G55" s="113"/>
      <c r="H55" s="57" t="s">
        <v>66</v>
      </c>
      <c r="I55" s="50">
        <f>SUM(I56:I59)</f>
        <v>1735758.53</v>
      </c>
      <c r="J55" s="50">
        <f>SUM(J56:J59)</f>
        <v>2456.15</v>
      </c>
      <c r="K55" s="50">
        <f>SUM(K56:K59)</f>
        <v>3661</v>
      </c>
    </row>
    <row r="56" spans="1:11" x14ac:dyDescent="0.25">
      <c r="A56" s="231"/>
      <c r="B56" s="231"/>
      <c r="C56" s="195"/>
      <c r="D56" s="233"/>
      <c r="E56" s="233"/>
      <c r="F56" s="233"/>
      <c r="G56" s="232" t="s">
        <v>70</v>
      </c>
      <c r="H56" s="57" t="s">
        <v>67</v>
      </c>
      <c r="I56" s="50">
        <v>1552238.21</v>
      </c>
      <c r="J56" s="50">
        <f>I56/D55</f>
        <v>2196.46</v>
      </c>
      <c r="K56" s="50">
        <v>2967</v>
      </c>
    </row>
    <row r="57" spans="1:11" x14ac:dyDescent="0.25">
      <c r="A57" s="231"/>
      <c r="B57" s="231"/>
      <c r="C57" s="195"/>
      <c r="D57" s="233"/>
      <c r="E57" s="233"/>
      <c r="F57" s="233"/>
      <c r="G57" s="234"/>
      <c r="H57" s="57" t="s">
        <v>69</v>
      </c>
      <c r="I57" s="50">
        <v>33217.9</v>
      </c>
      <c r="J57" s="50">
        <f>I57/D55</f>
        <v>47</v>
      </c>
      <c r="K57" s="50">
        <v>63</v>
      </c>
    </row>
    <row r="58" spans="1:11" x14ac:dyDescent="0.25">
      <c r="A58" s="231"/>
      <c r="B58" s="231"/>
      <c r="C58" s="195"/>
      <c r="D58" s="233"/>
      <c r="E58" s="233"/>
      <c r="F58" s="233"/>
      <c r="G58" s="232" t="s">
        <v>71</v>
      </c>
      <c r="H58" s="57" t="s">
        <v>67</v>
      </c>
      <c r="I58" s="50">
        <v>147153.34</v>
      </c>
      <c r="J58" s="50">
        <f>I58/D55</f>
        <v>208.23</v>
      </c>
      <c r="K58" s="50">
        <v>618</v>
      </c>
    </row>
    <row r="59" spans="1:11" x14ac:dyDescent="0.25">
      <c r="A59" s="232"/>
      <c r="B59" s="232"/>
      <c r="C59" s="298"/>
      <c r="D59" s="233"/>
      <c r="E59" s="233"/>
      <c r="F59" s="233"/>
      <c r="G59" s="233"/>
      <c r="H59" s="59" t="s">
        <v>69</v>
      </c>
      <c r="I59" s="60">
        <v>3149.08</v>
      </c>
      <c r="J59" s="60">
        <f>I59/D55</f>
        <v>4.46</v>
      </c>
      <c r="K59" s="60">
        <v>13</v>
      </c>
    </row>
    <row r="60" spans="1:11" x14ac:dyDescent="0.25">
      <c r="A60" s="231">
        <f>A55+1</f>
        <v>4</v>
      </c>
      <c r="B60" s="231">
        <v>6711</v>
      </c>
      <c r="C60" s="195" t="s">
        <v>463</v>
      </c>
      <c r="D60" s="231">
        <v>721.7</v>
      </c>
      <c r="E60" s="231" t="s">
        <v>68</v>
      </c>
      <c r="F60" s="231">
        <v>2</v>
      </c>
      <c r="G60" s="113"/>
      <c r="H60" s="57" t="s">
        <v>66</v>
      </c>
      <c r="I60" s="50">
        <f>I61+I62</f>
        <v>115111.15</v>
      </c>
      <c r="J60" s="50">
        <f>J61+J62</f>
        <v>159.5</v>
      </c>
      <c r="K60" s="50">
        <f>K61+K62</f>
        <v>170</v>
      </c>
    </row>
    <row r="61" spans="1:11" ht="63" x14ac:dyDescent="0.25">
      <c r="A61" s="231"/>
      <c r="B61" s="231"/>
      <c r="C61" s="195"/>
      <c r="D61" s="231"/>
      <c r="E61" s="231"/>
      <c r="F61" s="231"/>
      <c r="G61" s="113" t="s">
        <v>70</v>
      </c>
      <c r="H61" s="57" t="s">
        <v>168</v>
      </c>
      <c r="I61" s="50">
        <v>94596.83</v>
      </c>
      <c r="J61" s="50">
        <f>I61/D60</f>
        <v>131.08000000000001</v>
      </c>
      <c r="K61" s="50">
        <f>119+21</f>
        <v>140</v>
      </c>
    </row>
    <row r="62" spans="1:11" ht="63" x14ac:dyDescent="0.25">
      <c r="A62" s="231"/>
      <c r="B62" s="231"/>
      <c r="C62" s="195"/>
      <c r="D62" s="231"/>
      <c r="E62" s="231"/>
      <c r="F62" s="231"/>
      <c r="G62" s="113" t="s">
        <v>78</v>
      </c>
      <c r="H62" s="57" t="s">
        <v>168</v>
      </c>
      <c r="I62" s="50">
        <v>20514.32</v>
      </c>
      <c r="J62" s="50">
        <f>I62/D60</f>
        <v>28.42</v>
      </c>
      <c r="K62" s="50">
        <f>21+9</f>
        <v>30</v>
      </c>
    </row>
    <row r="63" spans="1:11" s="41" customFormat="1" x14ac:dyDescent="0.25">
      <c r="A63" s="163" t="s">
        <v>40</v>
      </c>
      <c r="B63" s="163"/>
      <c r="C63" s="163"/>
      <c r="D63" s="125">
        <f>D64+D67+D69+D71+D78+D85+D94+D96+D101+D120+D133+D152+D155+D158+D167+D169+D173+D178+D181+D184+D187+D189+D191+D196+D199+D209+D212+D215+D220+D231+D234+D237+D240+D243+D246+D251+D254+D257</f>
        <v>242948.05</v>
      </c>
      <c r="E63" s="125"/>
      <c r="F63" s="61"/>
      <c r="G63" s="104"/>
      <c r="H63" s="101"/>
      <c r="I63" s="17">
        <f>I64+I67+I69+I71+I78+I85+I94+I96+I101+I120+I133+I152+I155+I158+I167+I169+I173+I178+I181+I184+I187+I189+I191+I196+I199+I209+I212+I215+I220+I231+I234+I237+I240+I243+I246+I251+I254+I257</f>
        <v>200941680.96000001</v>
      </c>
      <c r="J63" s="17"/>
      <c r="K63" s="17"/>
    </row>
    <row r="64" spans="1:11" s="41" customFormat="1" x14ac:dyDescent="0.25">
      <c r="A64" s="209">
        <v>1</v>
      </c>
      <c r="B64" s="209">
        <v>6026</v>
      </c>
      <c r="C64" s="212" t="s">
        <v>386</v>
      </c>
      <c r="D64" s="205">
        <v>2728.7</v>
      </c>
      <c r="E64" s="205" t="s">
        <v>64</v>
      </c>
      <c r="F64" s="262">
        <v>5</v>
      </c>
      <c r="G64" s="209" t="s">
        <v>65</v>
      </c>
      <c r="H64" s="62" t="s">
        <v>66</v>
      </c>
      <c r="I64" s="125">
        <f>I65+I66</f>
        <v>2934280.57</v>
      </c>
      <c r="J64" s="125">
        <f>J65+J66</f>
        <v>1075.3399999999999</v>
      </c>
      <c r="K64" s="125">
        <f>K65+K66</f>
        <v>3966</v>
      </c>
    </row>
    <row r="65" spans="1:11" s="41" customFormat="1" ht="63" x14ac:dyDescent="0.25">
      <c r="A65" s="210"/>
      <c r="B65" s="210"/>
      <c r="C65" s="213"/>
      <c r="D65" s="206"/>
      <c r="E65" s="206"/>
      <c r="F65" s="263"/>
      <c r="G65" s="210"/>
      <c r="H65" s="62" t="s">
        <v>178</v>
      </c>
      <c r="I65" s="125">
        <v>179313.72</v>
      </c>
      <c r="J65" s="125">
        <f>I65/D64</f>
        <v>65.709999999999994</v>
      </c>
      <c r="K65" s="125">
        <f>151+18</f>
        <v>169</v>
      </c>
    </row>
    <row r="66" spans="1:11" s="41" customFormat="1" x14ac:dyDescent="0.25">
      <c r="A66" s="210"/>
      <c r="B66" s="210"/>
      <c r="C66" s="213"/>
      <c r="D66" s="206"/>
      <c r="E66" s="206"/>
      <c r="F66" s="263"/>
      <c r="G66" s="210"/>
      <c r="H66" s="62" t="s">
        <v>67</v>
      </c>
      <c r="I66" s="125">
        <v>2754966.85</v>
      </c>
      <c r="J66" s="125">
        <f>I66/D64</f>
        <v>1009.63</v>
      </c>
      <c r="K66" s="125">
        <v>3797</v>
      </c>
    </row>
    <row r="67" spans="1:11" s="41" customFormat="1" x14ac:dyDescent="0.25">
      <c r="A67" s="209">
        <f>A64+1</f>
        <v>2</v>
      </c>
      <c r="B67" s="209">
        <v>6030</v>
      </c>
      <c r="C67" s="212" t="s">
        <v>387</v>
      </c>
      <c r="D67" s="205">
        <v>16127.59</v>
      </c>
      <c r="E67" s="205" t="s">
        <v>68</v>
      </c>
      <c r="F67" s="262">
        <v>9</v>
      </c>
      <c r="G67" s="209" t="s">
        <v>65</v>
      </c>
      <c r="H67" s="62" t="s">
        <v>66</v>
      </c>
      <c r="I67" s="125">
        <f>I68</f>
        <v>4533752.47</v>
      </c>
      <c r="J67" s="125">
        <f t="shared" ref="J67:K67" si="0">J68</f>
        <v>281.12</v>
      </c>
      <c r="K67" s="125">
        <f t="shared" si="0"/>
        <v>2440</v>
      </c>
    </row>
    <row r="68" spans="1:11" s="41" customFormat="1" x14ac:dyDescent="0.25">
      <c r="A68" s="210"/>
      <c r="B68" s="210"/>
      <c r="C68" s="213"/>
      <c r="D68" s="206"/>
      <c r="E68" s="206"/>
      <c r="F68" s="263"/>
      <c r="G68" s="210"/>
      <c r="H68" s="62" t="s">
        <v>67</v>
      </c>
      <c r="I68" s="125">
        <v>4533752.47</v>
      </c>
      <c r="J68" s="125">
        <f>I68/D67</f>
        <v>281.12</v>
      </c>
      <c r="K68" s="125">
        <v>2440</v>
      </c>
    </row>
    <row r="69" spans="1:11" s="41" customFormat="1" x14ac:dyDescent="0.25">
      <c r="A69" s="209">
        <f>A67+1</f>
        <v>3</v>
      </c>
      <c r="B69" s="209">
        <v>6039</v>
      </c>
      <c r="C69" s="212" t="s">
        <v>570</v>
      </c>
      <c r="D69" s="205">
        <v>6661.52</v>
      </c>
      <c r="E69" s="205" t="s">
        <v>68</v>
      </c>
      <c r="F69" s="262">
        <v>10</v>
      </c>
      <c r="G69" s="117"/>
      <c r="H69" s="62" t="s">
        <v>66</v>
      </c>
      <c r="I69" s="125">
        <f>SUM(I70:I70)</f>
        <v>32281</v>
      </c>
      <c r="J69" s="125">
        <f>SUM(J70:J70)</f>
        <v>4.8499999999999996</v>
      </c>
      <c r="K69" s="125">
        <f>SUM(K70:K70)</f>
        <v>4.8499999999999996</v>
      </c>
    </row>
    <row r="70" spans="1:11" s="41" customFormat="1" ht="63" x14ac:dyDescent="0.25">
      <c r="A70" s="210"/>
      <c r="B70" s="210"/>
      <c r="C70" s="213"/>
      <c r="D70" s="206"/>
      <c r="E70" s="206"/>
      <c r="F70" s="263"/>
      <c r="G70" s="106" t="s">
        <v>173</v>
      </c>
      <c r="H70" s="62" t="s">
        <v>231</v>
      </c>
      <c r="I70" s="125">
        <f>22681+9600</f>
        <v>32281</v>
      </c>
      <c r="J70" s="125">
        <f>I70/D69</f>
        <v>4.8499999999999996</v>
      </c>
      <c r="K70" s="125">
        <f>(22681+9600)/D69</f>
        <v>4.8499999999999996</v>
      </c>
    </row>
    <row r="71" spans="1:11" s="41" customFormat="1" x14ac:dyDescent="0.25">
      <c r="A71" s="209">
        <f>A69+1</f>
        <v>4</v>
      </c>
      <c r="B71" s="209">
        <v>6058</v>
      </c>
      <c r="C71" s="212" t="s">
        <v>441</v>
      </c>
      <c r="D71" s="205">
        <v>4746.3</v>
      </c>
      <c r="E71" s="205" t="s">
        <v>68</v>
      </c>
      <c r="F71" s="262">
        <v>12</v>
      </c>
      <c r="G71" s="117"/>
      <c r="H71" s="62" t="s">
        <v>66</v>
      </c>
      <c r="I71" s="125">
        <f>SUM(I72:I77)</f>
        <v>5318402.43</v>
      </c>
      <c r="J71" s="125">
        <f t="shared" ref="J71:K71" si="1">SUM(J72:J77)</f>
        <v>1120.54</v>
      </c>
      <c r="K71" s="125">
        <f t="shared" si="1"/>
        <v>1203.74</v>
      </c>
    </row>
    <row r="72" spans="1:11" s="41" customFormat="1" ht="63" x14ac:dyDescent="0.25">
      <c r="A72" s="210"/>
      <c r="B72" s="210"/>
      <c r="C72" s="213"/>
      <c r="D72" s="206"/>
      <c r="E72" s="206"/>
      <c r="F72" s="263"/>
      <c r="G72" s="209" t="s">
        <v>170</v>
      </c>
      <c r="H72" s="62" t="s">
        <v>231</v>
      </c>
      <c r="I72" s="125">
        <f>22681+9600</f>
        <v>32281</v>
      </c>
      <c r="J72" s="125">
        <f>I72/D71</f>
        <v>6.8</v>
      </c>
      <c r="K72" s="125">
        <f>(22681+9600)/D71</f>
        <v>6.8</v>
      </c>
    </row>
    <row r="73" spans="1:11" s="41" customFormat="1" ht="15.75" customHeight="1" x14ac:dyDescent="0.25">
      <c r="A73" s="210"/>
      <c r="B73" s="210"/>
      <c r="C73" s="213"/>
      <c r="D73" s="206"/>
      <c r="E73" s="206"/>
      <c r="F73" s="263"/>
      <c r="G73" s="210"/>
      <c r="H73" s="62" t="s">
        <v>171</v>
      </c>
      <c r="I73" s="125">
        <v>2335817.19</v>
      </c>
      <c r="J73" s="125">
        <f>I73/D71</f>
        <v>492.13</v>
      </c>
      <c r="K73" s="125">
        <f>2458756/4746.3</f>
        <v>518.04</v>
      </c>
    </row>
    <row r="74" spans="1:11" s="41" customFormat="1" x14ac:dyDescent="0.25">
      <c r="A74" s="210"/>
      <c r="B74" s="210"/>
      <c r="C74" s="213"/>
      <c r="D74" s="206"/>
      <c r="E74" s="206"/>
      <c r="F74" s="263"/>
      <c r="G74" s="211"/>
      <c r="H74" s="62" t="s">
        <v>69</v>
      </c>
      <c r="I74" s="125">
        <v>0</v>
      </c>
      <c r="J74" s="125">
        <f>I74/D71</f>
        <v>0</v>
      </c>
      <c r="K74" s="125">
        <f>52617/4746.3</f>
        <v>11.09</v>
      </c>
    </row>
    <row r="75" spans="1:11" s="41" customFormat="1" ht="63" x14ac:dyDescent="0.25">
      <c r="A75" s="210"/>
      <c r="B75" s="210"/>
      <c r="C75" s="213"/>
      <c r="D75" s="206"/>
      <c r="E75" s="206"/>
      <c r="F75" s="263"/>
      <c r="G75" s="209" t="s">
        <v>170</v>
      </c>
      <c r="H75" s="62" t="s">
        <v>231</v>
      </c>
      <c r="I75" s="125">
        <f>22681+9600</f>
        <v>32281</v>
      </c>
      <c r="J75" s="125">
        <f>I75/D71</f>
        <v>6.8</v>
      </c>
      <c r="K75" s="125">
        <f>(22681+9600)/D71</f>
        <v>6.8</v>
      </c>
    </row>
    <row r="76" spans="1:11" s="41" customFormat="1" ht="15.75" customHeight="1" x14ac:dyDescent="0.25">
      <c r="A76" s="210"/>
      <c r="B76" s="210"/>
      <c r="C76" s="213"/>
      <c r="D76" s="206"/>
      <c r="E76" s="206"/>
      <c r="F76" s="263"/>
      <c r="G76" s="210"/>
      <c r="H76" s="62" t="s">
        <v>171</v>
      </c>
      <c r="I76" s="125">
        <v>2918023.24</v>
      </c>
      <c r="J76" s="125">
        <f>I76/D71+0.01</f>
        <v>614.80999999999995</v>
      </c>
      <c r="K76" s="125">
        <f>3071604/D71</f>
        <v>647.16</v>
      </c>
    </row>
    <row r="77" spans="1:11" s="41" customFormat="1" x14ac:dyDescent="0.25">
      <c r="A77" s="211"/>
      <c r="B77" s="211"/>
      <c r="C77" s="214"/>
      <c r="D77" s="207"/>
      <c r="E77" s="207"/>
      <c r="F77" s="264"/>
      <c r="G77" s="211"/>
      <c r="H77" s="62" t="s">
        <v>69</v>
      </c>
      <c r="I77" s="125">
        <v>0</v>
      </c>
      <c r="J77" s="125">
        <f>I77/D71</f>
        <v>0</v>
      </c>
      <c r="K77" s="125">
        <f>65732/4746.3</f>
        <v>13.85</v>
      </c>
    </row>
    <row r="78" spans="1:11" s="41" customFormat="1" x14ac:dyDescent="0.25">
      <c r="A78" s="209">
        <f>A71+1</f>
        <v>5</v>
      </c>
      <c r="B78" s="209">
        <v>6059</v>
      </c>
      <c r="C78" s="212" t="s">
        <v>442</v>
      </c>
      <c r="D78" s="205">
        <v>3823.5</v>
      </c>
      <c r="E78" s="205" t="s">
        <v>68</v>
      </c>
      <c r="F78" s="262">
        <v>12</v>
      </c>
      <c r="G78" s="117"/>
      <c r="H78" s="62" t="s">
        <v>66</v>
      </c>
      <c r="I78" s="125">
        <f>SUM(I79:I84)</f>
        <v>5594922</v>
      </c>
      <c r="J78" s="125">
        <f t="shared" ref="J78:K78" si="2">SUM(J79:J84)</f>
        <v>1463.3</v>
      </c>
      <c r="K78" s="125">
        <f t="shared" si="2"/>
        <v>1494.25</v>
      </c>
    </row>
    <row r="79" spans="1:11" s="41" customFormat="1" ht="63" x14ac:dyDescent="0.25">
      <c r="A79" s="210"/>
      <c r="B79" s="210"/>
      <c r="C79" s="213"/>
      <c r="D79" s="206"/>
      <c r="E79" s="206"/>
      <c r="F79" s="263"/>
      <c r="G79" s="209" t="s">
        <v>170</v>
      </c>
      <c r="H79" s="62" t="s">
        <v>231</v>
      </c>
      <c r="I79" s="125">
        <f>22681+9600</f>
        <v>32281</v>
      </c>
      <c r="J79" s="125">
        <f>I79/D78</f>
        <v>8.44</v>
      </c>
      <c r="K79" s="125">
        <f>(22681+9600)/D78</f>
        <v>8.44</v>
      </c>
    </row>
    <row r="80" spans="1:11" s="41" customFormat="1" ht="15.75" customHeight="1" x14ac:dyDescent="0.25">
      <c r="A80" s="210"/>
      <c r="B80" s="210"/>
      <c r="C80" s="213"/>
      <c r="D80" s="206"/>
      <c r="E80" s="206"/>
      <c r="F80" s="263"/>
      <c r="G80" s="210"/>
      <c r="H80" s="62" t="s">
        <v>171</v>
      </c>
      <c r="I80" s="125">
        <v>2458756</v>
      </c>
      <c r="J80" s="125">
        <f>I80/D78</f>
        <v>643.05999999999995</v>
      </c>
      <c r="K80" s="125">
        <f>2458756/3823.5</f>
        <v>643.05999999999995</v>
      </c>
    </row>
    <row r="81" spans="1:11" s="41" customFormat="1" x14ac:dyDescent="0.25">
      <c r="A81" s="210"/>
      <c r="B81" s="210"/>
      <c r="C81" s="213"/>
      <c r="D81" s="206"/>
      <c r="E81" s="206"/>
      <c r="F81" s="263"/>
      <c r="G81" s="211"/>
      <c r="H81" s="62" t="s">
        <v>69</v>
      </c>
      <c r="I81" s="125">
        <v>0</v>
      </c>
      <c r="J81" s="125">
        <f>I81/D78</f>
        <v>0</v>
      </c>
      <c r="K81" s="125">
        <f>52617/3823.5</f>
        <v>13.76</v>
      </c>
    </row>
    <row r="82" spans="1:11" s="41" customFormat="1" ht="63" x14ac:dyDescent="0.25">
      <c r="A82" s="210"/>
      <c r="B82" s="210"/>
      <c r="C82" s="213"/>
      <c r="D82" s="206"/>
      <c r="E82" s="206"/>
      <c r="F82" s="263"/>
      <c r="G82" s="209" t="s">
        <v>170</v>
      </c>
      <c r="H82" s="62" t="s">
        <v>231</v>
      </c>
      <c r="I82" s="125">
        <f>22681+9600</f>
        <v>32281</v>
      </c>
      <c r="J82" s="125">
        <f>I82/D78</f>
        <v>8.44</v>
      </c>
      <c r="K82" s="125">
        <f>(22681+9600)/D78</f>
        <v>8.44</v>
      </c>
    </row>
    <row r="83" spans="1:11" s="41" customFormat="1" ht="15.75" customHeight="1" x14ac:dyDescent="0.25">
      <c r="A83" s="210"/>
      <c r="B83" s="210"/>
      <c r="C83" s="213"/>
      <c r="D83" s="206"/>
      <c r="E83" s="206"/>
      <c r="F83" s="263"/>
      <c r="G83" s="210"/>
      <c r="H83" s="62" t="s">
        <v>171</v>
      </c>
      <c r="I83" s="125">
        <v>3071604</v>
      </c>
      <c r="J83" s="125">
        <f>I83/D78+0.01</f>
        <v>803.36</v>
      </c>
      <c r="K83" s="125">
        <f>3071604/3823.5+0.01</f>
        <v>803.36</v>
      </c>
    </row>
    <row r="84" spans="1:11" s="41" customFormat="1" x14ac:dyDescent="0.25">
      <c r="A84" s="211"/>
      <c r="B84" s="211"/>
      <c r="C84" s="214"/>
      <c r="D84" s="207"/>
      <c r="E84" s="207"/>
      <c r="F84" s="264"/>
      <c r="G84" s="211"/>
      <c r="H84" s="62" t="s">
        <v>69</v>
      </c>
      <c r="I84" s="125">
        <v>0</v>
      </c>
      <c r="J84" s="125">
        <f>I84/D78</f>
        <v>0</v>
      </c>
      <c r="K84" s="125">
        <f>65732/3823.5</f>
        <v>17.190000000000001</v>
      </c>
    </row>
    <row r="85" spans="1:11" s="41" customFormat="1" x14ac:dyDescent="0.25">
      <c r="A85" s="209">
        <f>A78+1</f>
        <v>6</v>
      </c>
      <c r="B85" s="209">
        <v>6061</v>
      </c>
      <c r="C85" s="212" t="s">
        <v>466</v>
      </c>
      <c r="D85" s="205">
        <v>43293.2</v>
      </c>
      <c r="E85" s="205" t="s">
        <v>68</v>
      </c>
      <c r="F85" s="262">
        <v>9</v>
      </c>
      <c r="G85" s="117"/>
      <c r="H85" s="62" t="s">
        <v>66</v>
      </c>
      <c r="I85" s="125">
        <f>SUM(I86:I93)</f>
        <v>2435333</v>
      </c>
      <c r="J85" s="125">
        <f t="shared" ref="J85:K85" si="3">SUM(J86:J93)</f>
        <v>56.25</v>
      </c>
      <c r="K85" s="125">
        <f t="shared" si="3"/>
        <v>57.35</v>
      </c>
    </row>
    <row r="86" spans="1:11" s="41" customFormat="1" ht="63" x14ac:dyDescent="0.25">
      <c r="A86" s="210"/>
      <c r="B86" s="210"/>
      <c r="C86" s="213"/>
      <c r="D86" s="206"/>
      <c r="E86" s="206"/>
      <c r="F86" s="263"/>
      <c r="G86" s="106" t="s">
        <v>461</v>
      </c>
      <c r="H86" s="62" t="s">
        <v>168</v>
      </c>
      <c r="I86" s="125">
        <v>32281</v>
      </c>
      <c r="J86" s="125">
        <f>I86/D85-0.01</f>
        <v>0.74</v>
      </c>
      <c r="K86" s="125">
        <f>(22681+9600)/D85-0.01</f>
        <v>0.74</v>
      </c>
    </row>
    <row r="87" spans="1:11" s="41" customFormat="1" ht="63" x14ac:dyDescent="0.25">
      <c r="A87" s="210"/>
      <c r="B87" s="210"/>
      <c r="C87" s="213"/>
      <c r="D87" s="206"/>
      <c r="E87" s="206"/>
      <c r="F87" s="263"/>
      <c r="G87" s="106" t="s">
        <v>571</v>
      </c>
      <c r="H87" s="62" t="s">
        <v>168</v>
      </c>
      <c r="I87" s="125">
        <v>32281</v>
      </c>
      <c r="J87" s="125">
        <f>I87/D85-0.01</f>
        <v>0.74</v>
      </c>
      <c r="K87" s="125">
        <f>(22681+9600)/D85-0.01</f>
        <v>0.74</v>
      </c>
    </row>
    <row r="88" spans="1:11" s="41" customFormat="1" ht="63" x14ac:dyDescent="0.25">
      <c r="A88" s="210"/>
      <c r="B88" s="210"/>
      <c r="C88" s="213"/>
      <c r="D88" s="206"/>
      <c r="E88" s="206"/>
      <c r="F88" s="263"/>
      <c r="G88" s="106" t="s">
        <v>572</v>
      </c>
      <c r="H88" s="62" t="s">
        <v>168</v>
      </c>
      <c r="I88" s="125">
        <v>32281</v>
      </c>
      <c r="J88" s="125">
        <f>I88/D85</f>
        <v>0.75</v>
      </c>
      <c r="K88" s="125">
        <f>(22681+9600)/D85</f>
        <v>0.75</v>
      </c>
    </row>
    <row r="89" spans="1:11" s="41" customFormat="1" ht="63" x14ac:dyDescent="0.25">
      <c r="A89" s="210"/>
      <c r="B89" s="210"/>
      <c r="C89" s="213"/>
      <c r="D89" s="206"/>
      <c r="E89" s="206"/>
      <c r="F89" s="263"/>
      <c r="G89" s="106" t="s">
        <v>573</v>
      </c>
      <c r="H89" s="62" t="s">
        <v>168</v>
      </c>
      <c r="I89" s="125">
        <v>32281</v>
      </c>
      <c r="J89" s="125">
        <f>I89/D85</f>
        <v>0.75</v>
      </c>
      <c r="K89" s="125">
        <f>(22681+9600)/D85</f>
        <v>0.75</v>
      </c>
    </row>
    <row r="90" spans="1:11" s="41" customFormat="1" ht="63" x14ac:dyDescent="0.25">
      <c r="A90" s="210"/>
      <c r="B90" s="210"/>
      <c r="C90" s="213"/>
      <c r="D90" s="206"/>
      <c r="E90" s="206"/>
      <c r="F90" s="263"/>
      <c r="G90" s="106" t="s">
        <v>574</v>
      </c>
      <c r="H90" s="62" t="s">
        <v>168</v>
      </c>
      <c r="I90" s="125">
        <v>32281</v>
      </c>
      <c r="J90" s="125">
        <f>I90/D85</f>
        <v>0.75</v>
      </c>
      <c r="K90" s="125">
        <f>(22681+9600)/D85</f>
        <v>0.75</v>
      </c>
    </row>
    <row r="91" spans="1:11" s="41" customFormat="1" ht="63" x14ac:dyDescent="0.25">
      <c r="A91" s="210"/>
      <c r="B91" s="210"/>
      <c r="C91" s="213"/>
      <c r="D91" s="206"/>
      <c r="E91" s="206"/>
      <c r="F91" s="263"/>
      <c r="G91" s="209" t="s">
        <v>467</v>
      </c>
      <c r="H91" s="62" t="s">
        <v>168</v>
      </c>
      <c r="I91" s="125">
        <v>32281</v>
      </c>
      <c r="J91" s="125">
        <f>I91/D85-0.01</f>
        <v>0.74</v>
      </c>
      <c r="K91" s="125">
        <f>(22681+9600)/D85-0.01</f>
        <v>0.74</v>
      </c>
    </row>
    <row r="92" spans="1:11" s="41" customFormat="1" x14ac:dyDescent="0.25">
      <c r="A92" s="210"/>
      <c r="B92" s="210"/>
      <c r="C92" s="213"/>
      <c r="D92" s="206"/>
      <c r="E92" s="206"/>
      <c r="F92" s="263"/>
      <c r="G92" s="210"/>
      <c r="H92" s="62" t="s">
        <v>171</v>
      </c>
      <c r="I92" s="125">
        <v>2241647</v>
      </c>
      <c r="J92" s="125">
        <f>I92/D85</f>
        <v>51.78</v>
      </c>
      <c r="K92" s="125">
        <f>2241647/D85-0.01</f>
        <v>51.77</v>
      </c>
    </row>
    <row r="93" spans="1:11" s="41" customFormat="1" x14ac:dyDescent="0.25">
      <c r="A93" s="210"/>
      <c r="B93" s="210"/>
      <c r="C93" s="213"/>
      <c r="D93" s="206"/>
      <c r="E93" s="206"/>
      <c r="F93" s="263"/>
      <c r="G93" s="211"/>
      <c r="H93" s="62" t="s">
        <v>69</v>
      </c>
      <c r="I93" s="125">
        <v>0</v>
      </c>
      <c r="J93" s="125">
        <f>I93/D85</f>
        <v>0</v>
      </c>
      <c r="K93" s="125">
        <f>47971/D85</f>
        <v>1.1100000000000001</v>
      </c>
    </row>
    <row r="94" spans="1:11" s="41" customFormat="1" x14ac:dyDescent="0.25">
      <c r="A94" s="209">
        <f>A85+1</f>
        <v>7</v>
      </c>
      <c r="B94" s="209">
        <v>5864</v>
      </c>
      <c r="C94" s="212" t="s">
        <v>388</v>
      </c>
      <c r="D94" s="205">
        <v>2829</v>
      </c>
      <c r="E94" s="262" t="s">
        <v>68</v>
      </c>
      <c r="F94" s="262">
        <v>4</v>
      </c>
      <c r="G94" s="209" t="s">
        <v>65</v>
      </c>
      <c r="H94" s="62" t="s">
        <v>66</v>
      </c>
      <c r="I94" s="125">
        <f>SUM(I95:I95)</f>
        <v>2691115.91</v>
      </c>
      <c r="J94" s="125">
        <f>SUM(J95:J95)</f>
        <v>951.26</v>
      </c>
      <c r="K94" s="125">
        <f>SUM(K95:K95)</f>
        <v>5036</v>
      </c>
    </row>
    <row r="95" spans="1:11" s="41" customFormat="1" x14ac:dyDescent="0.25">
      <c r="A95" s="210"/>
      <c r="B95" s="210"/>
      <c r="C95" s="213"/>
      <c r="D95" s="206"/>
      <c r="E95" s="263"/>
      <c r="F95" s="263"/>
      <c r="G95" s="210"/>
      <c r="H95" s="62" t="s">
        <v>169</v>
      </c>
      <c r="I95" s="125">
        <v>2691115.91</v>
      </c>
      <c r="J95" s="125">
        <f>I95/D94</f>
        <v>951.26</v>
      </c>
      <c r="K95" s="125">
        <v>5036</v>
      </c>
    </row>
    <row r="96" spans="1:11" s="41" customFormat="1" x14ac:dyDescent="0.25">
      <c r="A96" s="209">
        <f>A94+1</f>
        <v>8</v>
      </c>
      <c r="B96" s="209">
        <v>5870</v>
      </c>
      <c r="C96" s="212" t="s">
        <v>468</v>
      </c>
      <c r="D96" s="205">
        <v>2339.1999999999998</v>
      </c>
      <c r="E96" s="205" t="s">
        <v>68</v>
      </c>
      <c r="F96" s="262">
        <v>4</v>
      </c>
      <c r="G96" s="104"/>
      <c r="H96" s="62" t="s">
        <v>469</v>
      </c>
      <c r="I96" s="125">
        <f>I97+I98+I99+I100</f>
        <v>1132055.8899999999</v>
      </c>
      <c r="J96" s="125">
        <f>J97+J98+J99+J100</f>
        <v>483.95</v>
      </c>
      <c r="K96" s="125">
        <f>K97+K98+K99+K100</f>
        <v>1316</v>
      </c>
    </row>
    <row r="97" spans="1:11" s="41" customFormat="1" x14ac:dyDescent="0.25">
      <c r="A97" s="210"/>
      <c r="B97" s="210"/>
      <c r="C97" s="213"/>
      <c r="D97" s="206"/>
      <c r="E97" s="206"/>
      <c r="F97" s="263"/>
      <c r="G97" s="209" t="s">
        <v>71</v>
      </c>
      <c r="H97" s="62" t="s">
        <v>67</v>
      </c>
      <c r="I97" s="125">
        <f>835208.87*0.7</f>
        <v>584646.21</v>
      </c>
      <c r="J97" s="125">
        <f>I97/D96</f>
        <v>249.93</v>
      </c>
      <c r="K97" s="125">
        <v>746</v>
      </c>
    </row>
    <row r="98" spans="1:11" s="41" customFormat="1" x14ac:dyDescent="0.25">
      <c r="A98" s="210"/>
      <c r="B98" s="210"/>
      <c r="C98" s="213"/>
      <c r="D98" s="206"/>
      <c r="E98" s="206"/>
      <c r="F98" s="263"/>
      <c r="G98" s="211"/>
      <c r="H98" s="62" t="s">
        <v>69</v>
      </c>
      <c r="I98" s="125">
        <v>0</v>
      </c>
      <c r="J98" s="125">
        <f>I98/D96</f>
        <v>0</v>
      </c>
      <c r="K98" s="125">
        <v>16</v>
      </c>
    </row>
    <row r="99" spans="1:11" s="41" customFormat="1" x14ac:dyDescent="0.25">
      <c r="A99" s="210"/>
      <c r="B99" s="210"/>
      <c r="C99" s="213"/>
      <c r="D99" s="206"/>
      <c r="E99" s="206"/>
      <c r="F99" s="263"/>
      <c r="G99" s="209" t="s">
        <v>72</v>
      </c>
      <c r="H99" s="62" t="s">
        <v>67</v>
      </c>
      <c r="I99" s="125">
        <f>782013.83*0.7</f>
        <v>547409.68000000005</v>
      </c>
      <c r="J99" s="125">
        <f>I99/D96</f>
        <v>234.02</v>
      </c>
      <c r="K99" s="125">
        <v>542</v>
      </c>
    </row>
    <row r="100" spans="1:11" s="41" customFormat="1" x14ac:dyDescent="0.25">
      <c r="A100" s="210"/>
      <c r="B100" s="210"/>
      <c r="C100" s="213"/>
      <c r="D100" s="206"/>
      <c r="E100" s="206"/>
      <c r="F100" s="263"/>
      <c r="G100" s="211"/>
      <c r="H100" s="62" t="s">
        <v>69</v>
      </c>
      <c r="I100" s="125">
        <v>0</v>
      </c>
      <c r="J100" s="125">
        <f>I100/D96</f>
        <v>0</v>
      </c>
      <c r="K100" s="125">
        <v>12</v>
      </c>
    </row>
    <row r="101" spans="1:11" s="41" customFormat="1" x14ac:dyDescent="0.25">
      <c r="A101" s="209">
        <f>A96+1</f>
        <v>9</v>
      </c>
      <c r="B101" s="209">
        <v>5920</v>
      </c>
      <c r="C101" s="212" t="s">
        <v>443</v>
      </c>
      <c r="D101" s="205">
        <v>11783.6</v>
      </c>
      <c r="E101" s="209" t="s">
        <v>64</v>
      </c>
      <c r="F101" s="209">
        <v>10</v>
      </c>
      <c r="G101" s="117"/>
      <c r="H101" s="62" t="s">
        <v>66</v>
      </c>
      <c r="I101" s="125">
        <f>SUM(I102:I119)</f>
        <v>12438504.539999999</v>
      </c>
      <c r="J101" s="125">
        <f t="shared" ref="J101:K101" si="4">SUM(J102:J119)</f>
        <v>1055.58</v>
      </c>
      <c r="K101" s="125">
        <f t="shared" si="4"/>
        <v>1182.27</v>
      </c>
    </row>
    <row r="102" spans="1:11" s="41" customFormat="1" ht="63" x14ac:dyDescent="0.25">
      <c r="A102" s="210"/>
      <c r="B102" s="210"/>
      <c r="C102" s="213"/>
      <c r="D102" s="206"/>
      <c r="E102" s="210"/>
      <c r="F102" s="210"/>
      <c r="G102" s="209" t="s">
        <v>170</v>
      </c>
      <c r="H102" s="62" t="s">
        <v>168</v>
      </c>
      <c r="I102" s="125">
        <v>0</v>
      </c>
      <c r="J102" s="125">
        <f>I102/D101</f>
        <v>0</v>
      </c>
      <c r="K102" s="125">
        <f>(22681+9600)/D101</f>
        <v>2.74</v>
      </c>
    </row>
    <row r="103" spans="1:11" s="41" customFormat="1" ht="15.75" customHeight="1" x14ac:dyDescent="0.25">
      <c r="A103" s="210"/>
      <c r="B103" s="210"/>
      <c r="C103" s="213"/>
      <c r="D103" s="206"/>
      <c r="E103" s="210"/>
      <c r="F103" s="210"/>
      <c r="G103" s="210"/>
      <c r="H103" s="62" t="s">
        <v>171</v>
      </c>
      <c r="I103" s="125">
        <v>2077915.81</v>
      </c>
      <c r="J103" s="125">
        <f>I103/D101</f>
        <v>176.34</v>
      </c>
      <c r="K103" s="125">
        <f>2241647/D101+0.01</f>
        <v>190.24</v>
      </c>
    </row>
    <row r="104" spans="1:11" s="41" customFormat="1" x14ac:dyDescent="0.25">
      <c r="A104" s="210"/>
      <c r="B104" s="210"/>
      <c r="C104" s="213"/>
      <c r="D104" s="206"/>
      <c r="E104" s="210"/>
      <c r="F104" s="210"/>
      <c r="G104" s="211"/>
      <c r="H104" s="62" t="s">
        <v>69</v>
      </c>
      <c r="I104" s="125">
        <v>0</v>
      </c>
      <c r="J104" s="125">
        <f>I104/D101</f>
        <v>0</v>
      </c>
      <c r="K104" s="125">
        <f>47971/D101</f>
        <v>4.07</v>
      </c>
    </row>
    <row r="105" spans="1:11" s="41" customFormat="1" ht="63" x14ac:dyDescent="0.25">
      <c r="A105" s="210"/>
      <c r="B105" s="210"/>
      <c r="C105" s="213"/>
      <c r="D105" s="206"/>
      <c r="E105" s="210"/>
      <c r="F105" s="210"/>
      <c r="G105" s="209" t="s">
        <v>173</v>
      </c>
      <c r="H105" s="62" t="s">
        <v>168</v>
      </c>
      <c r="I105" s="125">
        <v>0</v>
      </c>
      <c r="J105" s="125">
        <f>I105/D101</f>
        <v>0</v>
      </c>
      <c r="K105" s="125">
        <f>(22681+9600)/D101</f>
        <v>2.74</v>
      </c>
    </row>
    <row r="106" spans="1:11" s="41" customFormat="1" ht="15.75" customHeight="1" x14ac:dyDescent="0.25">
      <c r="A106" s="210"/>
      <c r="B106" s="210"/>
      <c r="C106" s="213"/>
      <c r="D106" s="206"/>
      <c r="E106" s="210"/>
      <c r="F106" s="210"/>
      <c r="G106" s="210"/>
      <c r="H106" s="62" t="s">
        <v>171</v>
      </c>
      <c r="I106" s="125">
        <v>2063420.65</v>
      </c>
      <c r="J106" s="125">
        <f>I106/D101</f>
        <v>175.11</v>
      </c>
      <c r="K106" s="125">
        <f>2241647/D101+0.01</f>
        <v>190.24</v>
      </c>
    </row>
    <row r="107" spans="1:11" s="41" customFormat="1" x14ac:dyDescent="0.25">
      <c r="A107" s="210"/>
      <c r="B107" s="210"/>
      <c r="C107" s="213"/>
      <c r="D107" s="206"/>
      <c r="E107" s="210"/>
      <c r="F107" s="210"/>
      <c r="G107" s="211"/>
      <c r="H107" s="62" t="s">
        <v>69</v>
      </c>
      <c r="I107" s="125">
        <v>0</v>
      </c>
      <c r="J107" s="125">
        <f>I107/D101</f>
        <v>0</v>
      </c>
      <c r="K107" s="125">
        <f>47971/D101</f>
        <v>4.07</v>
      </c>
    </row>
    <row r="108" spans="1:11" s="41" customFormat="1" ht="63" x14ac:dyDescent="0.25">
      <c r="A108" s="210"/>
      <c r="B108" s="210"/>
      <c r="C108" s="213"/>
      <c r="D108" s="206"/>
      <c r="E108" s="210"/>
      <c r="F108" s="210"/>
      <c r="G108" s="209" t="s">
        <v>174</v>
      </c>
      <c r="H108" s="62" t="s">
        <v>168</v>
      </c>
      <c r="I108" s="125">
        <v>0</v>
      </c>
      <c r="J108" s="125">
        <f>I108/D101</f>
        <v>0</v>
      </c>
      <c r="K108" s="125">
        <f>(22681+9600)/D101</f>
        <v>2.74</v>
      </c>
    </row>
    <row r="109" spans="1:11" s="41" customFormat="1" ht="15.75" customHeight="1" x14ac:dyDescent="0.25">
      <c r="A109" s="210"/>
      <c r="B109" s="210"/>
      <c r="C109" s="213"/>
      <c r="D109" s="206"/>
      <c r="E109" s="210"/>
      <c r="F109" s="210"/>
      <c r="G109" s="210"/>
      <c r="H109" s="62" t="s">
        <v>171</v>
      </c>
      <c r="I109" s="125">
        <v>2077915.81</v>
      </c>
      <c r="J109" s="125">
        <f>I109/D101</f>
        <v>176.34</v>
      </c>
      <c r="K109" s="125">
        <f>2241647/D101+0.01</f>
        <v>190.24</v>
      </c>
    </row>
    <row r="110" spans="1:11" s="41" customFormat="1" x14ac:dyDescent="0.25">
      <c r="A110" s="210"/>
      <c r="B110" s="210"/>
      <c r="C110" s="213"/>
      <c r="D110" s="206"/>
      <c r="E110" s="210"/>
      <c r="F110" s="210"/>
      <c r="G110" s="211"/>
      <c r="H110" s="62" t="s">
        <v>69</v>
      </c>
      <c r="I110" s="125">
        <v>0</v>
      </c>
      <c r="J110" s="125">
        <f>I110/D101</f>
        <v>0</v>
      </c>
      <c r="K110" s="125">
        <f>47971/D101</f>
        <v>4.07</v>
      </c>
    </row>
    <row r="111" spans="1:11" s="41" customFormat="1" ht="63" x14ac:dyDescent="0.25">
      <c r="A111" s="210"/>
      <c r="B111" s="210"/>
      <c r="C111" s="213"/>
      <c r="D111" s="206"/>
      <c r="E111" s="210"/>
      <c r="F111" s="210"/>
      <c r="G111" s="209" t="s">
        <v>175</v>
      </c>
      <c r="H111" s="62" t="s">
        <v>168</v>
      </c>
      <c r="I111" s="125">
        <v>0</v>
      </c>
      <c r="J111" s="125">
        <f>I111/D101</f>
        <v>0</v>
      </c>
      <c r="K111" s="125">
        <f>(22681+9600)/D101</f>
        <v>2.74</v>
      </c>
    </row>
    <row r="112" spans="1:11" s="41" customFormat="1" ht="15.75" customHeight="1" x14ac:dyDescent="0.25">
      <c r="A112" s="210"/>
      <c r="B112" s="210"/>
      <c r="C112" s="213"/>
      <c r="D112" s="206"/>
      <c r="E112" s="210"/>
      <c r="F112" s="210"/>
      <c r="G112" s="210"/>
      <c r="H112" s="62" t="s">
        <v>171</v>
      </c>
      <c r="I112" s="125">
        <v>2077915.81</v>
      </c>
      <c r="J112" s="125">
        <f>I112/D101</f>
        <v>176.34</v>
      </c>
      <c r="K112" s="125">
        <f>2241647/D101</f>
        <v>190.23</v>
      </c>
    </row>
    <row r="113" spans="1:11" s="41" customFormat="1" x14ac:dyDescent="0.25">
      <c r="A113" s="210"/>
      <c r="B113" s="210"/>
      <c r="C113" s="213"/>
      <c r="D113" s="206"/>
      <c r="E113" s="210"/>
      <c r="F113" s="210"/>
      <c r="G113" s="211"/>
      <c r="H113" s="62" t="s">
        <v>69</v>
      </c>
      <c r="I113" s="125">
        <v>0</v>
      </c>
      <c r="J113" s="125">
        <f>I113/D101</f>
        <v>0</v>
      </c>
      <c r="K113" s="125">
        <f>47971/D101</f>
        <v>4.07</v>
      </c>
    </row>
    <row r="114" spans="1:11" s="41" customFormat="1" ht="63" x14ac:dyDescent="0.25">
      <c r="A114" s="210"/>
      <c r="B114" s="210"/>
      <c r="C114" s="213"/>
      <c r="D114" s="206"/>
      <c r="E114" s="210"/>
      <c r="F114" s="210"/>
      <c r="G114" s="209" t="s">
        <v>172</v>
      </c>
      <c r="H114" s="62" t="s">
        <v>168</v>
      </c>
      <c r="I114" s="125">
        <v>0</v>
      </c>
      <c r="J114" s="125">
        <f>I114/D101</f>
        <v>0</v>
      </c>
      <c r="K114" s="125">
        <f>(22681+9600)/D101</f>
        <v>2.74</v>
      </c>
    </row>
    <row r="115" spans="1:11" s="41" customFormat="1" ht="15.75" customHeight="1" x14ac:dyDescent="0.25">
      <c r="A115" s="210"/>
      <c r="B115" s="210"/>
      <c r="C115" s="213"/>
      <c r="D115" s="206"/>
      <c r="E115" s="210"/>
      <c r="F115" s="210"/>
      <c r="G115" s="210"/>
      <c r="H115" s="62" t="s">
        <v>171</v>
      </c>
      <c r="I115" s="125">
        <v>2063420.65</v>
      </c>
      <c r="J115" s="125">
        <f>I115/D101</f>
        <v>175.11</v>
      </c>
      <c r="K115" s="125">
        <f>2241647/D101</f>
        <v>190.23</v>
      </c>
    </row>
    <row r="116" spans="1:11" s="41" customFormat="1" x14ac:dyDescent="0.25">
      <c r="A116" s="210"/>
      <c r="B116" s="210"/>
      <c r="C116" s="213"/>
      <c r="D116" s="206"/>
      <c r="E116" s="210"/>
      <c r="F116" s="210"/>
      <c r="G116" s="211"/>
      <c r="H116" s="62" t="s">
        <v>69</v>
      </c>
      <c r="I116" s="125">
        <v>0</v>
      </c>
      <c r="J116" s="125">
        <f>I116/D101</f>
        <v>0</v>
      </c>
      <c r="K116" s="125">
        <f>47971/D101</f>
        <v>4.07</v>
      </c>
    </row>
    <row r="117" spans="1:11" s="41" customFormat="1" ht="63" x14ac:dyDescent="0.25">
      <c r="A117" s="210"/>
      <c r="B117" s="210"/>
      <c r="C117" s="213"/>
      <c r="D117" s="206"/>
      <c r="E117" s="210"/>
      <c r="F117" s="210"/>
      <c r="G117" s="209" t="s">
        <v>444</v>
      </c>
      <c r="H117" s="62" t="s">
        <v>168</v>
      </c>
      <c r="I117" s="125">
        <v>0</v>
      </c>
      <c r="J117" s="125">
        <f>I117/D101</f>
        <v>0</v>
      </c>
      <c r="K117" s="125">
        <f>(22681+9600)/D101</f>
        <v>2.74</v>
      </c>
    </row>
    <row r="118" spans="1:11" s="41" customFormat="1" ht="15.75" customHeight="1" x14ac:dyDescent="0.25">
      <c r="A118" s="210"/>
      <c r="B118" s="210"/>
      <c r="C118" s="213"/>
      <c r="D118" s="206"/>
      <c r="E118" s="210"/>
      <c r="F118" s="210"/>
      <c r="G118" s="210"/>
      <c r="H118" s="62" t="s">
        <v>171</v>
      </c>
      <c r="I118" s="125">
        <v>2077915.81</v>
      </c>
      <c r="J118" s="125">
        <f>I118/D101</f>
        <v>176.34</v>
      </c>
      <c r="K118" s="125">
        <f>2241647/D101</f>
        <v>190.23</v>
      </c>
    </row>
    <row r="119" spans="1:11" s="41" customFormat="1" x14ac:dyDescent="0.25">
      <c r="A119" s="211"/>
      <c r="B119" s="211"/>
      <c r="C119" s="214"/>
      <c r="D119" s="207"/>
      <c r="E119" s="211"/>
      <c r="F119" s="211"/>
      <c r="G119" s="211"/>
      <c r="H119" s="62" t="s">
        <v>69</v>
      </c>
      <c r="I119" s="125">
        <v>0</v>
      </c>
      <c r="J119" s="125">
        <f>I119/D101</f>
        <v>0</v>
      </c>
      <c r="K119" s="125">
        <f>47971/D101</f>
        <v>4.07</v>
      </c>
    </row>
    <row r="120" spans="1:11" s="41" customFormat="1" x14ac:dyDescent="0.25">
      <c r="A120" s="209">
        <f>A101+1</f>
        <v>10</v>
      </c>
      <c r="B120" s="209">
        <v>5926</v>
      </c>
      <c r="C120" s="212" t="s">
        <v>470</v>
      </c>
      <c r="D120" s="205">
        <v>8565.2999999999993</v>
      </c>
      <c r="E120" s="209" t="s">
        <v>64</v>
      </c>
      <c r="F120" s="209">
        <v>10</v>
      </c>
      <c r="G120" s="117"/>
      <c r="H120" s="62" t="s">
        <v>66</v>
      </c>
      <c r="I120" s="125">
        <f>SUM(I121:I132)</f>
        <v>9095712</v>
      </c>
      <c r="J120" s="125">
        <f>SUM(J121:J132)</f>
        <v>1061.93</v>
      </c>
      <c r="K120" s="125">
        <f>SUM(K121:K132)</f>
        <v>1084.33</v>
      </c>
    </row>
    <row r="121" spans="1:11" s="41" customFormat="1" ht="63" x14ac:dyDescent="0.25">
      <c r="A121" s="210"/>
      <c r="B121" s="210"/>
      <c r="C121" s="213"/>
      <c r="D121" s="206"/>
      <c r="E121" s="210"/>
      <c r="F121" s="210"/>
      <c r="G121" s="209" t="s">
        <v>170</v>
      </c>
      <c r="H121" s="62" t="s">
        <v>168</v>
      </c>
      <c r="I121" s="125">
        <f>22681+9600</f>
        <v>32281</v>
      </c>
      <c r="J121" s="125">
        <f>I121/D120</f>
        <v>3.77</v>
      </c>
      <c r="K121" s="125">
        <f>(22681+9600)/D120</f>
        <v>3.77</v>
      </c>
    </row>
    <row r="122" spans="1:11" s="41" customFormat="1" x14ac:dyDescent="0.25">
      <c r="A122" s="210"/>
      <c r="B122" s="210"/>
      <c r="C122" s="213"/>
      <c r="D122" s="206"/>
      <c r="E122" s="210"/>
      <c r="F122" s="210"/>
      <c r="G122" s="210"/>
      <c r="H122" s="62" t="s">
        <v>171</v>
      </c>
      <c r="I122" s="125">
        <v>2241647</v>
      </c>
      <c r="J122" s="125">
        <f>I122/D120</f>
        <v>261.70999999999998</v>
      </c>
      <c r="K122" s="125">
        <f>2241647/D120</f>
        <v>261.70999999999998</v>
      </c>
    </row>
    <row r="123" spans="1:11" s="41" customFormat="1" x14ac:dyDescent="0.25">
      <c r="A123" s="210"/>
      <c r="B123" s="210"/>
      <c r="C123" s="213"/>
      <c r="D123" s="206"/>
      <c r="E123" s="210"/>
      <c r="F123" s="210"/>
      <c r="G123" s="211"/>
      <c r="H123" s="62" t="s">
        <v>69</v>
      </c>
      <c r="I123" s="125">
        <v>0</v>
      </c>
      <c r="J123" s="125">
        <f>I123/D120</f>
        <v>0</v>
      </c>
      <c r="K123" s="125">
        <f>47971/D120</f>
        <v>5.6</v>
      </c>
    </row>
    <row r="124" spans="1:11" s="41" customFormat="1" ht="63" x14ac:dyDescent="0.25">
      <c r="A124" s="210"/>
      <c r="B124" s="210"/>
      <c r="C124" s="213"/>
      <c r="D124" s="206"/>
      <c r="E124" s="210"/>
      <c r="F124" s="210"/>
      <c r="G124" s="209" t="s">
        <v>173</v>
      </c>
      <c r="H124" s="62" t="s">
        <v>168</v>
      </c>
      <c r="I124" s="125">
        <f>22681+9600</f>
        <v>32281</v>
      </c>
      <c r="J124" s="125">
        <f>I124/D120</f>
        <v>3.77</v>
      </c>
      <c r="K124" s="125">
        <f>(22681+9600)/D120</f>
        <v>3.77</v>
      </c>
    </row>
    <row r="125" spans="1:11" s="41" customFormat="1" x14ac:dyDescent="0.25">
      <c r="A125" s="210"/>
      <c r="B125" s="210"/>
      <c r="C125" s="213"/>
      <c r="D125" s="206"/>
      <c r="E125" s="210"/>
      <c r="F125" s="210"/>
      <c r="G125" s="210"/>
      <c r="H125" s="62" t="s">
        <v>171</v>
      </c>
      <c r="I125" s="125">
        <v>2241647</v>
      </c>
      <c r="J125" s="125">
        <f>I125/D120</f>
        <v>261.70999999999998</v>
      </c>
      <c r="K125" s="125">
        <f>2241647/D120</f>
        <v>261.70999999999998</v>
      </c>
    </row>
    <row r="126" spans="1:11" s="41" customFormat="1" x14ac:dyDescent="0.25">
      <c r="A126" s="210"/>
      <c r="B126" s="210"/>
      <c r="C126" s="213"/>
      <c r="D126" s="206"/>
      <c r="E126" s="210"/>
      <c r="F126" s="210"/>
      <c r="G126" s="211"/>
      <c r="H126" s="62" t="s">
        <v>69</v>
      </c>
      <c r="I126" s="125">
        <v>0</v>
      </c>
      <c r="J126" s="125">
        <f>I126/D120</f>
        <v>0</v>
      </c>
      <c r="K126" s="125">
        <f>47971/D120</f>
        <v>5.6</v>
      </c>
    </row>
    <row r="127" spans="1:11" s="41" customFormat="1" ht="63" x14ac:dyDescent="0.25">
      <c r="A127" s="210"/>
      <c r="B127" s="210"/>
      <c r="C127" s="213"/>
      <c r="D127" s="206"/>
      <c r="E127" s="210"/>
      <c r="F127" s="210"/>
      <c r="G127" s="209" t="s">
        <v>174</v>
      </c>
      <c r="H127" s="62" t="s">
        <v>168</v>
      </c>
      <c r="I127" s="125">
        <f>22681+9600</f>
        <v>32281</v>
      </c>
      <c r="J127" s="125">
        <f>I127/D120</f>
        <v>3.77</v>
      </c>
      <c r="K127" s="125">
        <f>(22681+9600)/D120</f>
        <v>3.77</v>
      </c>
    </row>
    <row r="128" spans="1:11" s="41" customFormat="1" x14ac:dyDescent="0.25">
      <c r="A128" s="210"/>
      <c r="B128" s="210"/>
      <c r="C128" s="213"/>
      <c r="D128" s="206"/>
      <c r="E128" s="210"/>
      <c r="F128" s="210"/>
      <c r="G128" s="210"/>
      <c r="H128" s="62" t="s">
        <v>171</v>
      </c>
      <c r="I128" s="125">
        <v>2241647</v>
      </c>
      <c r="J128" s="125">
        <f>I128/D120+0.01</f>
        <v>261.72000000000003</v>
      </c>
      <c r="K128" s="125">
        <f>2241647/D120+0.01</f>
        <v>261.72000000000003</v>
      </c>
    </row>
    <row r="129" spans="1:11" s="41" customFormat="1" x14ac:dyDescent="0.25">
      <c r="A129" s="210"/>
      <c r="B129" s="210"/>
      <c r="C129" s="213"/>
      <c r="D129" s="206"/>
      <c r="E129" s="210"/>
      <c r="F129" s="210"/>
      <c r="G129" s="211"/>
      <c r="H129" s="62" t="s">
        <v>69</v>
      </c>
      <c r="I129" s="125">
        <v>0</v>
      </c>
      <c r="J129" s="125">
        <f>I129/D120</f>
        <v>0</v>
      </c>
      <c r="K129" s="125">
        <f>47971/D120</f>
        <v>5.6</v>
      </c>
    </row>
    <row r="130" spans="1:11" s="41" customFormat="1" ht="63" x14ac:dyDescent="0.25">
      <c r="A130" s="210"/>
      <c r="B130" s="210"/>
      <c r="C130" s="213"/>
      <c r="D130" s="206"/>
      <c r="E130" s="210"/>
      <c r="F130" s="210"/>
      <c r="G130" s="209" t="s">
        <v>175</v>
      </c>
      <c r="H130" s="62" t="s">
        <v>168</v>
      </c>
      <c r="I130" s="125">
        <f>22681+9600</f>
        <v>32281</v>
      </c>
      <c r="J130" s="125">
        <f>I130/D120</f>
        <v>3.77</v>
      </c>
      <c r="K130" s="125">
        <f>(22681+9600)/D120</f>
        <v>3.77</v>
      </c>
    </row>
    <row r="131" spans="1:11" s="41" customFormat="1" x14ac:dyDescent="0.25">
      <c r="A131" s="210"/>
      <c r="B131" s="210"/>
      <c r="C131" s="213"/>
      <c r="D131" s="206"/>
      <c r="E131" s="210"/>
      <c r="F131" s="210"/>
      <c r="G131" s="210"/>
      <c r="H131" s="62" t="s">
        <v>171</v>
      </c>
      <c r="I131" s="125">
        <v>2241647</v>
      </c>
      <c r="J131" s="125">
        <f>I131/D120</f>
        <v>261.70999999999998</v>
      </c>
      <c r="K131" s="125">
        <f>2241647/D120</f>
        <v>261.70999999999998</v>
      </c>
    </row>
    <row r="132" spans="1:11" s="41" customFormat="1" x14ac:dyDescent="0.25">
      <c r="A132" s="210"/>
      <c r="B132" s="210"/>
      <c r="C132" s="213"/>
      <c r="D132" s="206"/>
      <c r="E132" s="210"/>
      <c r="F132" s="210"/>
      <c r="G132" s="211"/>
      <c r="H132" s="62" t="s">
        <v>69</v>
      </c>
      <c r="I132" s="125">
        <v>0</v>
      </c>
      <c r="J132" s="125">
        <f>I132/D120</f>
        <v>0</v>
      </c>
      <c r="K132" s="125">
        <f>47971/D120</f>
        <v>5.6</v>
      </c>
    </row>
    <row r="133" spans="1:11" s="41" customFormat="1" x14ac:dyDescent="0.25">
      <c r="A133" s="209">
        <f>A120+1</f>
        <v>11</v>
      </c>
      <c r="B133" s="209">
        <v>5937</v>
      </c>
      <c r="C133" s="212" t="s">
        <v>445</v>
      </c>
      <c r="D133" s="205">
        <v>10637.8</v>
      </c>
      <c r="E133" s="209" t="s">
        <v>64</v>
      </c>
      <c r="F133" s="209">
        <v>9</v>
      </c>
      <c r="G133" s="117"/>
      <c r="H133" s="62" t="s">
        <v>66</v>
      </c>
      <c r="I133" s="125">
        <f>SUM(I134:I151)</f>
        <v>13643568</v>
      </c>
      <c r="J133" s="125">
        <f t="shared" ref="J133:K133" si="5">SUM(J134:J151)</f>
        <v>1282.56</v>
      </c>
      <c r="K133" s="125">
        <f t="shared" si="5"/>
        <v>1309.6199999999999</v>
      </c>
    </row>
    <row r="134" spans="1:11" s="41" customFormat="1" ht="63" x14ac:dyDescent="0.25">
      <c r="A134" s="210"/>
      <c r="B134" s="210"/>
      <c r="C134" s="213"/>
      <c r="D134" s="206"/>
      <c r="E134" s="210"/>
      <c r="F134" s="210"/>
      <c r="G134" s="209" t="s">
        <v>170</v>
      </c>
      <c r="H134" s="62" t="s">
        <v>168</v>
      </c>
      <c r="I134" s="125">
        <f>22681+9600</f>
        <v>32281</v>
      </c>
      <c r="J134" s="125">
        <f>I134/D133</f>
        <v>3.03</v>
      </c>
      <c r="K134" s="125">
        <f>(22681+9600)/D133</f>
        <v>3.03</v>
      </c>
    </row>
    <row r="135" spans="1:11" s="41" customFormat="1" ht="15.75" customHeight="1" x14ac:dyDescent="0.25">
      <c r="A135" s="210"/>
      <c r="B135" s="210"/>
      <c r="C135" s="213"/>
      <c r="D135" s="206"/>
      <c r="E135" s="210"/>
      <c r="F135" s="210"/>
      <c r="G135" s="210"/>
      <c r="H135" s="62" t="s">
        <v>171</v>
      </c>
      <c r="I135" s="125">
        <v>2241647</v>
      </c>
      <c r="J135" s="125">
        <f>I135/D133+0.01</f>
        <v>210.73</v>
      </c>
      <c r="K135" s="125">
        <f>2241647/D133+0.01</f>
        <v>210.73</v>
      </c>
    </row>
    <row r="136" spans="1:11" s="41" customFormat="1" x14ac:dyDescent="0.25">
      <c r="A136" s="210"/>
      <c r="B136" s="210"/>
      <c r="C136" s="213"/>
      <c r="D136" s="206"/>
      <c r="E136" s="210"/>
      <c r="F136" s="210"/>
      <c r="G136" s="211"/>
      <c r="H136" s="62" t="s">
        <v>69</v>
      </c>
      <c r="I136" s="125">
        <v>0</v>
      </c>
      <c r="J136" s="125">
        <f>I136/D133</f>
        <v>0</v>
      </c>
      <c r="K136" s="125">
        <f>47971/D133</f>
        <v>4.51</v>
      </c>
    </row>
    <row r="137" spans="1:11" s="41" customFormat="1" ht="63" x14ac:dyDescent="0.25">
      <c r="A137" s="210"/>
      <c r="B137" s="210"/>
      <c r="C137" s="213"/>
      <c r="D137" s="206"/>
      <c r="E137" s="210"/>
      <c r="F137" s="210"/>
      <c r="G137" s="209" t="s">
        <v>173</v>
      </c>
      <c r="H137" s="62" t="s">
        <v>168</v>
      </c>
      <c r="I137" s="125">
        <f>22681+9600</f>
        <v>32281</v>
      </c>
      <c r="J137" s="125">
        <f>I137/D133</f>
        <v>3.03</v>
      </c>
      <c r="K137" s="125">
        <f>(22681+9600)/D133</f>
        <v>3.03</v>
      </c>
    </row>
    <row r="138" spans="1:11" s="41" customFormat="1" ht="15.75" customHeight="1" x14ac:dyDescent="0.25">
      <c r="A138" s="210"/>
      <c r="B138" s="210"/>
      <c r="C138" s="213"/>
      <c r="D138" s="206"/>
      <c r="E138" s="210"/>
      <c r="F138" s="210"/>
      <c r="G138" s="210"/>
      <c r="H138" s="62" t="s">
        <v>171</v>
      </c>
      <c r="I138" s="125">
        <v>2241647</v>
      </c>
      <c r="J138" s="125">
        <f>I138/D133+0.01</f>
        <v>210.73</v>
      </c>
      <c r="K138" s="125">
        <f>2241647/D133+0.01</f>
        <v>210.73</v>
      </c>
    </row>
    <row r="139" spans="1:11" s="41" customFormat="1" x14ac:dyDescent="0.25">
      <c r="A139" s="210"/>
      <c r="B139" s="210"/>
      <c r="C139" s="213"/>
      <c r="D139" s="206"/>
      <c r="E139" s="210"/>
      <c r="F139" s="210"/>
      <c r="G139" s="211"/>
      <c r="H139" s="62" t="s">
        <v>69</v>
      </c>
      <c r="I139" s="125">
        <v>0</v>
      </c>
      <c r="J139" s="125">
        <f>I139/D133</f>
        <v>0</v>
      </c>
      <c r="K139" s="125">
        <f>47971/D133</f>
        <v>4.51</v>
      </c>
    </row>
    <row r="140" spans="1:11" s="41" customFormat="1" ht="63" x14ac:dyDescent="0.25">
      <c r="A140" s="210"/>
      <c r="B140" s="210"/>
      <c r="C140" s="213"/>
      <c r="D140" s="206"/>
      <c r="E140" s="210"/>
      <c r="F140" s="210"/>
      <c r="G140" s="209" t="s">
        <v>174</v>
      </c>
      <c r="H140" s="62" t="s">
        <v>168</v>
      </c>
      <c r="I140" s="125">
        <f>22681+9600</f>
        <v>32281</v>
      </c>
      <c r="J140" s="125">
        <f>I140/D133</f>
        <v>3.03</v>
      </c>
      <c r="K140" s="125">
        <f>(22681+9600)/D133</f>
        <v>3.03</v>
      </c>
    </row>
    <row r="141" spans="1:11" s="41" customFormat="1" ht="15.75" customHeight="1" x14ac:dyDescent="0.25">
      <c r="A141" s="210"/>
      <c r="B141" s="210"/>
      <c r="C141" s="213"/>
      <c r="D141" s="206"/>
      <c r="E141" s="210"/>
      <c r="F141" s="210"/>
      <c r="G141" s="210"/>
      <c r="H141" s="62" t="s">
        <v>171</v>
      </c>
      <c r="I141" s="125">
        <v>2241647</v>
      </c>
      <c r="J141" s="125">
        <f>I141/D133+0.01</f>
        <v>210.73</v>
      </c>
      <c r="K141" s="125">
        <f>2241647/D133+0.01</f>
        <v>210.73</v>
      </c>
    </row>
    <row r="142" spans="1:11" s="41" customFormat="1" x14ac:dyDescent="0.25">
      <c r="A142" s="210"/>
      <c r="B142" s="210"/>
      <c r="C142" s="213"/>
      <c r="D142" s="206"/>
      <c r="E142" s="210"/>
      <c r="F142" s="210"/>
      <c r="G142" s="211"/>
      <c r="H142" s="62" t="s">
        <v>69</v>
      </c>
      <c r="I142" s="125">
        <v>0</v>
      </c>
      <c r="J142" s="125">
        <f>I142/D133</f>
        <v>0</v>
      </c>
      <c r="K142" s="125">
        <f>47971/D133</f>
        <v>4.51</v>
      </c>
    </row>
    <row r="143" spans="1:11" s="41" customFormat="1" ht="63" x14ac:dyDescent="0.25">
      <c r="A143" s="210"/>
      <c r="B143" s="210"/>
      <c r="C143" s="213"/>
      <c r="D143" s="206"/>
      <c r="E143" s="210"/>
      <c r="F143" s="210"/>
      <c r="G143" s="209" t="s">
        <v>175</v>
      </c>
      <c r="H143" s="62" t="s">
        <v>168</v>
      </c>
      <c r="I143" s="125">
        <f>22681+9600</f>
        <v>32281</v>
      </c>
      <c r="J143" s="125">
        <f>I143/D133</f>
        <v>3.03</v>
      </c>
      <c r="K143" s="125">
        <f>(22681+9600)/D133</f>
        <v>3.03</v>
      </c>
    </row>
    <row r="144" spans="1:11" s="41" customFormat="1" ht="15.75" customHeight="1" x14ac:dyDescent="0.25">
      <c r="A144" s="210"/>
      <c r="B144" s="210"/>
      <c r="C144" s="213"/>
      <c r="D144" s="206"/>
      <c r="E144" s="210"/>
      <c r="F144" s="210"/>
      <c r="G144" s="210"/>
      <c r="H144" s="62" t="s">
        <v>171</v>
      </c>
      <c r="I144" s="125">
        <v>2241647</v>
      </c>
      <c r="J144" s="125">
        <f>I144/D133+0.01</f>
        <v>210.73</v>
      </c>
      <c r="K144" s="125">
        <f>2241647/D133+0.01</f>
        <v>210.73</v>
      </c>
    </row>
    <row r="145" spans="1:11" s="41" customFormat="1" x14ac:dyDescent="0.25">
      <c r="A145" s="210"/>
      <c r="B145" s="210"/>
      <c r="C145" s="213"/>
      <c r="D145" s="206"/>
      <c r="E145" s="210"/>
      <c r="F145" s="210"/>
      <c r="G145" s="211"/>
      <c r="H145" s="62" t="s">
        <v>69</v>
      </c>
      <c r="I145" s="125">
        <v>0</v>
      </c>
      <c r="J145" s="125">
        <f>I145/D133</f>
        <v>0</v>
      </c>
      <c r="K145" s="125">
        <f>47971/D133</f>
        <v>4.51</v>
      </c>
    </row>
    <row r="146" spans="1:11" s="41" customFormat="1" ht="63" x14ac:dyDescent="0.25">
      <c r="A146" s="210"/>
      <c r="B146" s="210"/>
      <c r="C146" s="213"/>
      <c r="D146" s="206"/>
      <c r="E146" s="210"/>
      <c r="F146" s="210"/>
      <c r="G146" s="209" t="s">
        <v>172</v>
      </c>
      <c r="H146" s="62" t="s">
        <v>168</v>
      </c>
      <c r="I146" s="125">
        <f>22681+9600</f>
        <v>32281</v>
      </c>
      <c r="J146" s="125">
        <f>I146/D133</f>
        <v>3.03</v>
      </c>
      <c r="K146" s="125">
        <f>(22681+9600)/D133</f>
        <v>3.03</v>
      </c>
    </row>
    <row r="147" spans="1:11" s="41" customFormat="1" ht="15.75" customHeight="1" x14ac:dyDescent="0.25">
      <c r="A147" s="210"/>
      <c r="B147" s="210"/>
      <c r="C147" s="213"/>
      <c r="D147" s="206"/>
      <c r="E147" s="210"/>
      <c r="F147" s="210"/>
      <c r="G147" s="210"/>
      <c r="H147" s="62" t="s">
        <v>171</v>
      </c>
      <c r="I147" s="125">
        <v>2241647</v>
      </c>
      <c r="J147" s="125">
        <f>I147/D133+0.01</f>
        <v>210.73</v>
      </c>
      <c r="K147" s="125">
        <f>2241647/D133+0.01</f>
        <v>210.73</v>
      </c>
    </row>
    <row r="148" spans="1:11" s="41" customFormat="1" x14ac:dyDescent="0.25">
      <c r="A148" s="210"/>
      <c r="B148" s="210"/>
      <c r="C148" s="213"/>
      <c r="D148" s="206"/>
      <c r="E148" s="210"/>
      <c r="F148" s="210"/>
      <c r="G148" s="211"/>
      <c r="H148" s="62" t="s">
        <v>69</v>
      </c>
      <c r="I148" s="125">
        <v>0</v>
      </c>
      <c r="J148" s="125">
        <f>I148/D133</f>
        <v>0</v>
      </c>
      <c r="K148" s="125">
        <f>47971/D133</f>
        <v>4.51</v>
      </c>
    </row>
    <row r="149" spans="1:11" s="41" customFormat="1" ht="63" x14ac:dyDescent="0.25">
      <c r="A149" s="210"/>
      <c r="B149" s="210"/>
      <c r="C149" s="213"/>
      <c r="D149" s="206"/>
      <c r="E149" s="210"/>
      <c r="F149" s="210"/>
      <c r="G149" s="209" t="s">
        <v>444</v>
      </c>
      <c r="H149" s="62" t="s">
        <v>168</v>
      </c>
      <c r="I149" s="125">
        <f>22681+9600</f>
        <v>32281</v>
      </c>
      <c r="J149" s="125">
        <f>I149/D133</f>
        <v>3.03</v>
      </c>
      <c r="K149" s="125">
        <f>(22681+9600)/D133</f>
        <v>3.03</v>
      </c>
    </row>
    <row r="150" spans="1:11" s="41" customFormat="1" ht="15.75" customHeight="1" x14ac:dyDescent="0.25">
      <c r="A150" s="210"/>
      <c r="B150" s="210"/>
      <c r="C150" s="213"/>
      <c r="D150" s="206"/>
      <c r="E150" s="210"/>
      <c r="F150" s="210"/>
      <c r="G150" s="210"/>
      <c r="H150" s="62" t="s">
        <v>171</v>
      </c>
      <c r="I150" s="125">
        <v>2241647</v>
      </c>
      <c r="J150" s="125">
        <f>I150/D133+0.01</f>
        <v>210.73</v>
      </c>
      <c r="K150" s="125">
        <f>2241647/D133+0.01</f>
        <v>210.73</v>
      </c>
    </row>
    <row r="151" spans="1:11" s="41" customFormat="1" x14ac:dyDescent="0.25">
      <c r="A151" s="211"/>
      <c r="B151" s="211"/>
      <c r="C151" s="214"/>
      <c r="D151" s="207"/>
      <c r="E151" s="211"/>
      <c r="F151" s="211"/>
      <c r="G151" s="211"/>
      <c r="H151" s="62" t="s">
        <v>69</v>
      </c>
      <c r="I151" s="125">
        <v>0</v>
      </c>
      <c r="J151" s="125">
        <f>I151/D133</f>
        <v>0</v>
      </c>
      <c r="K151" s="125">
        <f>47971/D133</f>
        <v>4.51</v>
      </c>
    </row>
    <row r="152" spans="1:11" s="41" customFormat="1" x14ac:dyDescent="0.25">
      <c r="A152" s="209">
        <f>A133+1</f>
        <v>12</v>
      </c>
      <c r="B152" s="209">
        <v>5940</v>
      </c>
      <c r="C152" s="212" t="s">
        <v>471</v>
      </c>
      <c r="D152" s="205">
        <v>3856.6</v>
      </c>
      <c r="E152" s="209" t="s">
        <v>64</v>
      </c>
      <c r="F152" s="209">
        <v>5</v>
      </c>
      <c r="G152" s="209" t="s">
        <v>75</v>
      </c>
      <c r="H152" s="62" t="s">
        <v>66</v>
      </c>
      <c r="I152" s="125">
        <f>I153+I154</f>
        <v>7609082.9100000001</v>
      </c>
      <c r="J152" s="125">
        <f>J153+J154</f>
        <v>1973</v>
      </c>
      <c r="K152" s="125">
        <f>K153+K154</f>
        <v>6136</v>
      </c>
    </row>
    <row r="153" spans="1:11" s="41" customFormat="1" x14ac:dyDescent="0.25">
      <c r="A153" s="210"/>
      <c r="B153" s="210"/>
      <c r="C153" s="213"/>
      <c r="D153" s="206"/>
      <c r="E153" s="210"/>
      <c r="F153" s="210"/>
      <c r="G153" s="210"/>
      <c r="H153" s="62" t="s">
        <v>67</v>
      </c>
      <c r="I153" s="125">
        <f>9003413.19-1394330.28</f>
        <v>7609082.9100000001</v>
      </c>
      <c r="J153" s="125">
        <f>I153/D152</f>
        <v>1973</v>
      </c>
      <c r="K153" s="125">
        <v>6007</v>
      </c>
    </row>
    <row r="154" spans="1:11" s="41" customFormat="1" x14ac:dyDescent="0.25">
      <c r="A154" s="211"/>
      <c r="B154" s="211"/>
      <c r="C154" s="214"/>
      <c r="D154" s="207"/>
      <c r="E154" s="211"/>
      <c r="F154" s="211"/>
      <c r="G154" s="211"/>
      <c r="H154" s="62" t="s">
        <v>69</v>
      </c>
      <c r="I154" s="125">
        <v>0</v>
      </c>
      <c r="J154" s="125">
        <v>0</v>
      </c>
      <c r="K154" s="125">
        <v>129</v>
      </c>
    </row>
    <row r="155" spans="1:11" s="41" customFormat="1" x14ac:dyDescent="0.25">
      <c r="A155" s="209">
        <f>A152+1</f>
        <v>13</v>
      </c>
      <c r="B155" s="209">
        <v>5948</v>
      </c>
      <c r="C155" s="212" t="s">
        <v>472</v>
      </c>
      <c r="D155" s="205">
        <v>3853.4</v>
      </c>
      <c r="E155" s="209" t="s">
        <v>64</v>
      </c>
      <c r="F155" s="209">
        <v>5</v>
      </c>
      <c r="G155" s="209" t="s">
        <v>75</v>
      </c>
      <c r="H155" s="62" t="s">
        <v>66</v>
      </c>
      <c r="I155" s="125">
        <f>I156+I157</f>
        <v>7376546.0300000003</v>
      </c>
      <c r="J155" s="125">
        <f>J156+J157</f>
        <v>1914.3</v>
      </c>
      <c r="K155" s="125">
        <f>K156+K157</f>
        <v>6136</v>
      </c>
    </row>
    <row r="156" spans="1:11" s="41" customFormat="1" x14ac:dyDescent="0.25">
      <c r="A156" s="210">
        <v>75</v>
      </c>
      <c r="B156" s="210"/>
      <c r="C156" s="213"/>
      <c r="D156" s="206"/>
      <c r="E156" s="210"/>
      <c r="F156" s="210"/>
      <c r="G156" s="210"/>
      <c r="H156" s="62" t="s">
        <v>67</v>
      </c>
      <c r="I156" s="125">
        <f>8851846.69-1475300.66</f>
        <v>7376546.0300000003</v>
      </c>
      <c r="J156" s="125">
        <f>I156/D155</f>
        <v>1914.3</v>
      </c>
      <c r="K156" s="125">
        <v>6007</v>
      </c>
    </row>
    <row r="157" spans="1:11" s="41" customFormat="1" x14ac:dyDescent="0.25">
      <c r="A157" s="211"/>
      <c r="B157" s="211"/>
      <c r="C157" s="214"/>
      <c r="D157" s="207"/>
      <c r="E157" s="211"/>
      <c r="F157" s="211"/>
      <c r="G157" s="211"/>
      <c r="H157" s="62" t="s">
        <v>69</v>
      </c>
      <c r="I157" s="125">
        <v>0</v>
      </c>
      <c r="J157" s="125">
        <v>0</v>
      </c>
      <c r="K157" s="125">
        <v>129</v>
      </c>
    </row>
    <row r="158" spans="1:11" s="41" customFormat="1" x14ac:dyDescent="0.25">
      <c r="A158" s="262">
        <f>A155+1</f>
        <v>14</v>
      </c>
      <c r="B158" s="262">
        <v>6087</v>
      </c>
      <c r="C158" s="301" t="s">
        <v>473</v>
      </c>
      <c r="D158" s="205">
        <v>2459.1</v>
      </c>
      <c r="E158" s="262" t="s">
        <v>68</v>
      </c>
      <c r="F158" s="262">
        <v>5</v>
      </c>
      <c r="H158" s="62" t="s">
        <v>66</v>
      </c>
      <c r="I158" s="125">
        <f>I159+I160+I161+I162+I163+I164+I165+I166</f>
        <v>5828539.4800000004</v>
      </c>
      <c r="J158" s="125">
        <f>J159+J160+J161+J162+J163+J164+J165+J166</f>
        <v>2370.19</v>
      </c>
      <c r="K158" s="125">
        <f>K159+K160+K161+K162+K163+K164+K165+K166</f>
        <v>5271</v>
      </c>
    </row>
    <row r="159" spans="1:11" s="41" customFormat="1" x14ac:dyDescent="0.25">
      <c r="A159" s="263"/>
      <c r="B159" s="263"/>
      <c r="C159" s="302"/>
      <c r="D159" s="206"/>
      <c r="E159" s="263"/>
      <c r="F159" s="263"/>
      <c r="G159" s="209" t="s">
        <v>78</v>
      </c>
      <c r="H159" s="62" t="s">
        <v>169</v>
      </c>
      <c r="I159" s="125">
        <f>1791330.7*0.7</f>
        <v>1253931.49</v>
      </c>
      <c r="J159" s="125">
        <f>I159/D158</f>
        <v>509.91</v>
      </c>
      <c r="K159" s="125">
        <v>961</v>
      </c>
    </row>
    <row r="160" spans="1:11" s="41" customFormat="1" x14ac:dyDescent="0.25">
      <c r="A160" s="263"/>
      <c r="B160" s="263"/>
      <c r="C160" s="302"/>
      <c r="D160" s="206"/>
      <c r="E160" s="263"/>
      <c r="F160" s="263"/>
      <c r="G160" s="211"/>
      <c r="H160" s="62" t="s">
        <v>69</v>
      </c>
      <c r="I160" s="125">
        <v>0</v>
      </c>
      <c r="J160" s="125">
        <f>I160/D158</f>
        <v>0</v>
      </c>
      <c r="K160" s="125">
        <v>21</v>
      </c>
    </row>
    <row r="161" spans="1:11" s="41" customFormat="1" x14ac:dyDescent="0.25">
      <c r="A161" s="263"/>
      <c r="B161" s="263"/>
      <c r="C161" s="302"/>
      <c r="D161" s="206"/>
      <c r="E161" s="263"/>
      <c r="F161" s="263"/>
      <c r="G161" s="209" t="s">
        <v>71</v>
      </c>
      <c r="H161" s="62" t="s">
        <v>169</v>
      </c>
      <c r="I161" s="125">
        <f>946712.4*0.7</f>
        <v>662698.68000000005</v>
      </c>
      <c r="J161" s="125">
        <f>I161/D158</f>
        <v>269.49</v>
      </c>
      <c r="K161" s="125">
        <v>746</v>
      </c>
    </row>
    <row r="162" spans="1:11" s="41" customFormat="1" x14ac:dyDescent="0.25">
      <c r="A162" s="263"/>
      <c r="B162" s="263"/>
      <c r="C162" s="302"/>
      <c r="D162" s="206"/>
      <c r="E162" s="263"/>
      <c r="F162" s="263"/>
      <c r="G162" s="211"/>
      <c r="H162" s="62" t="s">
        <v>69</v>
      </c>
      <c r="I162" s="125">
        <v>0</v>
      </c>
      <c r="J162" s="125">
        <f>I162/D158</f>
        <v>0</v>
      </c>
      <c r="K162" s="125">
        <v>16</v>
      </c>
    </row>
    <row r="163" spans="1:11" s="41" customFormat="1" x14ac:dyDescent="0.25">
      <c r="A163" s="263"/>
      <c r="B163" s="263"/>
      <c r="C163" s="302"/>
      <c r="D163" s="206"/>
      <c r="E163" s="263"/>
      <c r="F163" s="263"/>
      <c r="G163" s="209" t="s">
        <v>72</v>
      </c>
      <c r="H163" s="62" t="s">
        <v>169</v>
      </c>
      <c r="I163" s="125">
        <f>606509.86*0.7</f>
        <v>424556.9</v>
      </c>
      <c r="J163" s="125">
        <f>I163/D158</f>
        <v>172.65</v>
      </c>
      <c r="K163" s="125">
        <v>542</v>
      </c>
    </row>
    <row r="164" spans="1:11" s="41" customFormat="1" x14ac:dyDescent="0.25">
      <c r="A164" s="263"/>
      <c r="B164" s="263"/>
      <c r="C164" s="302"/>
      <c r="D164" s="206"/>
      <c r="E164" s="263"/>
      <c r="F164" s="263"/>
      <c r="G164" s="211"/>
      <c r="H164" s="62" t="s">
        <v>69</v>
      </c>
      <c r="I164" s="125">
        <v>0</v>
      </c>
      <c r="J164" s="125">
        <f>I164/D158</f>
        <v>0</v>
      </c>
      <c r="K164" s="125">
        <v>12</v>
      </c>
    </row>
    <row r="165" spans="1:11" s="41" customFormat="1" x14ac:dyDescent="0.25">
      <c r="A165" s="263"/>
      <c r="B165" s="263"/>
      <c r="C165" s="302"/>
      <c r="D165" s="206"/>
      <c r="E165" s="263"/>
      <c r="F165" s="263"/>
      <c r="G165" s="209" t="s">
        <v>70</v>
      </c>
      <c r="H165" s="62" t="s">
        <v>169</v>
      </c>
      <c r="I165" s="125">
        <f>4981932.01*0.7</f>
        <v>3487352.41</v>
      </c>
      <c r="J165" s="125">
        <f>I165/D158</f>
        <v>1418.14</v>
      </c>
      <c r="K165" s="125">
        <v>2911</v>
      </c>
    </row>
    <row r="166" spans="1:11" s="41" customFormat="1" x14ac:dyDescent="0.25">
      <c r="A166" s="264"/>
      <c r="B166" s="264"/>
      <c r="C166" s="303"/>
      <c r="D166" s="207"/>
      <c r="E166" s="264"/>
      <c r="F166" s="264"/>
      <c r="G166" s="211"/>
      <c r="H166" s="62" t="s">
        <v>69</v>
      </c>
      <c r="I166" s="125">
        <v>0</v>
      </c>
      <c r="J166" s="125">
        <f>I166/D158</f>
        <v>0</v>
      </c>
      <c r="K166" s="125">
        <v>62</v>
      </c>
    </row>
    <row r="167" spans="1:11" s="41" customFormat="1" ht="15.75" customHeight="1" x14ac:dyDescent="0.25">
      <c r="A167" s="209">
        <f>A158+1</f>
        <v>15</v>
      </c>
      <c r="B167" s="209">
        <v>6120</v>
      </c>
      <c r="C167" s="212" t="s">
        <v>575</v>
      </c>
      <c r="D167" s="205">
        <v>2259.1</v>
      </c>
      <c r="E167" s="209" t="s">
        <v>68</v>
      </c>
      <c r="F167" s="209">
        <v>9</v>
      </c>
      <c r="G167" s="117"/>
      <c r="H167" s="62" t="s">
        <v>66</v>
      </c>
      <c r="I167" s="125">
        <f>SUM(I168:I168)</f>
        <v>32281</v>
      </c>
      <c r="J167" s="125">
        <f>SUM(J168:J168)</f>
        <v>14.29</v>
      </c>
      <c r="K167" s="125">
        <f>SUM(K168:K168)</f>
        <v>14.29</v>
      </c>
    </row>
    <row r="168" spans="1:11" s="41" customFormat="1" ht="63" x14ac:dyDescent="0.25">
      <c r="A168" s="210"/>
      <c r="B168" s="210"/>
      <c r="C168" s="213"/>
      <c r="D168" s="206"/>
      <c r="E168" s="210"/>
      <c r="F168" s="210"/>
      <c r="G168" s="106" t="s">
        <v>170</v>
      </c>
      <c r="H168" s="62" t="s">
        <v>168</v>
      </c>
      <c r="I168" s="125">
        <f>22681+9600</f>
        <v>32281</v>
      </c>
      <c r="J168" s="125">
        <f>I168/D167</f>
        <v>14.29</v>
      </c>
      <c r="K168" s="125">
        <f>(22681+9600)/D167</f>
        <v>14.29</v>
      </c>
    </row>
    <row r="169" spans="1:11" s="41" customFormat="1" x14ac:dyDescent="0.25">
      <c r="A169" s="209">
        <f>A167+1</f>
        <v>16</v>
      </c>
      <c r="B169" s="209">
        <v>6125</v>
      </c>
      <c r="C169" s="212" t="s">
        <v>422</v>
      </c>
      <c r="D169" s="205">
        <v>2272.8000000000002</v>
      </c>
      <c r="E169" s="209" t="s">
        <v>68</v>
      </c>
      <c r="F169" s="209">
        <v>9</v>
      </c>
      <c r="G169" s="117"/>
      <c r="H169" s="62" t="s">
        <v>66</v>
      </c>
      <c r="I169" s="125">
        <f>SUM(I170:I172)</f>
        <v>2273928</v>
      </c>
      <c r="J169" s="125">
        <f t="shared" ref="J169:K169" si="6">SUM(J170:J172)</f>
        <v>1000.5</v>
      </c>
      <c r="K169" s="125">
        <f t="shared" si="6"/>
        <v>1021.61</v>
      </c>
    </row>
    <row r="170" spans="1:11" s="41" customFormat="1" ht="63" x14ac:dyDescent="0.25">
      <c r="A170" s="210"/>
      <c r="B170" s="210"/>
      <c r="C170" s="213"/>
      <c r="D170" s="206"/>
      <c r="E170" s="210"/>
      <c r="F170" s="210"/>
      <c r="G170" s="209" t="s">
        <v>170</v>
      </c>
      <c r="H170" s="62" t="s">
        <v>168</v>
      </c>
      <c r="I170" s="125">
        <f>22681+9600</f>
        <v>32281</v>
      </c>
      <c r="J170" s="125">
        <f>I170/D169</f>
        <v>14.2</v>
      </c>
      <c r="K170" s="125">
        <f>(22681+9600)/D169</f>
        <v>14.2</v>
      </c>
    </row>
    <row r="171" spans="1:11" s="41" customFormat="1" ht="15.75" customHeight="1" x14ac:dyDescent="0.25">
      <c r="A171" s="210"/>
      <c r="B171" s="210"/>
      <c r="C171" s="213"/>
      <c r="D171" s="206"/>
      <c r="E171" s="210"/>
      <c r="F171" s="210"/>
      <c r="G171" s="210"/>
      <c r="H171" s="62" t="s">
        <v>171</v>
      </c>
      <c r="I171" s="125">
        <v>2241647</v>
      </c>
      <c r="J171" s="125">
        <f>I171/D169+0.01</f>
        <v>986.3</v>
      </c>
      <c r="K171" s="125">
        <f>2241647/D169+0.01</f>
        <v>986.3</v>
      </c>
    </row>
    <row r="172" spans="1:11" s="41" customFormat="1" x14ac:dyDescent="0.25">
      <c r="A172" s="211"/>
      <c r="B172" s="211"/>
      <c r="C172" s="214"/>
      <c r="D172" s="207"/>
      <c r="E172" s="211"/>
      <c r="F172" s="211"/>
      <c r="G172" s="211"/>
      <c r="H172" s="62" t="s">
        <v>69</v>
      </c>
      <c r="I172" s="125">
        <v>0</v>
      </c>
      <c r="J172" s="125">
        <f>I172/D169</f>
        <v>0</v>
      </c>
      <c r="K172" s="125">
        <f>47971/D169</f>
        <v>21.11</v>
      </c>
    </row>
    <row r="173" spans="1:11" s="41" customFormat="1" x14ac:dyDescent="0.25">
      <c r="A173" s="209">
        <f>A169+1</f>
        <v>17</v>
      </c>
      <c r="B173" s="209">
        <v>6143</v>
      </c>
      <c r="C173" s="212" t="s">
        <v>164</v>
      </c>
      <c r="D173" s="205">
        <v>1897.7</v>
      </c>
      <c r="E173" s="205" t="s">
        <v>68</v>
      </c>
      <c r="F173" s="262">
        <v>3</v>
      </c>
      <c r="G173" s="117"/>
      <c r="H173" s="62" t="s">
        <v>66</v>
      </c>
      <c r="I173" s="125">
        <f>I174+I175+I176+I177</f>
        <v>11699705.98</v>
      </c>
      <c r="J173" s="125">
        <f>J174+J175+J176+J177</f>
        <v>6165.2</v>
      </c>
      <c r="K173" s="125">
        <f>K174+K175+K176+K177</f>
        <v>9490</v>
      </c>
    </row>
    <row r="174" spans="1:11" s="41" customFormat="1" x14ac:dyDescent="0.25">
      <c r="A174" s="210"/>
      <c r="B174" s="210"/>
      <c r="C174" s="213"/>
      <c r="D174" s="206"/>
      <c r="E174" s="206"/>
      <c r="F174" s="263"/>
      <c r="G174" s="273" t="s">
        <v>65</v>
      </c>
      <c r="H174" s="62" t="s">
        <v>67</v>
      </c>
      <c r="I174" s="125">
        <v>6001172.54</v>
      </c>
      <c r="J174" s="125">
        <f>I174/D173</f>
        <v>3162.34</v>
      </c>
      <c r="K174" s="125">
        <v>5036</v>
      </c>
    </row>
    <row r="175" spans="1:11" s="41" customFormat="1" x14ac:dyDescent="0.25">
      <c r="A175" s="210"/>
      <c r="B175" s="210"/>
      <c r="C175" s="213"/>
      <c r="D175" s="206"/>
      <c r="E175" s="206"/>
      <c r="F175" s="263"/>
      <c r="G175" s="273"/>
      <c r="H175" s="62" t="s">
        <v>69</v>
      </c>
      <c r="I175" s="125">
        <v>0</v>
      </c>
      <c r="J175" s="125">
        <f>I175/D173</f>
        <v>0</v>
      </c>
      <c r="K175" s="125">
        <v>108</v>
      </c>
    </row>
    <row r="176" spans="1:11" s="41" customFormat="1" x14ac:dyDescent="0.25">
      <c r="A176" s="210"/>
      <c r="B176" s="210"/>
      <c r="C176" s="213"/>
      <c r="D176" s="206"/>
      <c r="E176" s="206"/>
      <c r="F176" s="263"/>
      <c r="G176" s="210" t="s">
        <v>79</v>
      </c>
      <c r="H176" s="62" t="s">
        <v>67</v>
      </c>
      <c r="I176" s="125">
        <v>5698533.4400000004</v>
      </c>
      <c r="J176" s="125">
        <f>I176/D173</f>
        <v>3002.86</v>
      </c>
      <c r="K176" s="125">
        <v>4255</v>
      </c>
    </row>
    <row r="177" spans="1:11" s="41" customFormat="1" x14ac:dyDescent="0.25">
      <c r="A177" s="211"/>
      <c r="B177" s="211"/>
      <c r="C177" s="214"/>
      <c r="D177" s="207"/>
      <c r="E177" s="207"/>
      <c r="F177" s="264"/>
      <c r="G177" s="211"/>
      <c r="H177" s="62" t="s">
        <v>69</v>
      </c>
      <c r="I177" s="125">
        <v>0</v>
      </c>
      <c r="J177" s="125">
        <f>I177/D173</f>
        <v>0</v>
      </c>
      <c r="K177" s="125">
        <v>91</v>
      </c>
    </row>
    <row r="178" spans="1:11" s="41" customFormat="1" x14ac:dyDescent="0.25">
      <c r="A178" s="209">
        <f>A173+1</f>
        <v>18</v>
      </c>
      <c r="B178" s="209">
        <v>6152</v>
      </c>
      <c r="C178" s="212" t="s">
        <v>474</v>
      </c>
      <c r="D178" s="205">
        <v>2611.6</v>
      </c>
      <c r="E178" s="205" t="s">
        <v>68</v>
      </c>
      <c r="F178" s="262">
        <v>4</v>
      </c>
      <c r="G178" s="209" t="s">
        <v>65</v>
      </c>
      <c r="H178" s="62" t="s">
        <v>66</v>
      </c>
      <c r="I178" s="125">
        <f>I179+I180</f>
        <v>4992672.33</v>
      </c>
      <c r="J178" s="125">
        <f>J179+J180</f>
        <v>1911.73</v>
      </c>
      <c r="K178" s="125">
        <f>K179+K180</f>
        <v>5144</v>
      </c>
    </row>
    <row r="179" spans="1:11" s="41" customFormat="1" x14ac:dyDescent="0.25">
      <c r="A179" s="210"/>
      <c r="B179" s="210"/>
      <c r="C179" s="213"/>
      <c r="D179" s="206"/>
      <c r="E179" s="206"/>
      <c r="F179" s="263"/>
      <c r="G179" s="210"/>
      <c r="H179" s="62" t="s">
        <v>67</v>
      </c>
      <c r="I179" s="125">
        <f>7535875.2-2543202.87</f>
        <v>4992672.33</v>
      </c>
      <c r="J179" s="125">
        <f>I179/D178</f>
        <v>1911.73</v>
      </c>
      <c r="K179" s="125">
        <v>5036</v>
      </c>
    </row>
    <row r="180" spans="1:11" s="41" customFormat="1" x14ac:dyDescent="0.25">
      <c r="A180" s="210"/>
      <c r="B180" s="210"/>
      <c r="C180" s="213"/>
      <c r="D180" s="206"/>
      <c r="E180" s="206"/>
      <c r="F180" s="263"/>
      <c r="G180" s="211"/>
      <c r="H180" s="62" t="s">
        <v>69</v>
      </c>
      <c r="I180" s="125">
        <v>0</v>
      </c>
      <c r="J180" s="125">
        <f>I180/D178</f>
        <v>0</v>
      </c>
      <c r="K180" s="125">
        <v>108</v>
      </c>
    </row>
    <row r="181" spans="1:11" s="41" customFormat="1" x14ac:dyDescent="0.25">
      <c r="A181" s="209">
        <f>A178+1</f>
        <v>19</v>
      </c>
      <c r="B181" s="209">
        <v>6176</v>
      </c>
      <c r="C181" s="212" t="s">
        <v>389</v>
      </c>
      <c r="D181" s="205">
        <v>10924.18</v>
      </c>
      <c r="E181" s="205" t="s">
        <v>68</v>
      </c>
      <c r="F181" s="262">
        <v>9</v>
      </c>
      <c r="G181" s="209" t="s">
        <v>65</v>
      </c>
      <c r="H181" s="62" t="s">
        <v>66</v>
      </c>
      <c r="I181" s="125">
        <f>I182+I183</f>
        <v>10747534.029999999</v>
      </c>
      <c r="J181" s="125">
        <f t="shared" ref="J181:K181" si="7">J182+J183</f>
        <v>983.83</v>
      </c>
      <c r="K181" s="125">
        <f t="shared" si="7"/>
        <v>2492</v>
      </c>
    </row>
    <row r="182" spans="1:11" s="41" customFormat="1" x14ac:dyDescent="0.25">
      <c r="A182" s="210"/>
      <c r="B182" s="210"/>
      <c r="C182" s="213"/>
      <c r="D182" s="206"/>
      <c r="E182" s="206"/>
      <c r="F182" s="263"/>
      <c r="G182" s="210"/>
      <c r="H182" s="62" t="s">
        <v>67</v>
      </c>
      <c r="I182" s="125">
        <f>10747534.03</f>
        <v>10747534.029999999</v>
      </c>
      <c r="J182" s="125">
        <f>I182/D181</f>
        <v>983.83</v>
      </c>
      <c r="K182" s="125">
        <v>2440</v>
      </c>
    </row>
    <row r="183" spans="1:11" s="41" customFormat="1" x14ac:dyDescent="0.25">
      <c r="A183" s="210"/>
      <c r="B183" s="210"/>
      <c r="C183" s="213"/>
      <c r="D183" s="206"/>
      <c r="E183" s="206"/>
      <c r="F183" s="263"/>
      <c r="G183" s="210"/>
      <c r="H183" s="62" t="s">
        <v>69</v>
      </c>
      <c r="I183" s="125">
        <v>0</v>
      </c>
      <c r="J183" s="125">
        <f>I183/D181</f>
        <v>0</v>
      </c>
      <c r="K183" s="125">
        <v>52</v>
      </c>
    </row>
    <row r="184" spans="1:11" s="41" customFormat="1" x14ac:dyDescent="0.25">
      <c r="A184" s="209">
        <f>A181+1</f>
        <v>20</v>
      </c>
      <c r="B184" s="209">
        <v>6183</v>
      </c>
      <c r="C184" s="212" t="s">
        <v>390</v>
      </c>
      <c r="D184" s="205">
        <v>9992</v>
      </c>
      <c r="E184" s="205" t="s">
        <v>68</v>
      </c>
      <c r="F184" s="262">
        <v>10</v>
      </c>
      <c r="G184" s="209" t="s">
        <v>65</v>
      </c>
      <c r="H184" s="62" t="s">
        <v>66</v>
      </c>
      <c r="I184" s="125">
        <f>I185+I186</f>
        <v>6219893.0700000003</v>
      </c>
      <c r="J184" s="125">
        <f>J185+J186</f>
        <v>622.49</v>
      </c>
      <c r="K184" s="125">
        <f>K185+K186</f>
        <v>2604</v>
      </c>
    </row>
    <row r="185" spans="1:11" s="41" customFormat="1" ht="63" x14ac:dyDescent="0.25">
      <c r="A185" s="210"/>
      <c r="B185" s="210"/>
      <c r="C185" s="213"/>
      <c r="D185" s="206"/>
      <c r="E185" s="206"/>
      <c r="F185" s="263"/>
      <c r="G185" s="210"/>
      <c r="H185" s="62" t="s">
        <v>178</v>
      </c>
      <c r="I185" s="125">
        <v>862652.75</v>
      </c>
      <c r="J185" s="125">
        <f>I185/D184</f>
        <v>86.33</v>
      </c>
      <c r="K185" s="125">
        <f>151+13</f>
        <v>164</v>
      </c>
    </row>
    <row r="186" spans="1:11" s="41" customFormat="1" x14ac:dyDescent="0.25">
      <c r="A186" s="210"/>
      <c r="B186" s="210"/>
      <c r="C186" s="213"/>
      <c r="D186" s="206"/>
      <c r="E186" s="206"/>
      <c r="F186" s="263"/>
      <c r="G186" s="210"/>
      <c r="H186" s="62" t="s">
        <v>67</v>
      </c>
      <c r="I186" s="125">
        <v>5357240.3200000003</v>
      </c>
      <c r="J186" s="125">
        <f>I186/D184+0.01</f>
        <v>536.16</v>
      </c>
      <c r="K186" s="125">
        <v>2440</v>
      </c>
    </row>
    <row r="187" spans="1:11" s="41" customFormat="1" x14ac:dyDescent="0.25">
      <c r="A187" s="209">
        <f>A184+1</f>
        <v>21</v>
      </c>
      <c r="B187" s="209">
        <v>6184</v>
      </c>
      <c r="C187" s="212" t="s">
        <v>391</v>
      </c>
      <c r="D187" s="205">
        <v>10125.5</v>
      </c>
      <c r="E187" s="205" t="s">
        <v>68</v>
      </c>
      <c r="F187" s="262">
        <v>10</v>
      </c>
      <c r="G187" s="209" t="s">
        <v>65</v>
      </c>
      <c r="H187" s="62" t="s">
        <v>66</v>
      </c>
      <c r="I187" s="125">
        <f>I188</f>
        <v>5490887.7699999996</v>
      </c>
      <c r="J187" s="125">
        <f t="shared" ref="J187:K187" si="8">J188</f>
        <v>542.28</v>
      </c>
      <c r="K187" s="125">
        <f t="shared" si="8"/>
        <v>2440</v>
      </c>
    </row>
    <row r="188" spans="1:11" s="41" customFormat="1" x14ac:dyDescent="0.25">
      <c r="A188" s="210"/>
      <c r="B188" s="210"/>
      <c r="C188" s="213"/>
      <c r="D188" s="206"/>
      <c r="E188" s="206"/>
      <c r="F188" s="263"/>
      <c r="G188" s="210"/>
      <c r="H188" s="62" t="s">
        <v>67</v>
      </c>
      <c r="I188" s="125">
        <v>5490887.7699999996</v>
      </c>
      <c r="J188" s="125">
        <f>I188/D187</f>
        <v>542.28</v>
      </c>
      <c r="K188" s="125">
        <v>2440</v>
      </c>
    </row>
    <row r="189" spans="1:11" s="41" customFormat="1" ht="15.75" customHeight="1" x14ac:dyDescent="0.25">
      <c r="A189" s="209">
        <f>A187+1</f>
        <v>22</v>
      </c>
      <c r="B189" s="209">
        <v>6193</v>
      </c>
      <c r="C189" s="212" t="s">
        <v>576</v>
      </c>
      <c r="D189" s="205">
        <v>11067.6</v>
      </c>
      <c r="E189" s="209" t="s">
        <v>64</v>
      </c>
      <c r="F189" s="209">
        <v>9</v>
      </c>
      <c r="G189" s="117"/>
      <c r="H189" s="62" t="s">
        <v>66</v>
      </c>
      <c r="I189" s="125">
        <f>SUM(I190:I190)</f>
        <v>32281</v>
      </c>
      <c r="J189" s="125">
        <f>SUM(J190:J190)</f>
        <v>2.92</v>
      </c>
      <c r="K189" s="125">
        <f>SUM(K190:K190)</f>
        <v>2.92</v>
      </c>
    </row>
    <row r="190" spans="1:11" s="41" customFormat="1" ht="63" x14ac:dyDescent="0.25">
      <c r="A190" s="210"/>
      <c r="B190" s="210"/>
      <c r="C190" s="213"/>
      <c r="D190" s="206"/>
      <c r="E190" s="210"/>
      <c r="F190" s="210"/>
      <c r="G190" s="106" t="s">
        <v>170</v>
      </c>
      <c r="H190" s="62" t="s">
        <v>168</v>
      </c>
      <c r="I190" s="125">
        <f>22681+9600</f>
        <v>32281</v>
      </c>
      <c r="J190" s="125">
        <f>I190/D189</f>
        <v>2.92</v>
      </c>
      <c r="K190" s="125">
        <f>(22681+9600)/D189</f>
        <v>2.92</v>
      </c>
    </row>
    <row r="191" spans="1:11" s="41" customFormat="1" x14ac:dyDescent="0.25">
      <c r="A191" s="209">
        <f>A189+1</f>
        <v>23</v>
      </c>
      <c r="B191" s="209">
        <v>6237</v>
      </c>
      <c r="C191" s="212" t="s">
        <v>116</v>
      </c>
      <c r="D191" s="205">
        <v>542.70000000000005</v>
      </c>
      <c r="E191" s="205" t="s">
        <v>167</v>
      </c>
      <c r="F191" s="262">
        <v>2</v>
      </c>
      <c r="G191" s="124"/>
      <c r="H191" s="62" t="s">
        <v>66</v>
      </c>
      <c r="I191" s="125">
        <f>I192+I193+I194+I195</f>
        <v>4339739.6900000004</v>
      </c>
      <c r="J191" s="125">
        <f>J192+J193+J194+J195</f>
        <v>7996.57</v>
      </c>
      <c r="K191" s="125">
        <f>K192+K193+K194+K195</f>
        <v>12034</v>
      </c>
    </row>
    <row r="192" spans="1:11" s="41" customFormat="1" x14ac:dyDescent="0.25">
      <c r="A192" s="210"/>
      <c r="B192" s="210"/>
      <c r="C192" s="213"/>
      <c r="D192" s="206"/>
      <c r="E192" s="206"/>
      <c r="F192" s="263"/>
      <c r="G192" s="210" t="s">
        <v>65</v>
      </c>
      <c r="H192" s="62" t="s">
        <v>67</v>
      </c>
      <c r="I192" s="125">
        <v>2357751.21</v>
      </c>
      <c r="J192" s="125">
        <f>I192/D191</f>
        <v>4344.4799999999996</v>
      </c>
      <c r="K192" s="125">
        <v>7527</v>
      </c>
    </row>
    <row r="193" spans="1:11" s="41" customFormat="1" x14ac:dyDescent="0.25">
      <c r="A193" s="210"/>
      <c r="B193" s="210"/>
      <c r="C193" s="213"/>
      <c r="D193" s="206"/>
      <c r="E193" s="206"/>
      <c r="F193" s="263"/>
      <c r="G193" s="211"/>
      <c r="H193" s="62" t="s">
        <v>69</v>
      </c>
      <c r="I193" s="125">
        <v>0</v>
      </c>
      <c r="J193" s="125">
        <f>I193/D191</f>
        <v>0</v>
      </c>
      <c r="K193" s="125">
        <v>161</v>
      </c>
    </row>
    <row r="194" spans="1:11" s="41" customFormat="1" x14ac:dyDescent="0.25">
      <c r="A194" s="210"/>
      <c r="B194" s="210"/>
      <c r="C194" s="213"/>
      <c r="D194" s="206"/>
      <c r="E194" s="206"/>
      <c r="F194" s="263"/>
      <c r="G194" s="210" t="s">
        <v>79</v>
      </c>
      <c r="H194" s="62" t="s">
        <v>67</v>
      </c>
      <c r="I194" s="125">
        <v>1981988.48</v>
      </c>
      <c r="J194" s="125">
        <f>I194/D191</f>
        <v>3652.09</v>
      </c>
      <c r="K194" s="125">
        <v>4255</v>
      </c>
    </row>
    <row r="195" spans="1:11" s="41" customFormat="1" x14ac:dyDescent="0.25">
      <c r="A195" s="211"/>
      <c r="B195" s="211"/>
      <c r="C195" s="214"/>
      <c r="D195" s="207"/>
      <c r="E195" s="207"/>
      <c r="F195" s="264"/>
      <c r="G195" s="211"/>
      <c r="H195" s="62" t="s">
        <v>69</v>
      </c>
      <c r="I195" s="125">
        <v>0</v>
      </c>
      <c r="J195" s="125">
        <f>I195/D191</f>
        <v>0</v>
      </c>
      <c r="K195" s="125">
        <v>91</v>
      </c>
    </row>
    <row r="196" spans="1:11" s="41" customFormat="1" x14ac:dyDescent="0.25">
      <c r="A196" s="209">
        <f>A191+1</f>
        <v>24</v>
      </c>
      <c r="B196" s="209">
        <v>6273</v>
      </c>
      <c r="C196" s="212" t="s">
        <v>165</v>
      </c>
      <c r="D196" s="205">
        <v>1500.8</v>
      </c>
      <c r="E196" s="205" t="s">
        <v>73</v>
      </c>
      <c r="F196" s="262">
        <v>3</v>
      </c>
      <c r="G196" s="209" t="s">
        <v>65</v>
      </c>
      <c r="H196" s="62" t="s">
        <v>66</v>
      </c>
      <c r="I196" s="125">
        <f>I197+I198</f>
        <v>5106318.45</v>
      </c>
      <c r="J196" s="125">
        <f>J197+J198</f>
        <v>3402.4</v>
      </c>
      <c r="K196" s="125">
        <f>K197+K198</f>
        <v>5144</v>
      </c>
    </row>
    <row r="197" spans="1:11" s="41" customFormat="1" x14ac:dyDescent="0.25">
      <c r="A197" s="210"/>
      <c r="B197" s="210"/>
      <c r="C197" s="213"/>
      <c r="D197" s="206"/>
      <c r="E197" s="206"/>
      <c r="F197" s="263"/>
      <c r="G197" s="210"/>
      <c r="H197" s="62" t="s">
        <v>67</v>
      </c>
      <c r="I197" s="125">
        <v>5106318.45</v>
      </c>
      <c r="J197" s="125">
        <f>I197/D196</f>
        <v>3402.4</v>
      </c>
      <c r="K197" s="125">
        <v>5036</v>
      </c>
    </row>
    <row r="198" spans="1:11" s="41" customFormat="1" x14ac:dyDescent="0.25">
      <c r="A198" s="211"/>
      <c r="B198" s="211"/>
      <c r="C198" s="214"/>
      <c r="D198" s="207"/>
      <c r="E198" s="207"/>
      <c r="F198" s="264"/>
      <c r="G198" s="211"/>
      <c r="H198" s="62" t="s">
        <v>69</v>
      </c>
      <c r="I198" s="125">
        <v>0</v>
      </c>
      <c r="J198" s="125">
        <f>I198/D196</f>
        <v>0</v>
      </c>
      <c r="K198" s="125">
        <v>108</v>
      </c>
    </row>
    <row r="199" spans="1:11" s="41" customFormat="1" x14ac:dyDescent="0.25">
      <c r="A199" s="209">
        <f>A196+1</f>
        <v>25</v>
      </c>
      <c r="B199" s="209">
        <v>6324</v>
      </c>
      <c r="C199" s="212" t="s">
        <v>544</v>
      </c>
      <c r="D199" s="205">
        <v>6717.2</v>
      </c>
      <c r="E199" s="209" t="s">
        <v>64</v>
      </c>
      <c r="F199" s="209">
        <v>10</v>
      </c>
      <c r="G199" s="117"/>
      <c r="H199" s="62" t="s">
        <v>66</v>
      </c>
      <c r="I199" s="125">
        <f>SUM(I200:I208)</f>
        <v>6821784</v>
      </c>
      <c r="J199" s="125">
        <f>SUM(J200:J208)</f>
        <v>1015.57</v>
      </c>
      <c r="K199" s="125">
        <f>SUM(K200:K208)</f>
        <v>1037</v>
      </c>
    </row>
    <row r="200" spans="1:11" s="41" customFormat="1" ht="63" x14ac:dyDescent="0.25">
      <c r="A200" s="210"/>
      <c r="B200" s="210"/>
      <c r="C200" s="213"/>
      <c r="D200" s="206"/>
      <c r="E200" s="210"/>
      <c r="F200" s="210"/>
      <c r="G200" s="209" t="s">
        <v>170</v>
      </c>
      <c r="H200" s="62" t="s">
        <v>168</v>
      </c>
      <c r="I200" s="125">
        <f>22681+9600</f>
        <v>32281</v>
      </c>
      <c r="J200" s="125">
        <f>I200/D199</f>
        <v>4.8099999999999996</v>
      </c>
      <c r="K200" s="125">
        <f>(22681+9600)/D199</f>
        <v>4.8099999999999996</v>
      </c>
    </row>
    <row r="201" spans="1:11" s="41" customFormat="1" x14ac:dyDescent="0.25">
      <c r="A201" s="210"/>
      <c r="B201" s="210"/>
      <c r="C201" s="213"/>
      <c r="D201" s="206"/>
      <c r="E201" s="210"/>
      <c r="F201" s="210"/>
      <c r="G201" s="210"/>
      <c r="H201" s="62" t="s">
        <v>171</v>
      </c>
      <c r="I201" s="125">
        <v>2241647</v>
      </c>
      <c r="J201" s="125">
        <f>I201/D199-0.01</f>
        <v>333.71</v>
      </c>
      <c r="K201" s="125">
        <f>2241647/D199-0.01</f>
        <v>333.71</v>
      </c>
    </row>
    <row r="202" spans="1:11" s="41" customFormat="1" x14ac:dyDescent="0.25">
      <c r="A202" s="210"/>
      <c r="B202" s="210"/>
      <c r="C202" s="213"/>
      <c r="D202" s="206"/>
      <c r="E202" s="210"/>
      <c r="F202" s="210"/>
      <c r="G202" s="211"/>
      <c r="H202" s="62" t="s">
        <v>69</v>
      </c>
      <c r="I202" s="125">
        <v>0</v>
      </c>
      <c r="J202" s="125">
        <f>I202/D199</f>
        <v>0</v>
      </c>
      <c r="K202" s="125">
        <f>47971/D199</f>
        <v>7.14</v>
      </c>
    </row>
    <row r="203" spans="1:11" s="41" customFormat="1" ht="63" x14ac:dyDescent="0.25">
      <c r="A203" s="210"/>
      <c r="B203" s="210"/>
      <c r="C203" s="213"/>
      <c r="D203" s="206"/>
      <c r="E203" s="210"/>
      <c r="F203" s="210"/>
      <c r="G203" s="209" t="s">
        <v>173</v>
      </c>
      <c r="H203" s="62" t="s">
        <v>168</v>
      </c>
      <c r="I203" s="125">
        <f>22681+9600</f>
        <v>32281</v>
      </c>
      <c r="J203" s="125">
        <f>I203/D199</f>
        <v>4.8099999999999996</v>
      </c>
      <c r="K203" s="125">
        <f>(22681+9600)/D199</f>
        <v>4.8099999999999996</v>
      </c>
    </row>
    <row r="204" spans="1:11" s="41" customFormat="1" x14ac:dyDescent="0.25">
      <c r="A204" s="210"/>
      <c r="B204" s="210"/>
      <c r="C204" s="213"/>
      <c r="D204" s="206"/>
      <c r="E204" s="210"/>
      <c r="F204" s="210"/>
      <c r="G204" s="210"/>
      <c r="H204" s="62" t="s">
        <v>171</v>
      </c>
      <c r="I204" s="125">
        <v>2241647</v>
      </c>
      <c r="J204" s="125">
        <f>I204/D199-0.01</f>
        <v>333.71</v>
      </c>
      <c r="K204" s="125">
        <f>2241647/D199-0.01</f>
        <v>333.71</v>
      </c>
    </row>
    <row r="205" spans="1:11" s="41" customFormat="1" x14ac:dyDescent="0.25">
      <c r="A205" s="210"/>
      <c r="B205" s="210"/>
      <c r="C205" s="213"/>
      <c r="D205" s="206"/>
      <c r="E205" s="210"/>
      <c r="F205" s="210"/>
      <c r="G205" s="211"/>
      <c r="H205" s="62" t="s">
        <v>69</v>
      </c>
      <c r="I205" s="125">
        <v>0</v>
      </c>
      <c r="J205" s="125">
        <f>I205/D199</f>
        <v>0</v>
      </c>
      <c r="K205" s="125">
        <f>47971/D199</f>
        <v>7.14</v>
      </c>
    </row>
    <row r="206" spans="1:11" s="41" customFormat="1" ht="63" x14ac:dyDescent="0.25">
      <c r="A206" s="210"/>
      <c r="B206" s="210"/>
      <c r="C206" s="213"/>
      <c r="D206" s="206"/>
      <c r="E206" s="210"/>
      <c r="F206" s="210"/>
      <c r="G206" s="209" t="s">
        <v>174</v>
      </c>
      <c r="H206" s="62" t="s">
        <v>168</v>
      </c>
      <c r="I206" s="125">
        <f>22681+9600</f>
        <v>32281</v>
      </c>
      <c r="J206" s="125">
        <f>I206/D199</f>
        <v>4.8099999999999996</v>
      </c>
      <c r="K206" s="125">
        <f>(22681+9600)/D199</f>
        <v>4.8099999999999996</v>
      </c>
    </row>
    <row r="207" spans="1:11" s="41" customFormat="1" x14ac:dyDescent="0.25">
      <c r="A207" s="210"/>
      <c r="B207" s="210"/>
      <c r="C207" s="213"/>
      <c r="D207" s="206"/>
      <c r="E207" s="210"/>
      <c r="F207" s="210"/>
      <c r="G207" s="210"/>
      <c r="H207" s="62" t="s">
        <v>171</v>
      </c>
      <c r="I207" s="125">
        <v>2241647</v>
      </c>
      <c r="J207" s="125">
        <f>I207/D199</f>
        <v>333.72</v>
      </c>
      <c r="K207" s="125">
        <f>2241647/D199+0.01</f>
        <v>333.73</v>
      </c>
    </row>
    <row r="208" spans="1:11" s="41" customFormat="1" x14ac:dyDescent="0.25">
      <c r="A208" s="210"/>
      <c r="B208" s="210"/>
      <c r="C208" s="213"/>
      <c r="D208" s="206"/>
      <c r="E208" s="210"/>
      <c r="F208" s="210"/>
      <c r="G208" s="211"/>
      <c r="H208" s="62" t="s">
        <v>69</v>
      </c>
      <c r="I208" s="125">
        <v>0</v>
      </c>
      <c r="J208" s="125">
        <f>I208/D199</f>
        <v>0</v>
      </c>
      <c r="K208" s="125">
        <f>47971/D199</f>
        <v>7.14</v>
      </c>
    </row>
    <row r="209" spans="1:11" s="41" customFormat="1" x14ac:dyDescent="0.25">
      <c r="A209" s="209">
        <f>A199+1</f>
        <v>26</v>
      </c>
      <c r="B209" s="209">
        <v>6330</v>
      </c>
      <c r="C209" s="212" t="s">
        <v>577</v>
      </c>
      <c r="D209" s="205">
        <v>10514.2</v>
      </c>
      <c r="E209" s="205" t="s">
        <v>64</v>
      </c>
      <c r="F209" s="262">
        <v>10</v>
      </c>
      <c r="G209" s="117"/>
      <c r="H209" s="62" t="s">
        <v>66</v>
      </c>
      <c r="I209" s="125">
        <f>SUM(I210:I211)</f>
        <v>64562</v>
      </c>
      <c r="J209" s="125">
        <f>SUM(J210:J211)</f>
        <v>6.14</v>
      </c>
      <c r="K209" s="125">
        <f>SUM(K210:K211)</f>
        <v>6.14</v>
      </c>
    </row>
    <row r="210" spans="1:11" s="41" customFormat="1" ht="63" x14ac:dyDescent="0.25">
      <c r="A210" s="210"/>
      <c r="B210" s="210"/>
      <c r="C210" s="213"/>
      <c r="D210" s="206"/>
      <c r="E210" s="206"/>
      <c r="F210" s="263"/>
      <c r="G210" s="106" t="s">
        <v>175</v>
      </c>
      <c r="H210" s="62" t="s">
        <v>168</v>
      </c>
      <c r="I210" s="125">
        <v>32281</v>
      </c>
      <c r="J210" s="125">
        <f>I210/D209</f>
        <v>3.07</v>
      </c>
      <c r="K210" s="125">
        <f>(22681+9600)/D209</f>
        <v>3.07</v>
      </c>
    </row>
    <row r="211" spans="1:11" s="41" customFormat="1" ht="63" x14ac:dyDescent="0.25">
      <c r="A211" s="210"/>
      <c r="B211" s="210"/>
      <c r="C211" s="213"/>
      <c r="D211" s="206"/>
      <c r="E211" s="206"/>
      <c r="F211" s="263"/>
      <c r="G211" s="106" t="s">
        <v>172</v>
      </c>
      <c r="H211" s="62" t="s">
        <v>168</v>
      </c>
      <c r="I211" s="125">
        <v>32281</v>
      </c>
      <c r="J211" s="125">
        <f>I211/D209</f>
        <v>3.07</v>
      </c>
      <c r="K211" s="125">
        <f>(22681+9600)/D209</f>
        <v>3.07</v>
      </c>
    </row>
    <row r="212" spans="1:11" s="41" customFormat="1" x14ac:dyDescent="0.25">
      <c r="A212" s="209">
        <f>A209+1</f>
        <v>27</v>
      </c>
      <c r="B212" s="209">
        <v>6364</v>
      </c>
      <c r="C212" s="212" t="s">
        <v>392</v>
      </c>
      <c r="D212" s="205">
        <v>2466.5</v>
      </c>
      <c r="E212" s="205" t="s">
        <v>68</v>
      </c>
      <c r="F212" s="262">
        <v>5</v>
      </c>
      <c r="G212" s="209" t="s">
        <v>65</v>
      </c>
      <c r="H212" s="62" t="s">
        <v>66</v>
      </c>
      <c r="I212" s="125">
        <f>I213+I214</f>
        <v>2640798.1800000002</v>
      </c>
      <c r="J212" s="125">
        <f t="shared" ref="J212:K212" si="9">J213+J214</f>
        <v>1070.67</v>
      </c>
      <c r="K212" s="125">
        <f t="shared" si="9"/>
        <v>3966</v>
      </c>
    </row>
    <row r="213" spans="1:11" s="41" customFormat="1" ht="63" x14ac:dyDescent="0.25">
      <c r="A213" s="210"/>
      <c r="B213" s="210"/>
      <c r="C213" s="213"/>
      <c r="D213" s="206"/>
      <c r="E213" s="206"/>
      <c r="F213" s="263"/>
      <c r="G213" s="210"/>
      <c r="H213" s="62" t="s">
        <v>178</v>
      </c>
      <c r="I213" s="125">
        <v>170891.8</v>
      </c>
      <c r="J213" s="125">
        <f>I213/D212</f>
        <v>69.290000000000006</v>
      </c>
      <c r="K213" s="125">
        <f>151+18</f>
        <v>169</v>
      </c>
    </row>
    <row r="214" spans="1:11" s="41" customFormat="1" x14ac:dyDescent="0.25">
      <c r="A214" s="210"/>
      <c r="B214" s="210"/>
      <c r="C214" s="213"/>
      <c r="D214" s="206"/>
      <c r="E214" s="206"/>
      <c r="F214" s="263"/>
      <c r="G214" s="210"/>
      <c r="H214" s="62" t="s">
        <v>67</v>
      </c>
      <c r="I214" s="125">
        <f>8233021.27*0.3</f>
        <v>2469906.38</v>
      </c>
      <c r="J214" s="125">
        <f>I214/D212</f>
        <v>1001.38</v>
      </c>
      <c r="K214" s="125">
        <v>3797</v>
      </c>
    </row>
    <row r="215" spans="1:11" s="41" customFormat="1" x14ac:dyDescent="0.25">
      <c r="A215" s="209">
        <f>A212+1</f>
        <v>28</v>
      </c>
      <c r="B215" s="209">
        <v>6373</v>
      </c>
      <c r="C215" s="212" t="s">
        <v>578</v>
      </c>
      <c r="D215" s="205">
        <v>8155.3</v>
      </c>
      <c r="E215" s="205" t="s">
        <v>64</v>
      </c>
      <c r="F215" s="262">
        <v>10</v>
      </c>
      <c r="G215" s="117"/>
      <c r="H215" s="62" t="s">
        <v>66</v>
      </c>
      <c r="I215" s="125">
        <f>SUM(I216:I219)</f>
        <v>129124</v>
      </c>
      <c r="J215" s="125">
        <f>SUM(J216:J219)</f>
        <v>15.83</v>
      </c>
      <c r="K215" s="125">
        <f>SUM(K216:K219)</f>
        <v>15.83</v>
      </c>
    </row>
    <row r="216" spans="1:11" s="41" customFormat="1" ht="63" x14ac:dyDescent="0.25">
      <c r="A216" s="210"/>
      <c r="B216" s="210"/>
      <c r="C216" s="213"/>
      <c r="D216" s="206"/>
      <c r="E216" s="206"/>
      <c r="F216" s="263"/>
      <c r="G216" s="106" t="s">
        <v>170</v>
      </c>
      <c r="H216" s="62" t="s">
        <v>168</v>
      </c>
      <c r="I216" s="125">
        <v>32281</v>
      </c>
      <c r="J216" s="125">
        <f>I216/D215-0.01</f>
        <v>3.95</v>
      </c>
      <c r="K216" s="125">
        <f>(22681+9600)/D215-0.01</f>
        <v>3.95</v>
      </c>
    </row>
    <row r="217" spans="1:11" s="41" customFormat="1" ht="63" x14ac:dyDescent="0.25">
      <c r="A217" s="210"/>
      <c r="B217" s="210"/>
      <c r="C217" s="213"/>
      <c r="D217" s="206"/>
      <c r="E217" s="206"/>
      <c r="F217" s="263"/>
      <c r="G217" s="106" t="s">
        <v>173</v>
      </c>
      <c r="H217" s="62" t="s">
        <v>168</v>
      </c>
      <c r="I217" s="125">
        <v>32281</v>
      </c>
      <c r="J217" s="125">
        <f>I217/D215</f>
        <v>3.96</v>
      </c>
      <c r="K217" s="125">
        <f>(22681+9600)/D215</f>
        <v>3.96</v>
      </c>
    </row>
    <row r="218" spans="1:11" s="41" customFormat="1" ht="63" x14ac:dyDescent="0.25">
      <c r="A218" s="210"/>
      <c r="B218" s="210"/>
      <c r="C218" s="213"/>
      <c r="D218" s="206"/>
      <c r="E218" s="206"/>
      <c r="F218" s="263"/>
      <c r="G218" s="106" t="s">
        <v>174</v>
      </c>
      <c r="H218" s="62" t="s">
        <v>168</v>
      </c>
      <c r="I218" s="125">
        <v>32281</v>
      </c>
      <c r="J218" s="125">
        <f>I218/D215</f>
        <v>3.96</v>
      </c>
      <c r="K218" s="125">
        <f>(22681+9600)/D215</f>
        <v>3.96</v>
      </c>
    </row>
    <row r="219" spans="1:11" s="41" customFormat="1" ht="63" x14ac:dyDescent="0.25">
      <c r="A219" s="210"/>
      <c r="B219" s="210"/>
      <c r="C219" s="213"/>
      <c r="D219" s="206"/>
      <c r="E219" s="206"/>
      <c r="F219" s="263"/>
      <c r="G219" s="106" t="s">
        <v>175</v>
      </c>
      <c r="H219" s="62" t="s">
        <v>168</v>
      </c>
      <c r="I219" s="125">
        <v>32281</v>
      </c>
      <c r="J219" s="125">
        <f>I219/D215</f>
        <v>3.96</v>
      </c>
      <c r="K219" s="125">
        <f>(22681+9600)/D215</f>
        <v>3.96</v>
      </c>
    </row>
    <row r="220" spans="1:11" s="41" customFormat="1" x14ac:dyDescent="0.25">
      <c r="A220" s="209">
        <f>A212+1</f>
        <v>28</v>
      </c>
      <c r="B220" s="209">
        <v>6374</v>
      </c>
      <c r="C220" s="212" t="s">
        <v>475</v>
      </c>
      <c r="D220" s="205">
        <v>9480</v>
      </c>
      <c r="E220" s="209" t="s">
        <v>64</v>
      </c>
      <c r="F220" s="209">
        <v>10</v>
      </c>
      <c r="G220" s="117"/>
      <c r="H220" s="62" t="s">
        <v>66</v>
      </c>
      <c r="I220" s="125">
        <f>SUM(I221:I230)</f>
        <v>3523875.5</v>
      </c>
      <c r="J220" s="125">
        <f>SUM(J221:J230)</f>
        <v>371.72</v>
      </c>
      <c r="K220" s="125">
        <f>SUM(K221:K230)</f>
        <v>1199.33</v>
      </c>
    </row>
    <row r="221" spans="1:11" s="41" customFormat="1" ht="63" x14ac:dyDescent="0.25">
      <c r="A221" s="210"/>
      <c r="B221" s="210"/>
      <c r="C221" s="213"/>
      <c r="D221" s="206"/>
      <c r="E221" s="210"/>
      <c r="F221" s="210"/>
      <c r="G221" s="209" t="s">
        <v>170</v>
      </c>
      <c r="H221" s="62" t="s">
        <v>168</v>
      </c>
      <c r="I221" s="125">
        <f>22681+9600</f>
        <v>32281</v>
      </c>
      <c r="J221" s="125">
        <f>I221/D220</f>
        <v>3.41</v>
      </c>
      <c r="K221" s="125">
        <f>(22681+9600)/D220</f>
        <v>3.41</v>
      </c>
    </row>
    <row r="222" spans="1:11" s="41" customFormat="1" x14ac:dyDescent="0.25">
      <c r="A222" s="210"/>
      <c r="B222" s="210"/>
      <c r="C222" s="213"/>
      <c r="D222" s="206"/>
      <c r="E222" s="210"/>
      <c r="F222" s="210"/>
      <c r="G222" s="210"/>
      <c r="H222" s="62" t="s">
        <v>171</v>
      </c>
      <c r="I222" s="125">
        <f>2241647*0.3</f>
        <v>672494.1</v>
      </c>
      <c r="J222" s="125">
        <f>I222/D220-0.01</f>
        <v>70.930000000000007</v>
      </c>
      <c r="K222" s="125">
        <f>2241647/D220-0.01</f>
        <v>236.45</v>
      </c>
    </row>
    <row r="223" spans="1:11" s="41" customFormat="1" ht="63" x14ac:dyDescent="0.25">
      <c r="A223" s="210"/>
      <c r="B223" s="210"/>
      <c r="C223" s="213"/>
      <c r="D223" s="206"/>
      <c r="E223" s="210"/>
      <c r="F223" s="210"/>
      <c r="G223" s="209" t="s">
        <v>173</v>
      </c>
      <c r="H223" s="62" t="s">
        <v>168</v>
      </c>
      <c r="I223" s="125">
        <f>22681+9600</f>
        <v>32281</v>
      </c>
      <c r="J223" s="125">
        <f>I223/D220</f>
        <v>3.41</v>
      </c>
      <c r="K223" s="125">
        <f>(22681+9600)/D220</f>
        <v>3.41</v>
      </c>
    </row>
    <row r="224" spans="1:11" s="41" customFormat="1" x14ac:dyDescent="0.25">
      <c r="A224" s="210"/>
      <c r="B224" s="210"/>
      <c r="C224" s="213"/>
      <c r="D224" s="206"/>
      <c r="E224" s="210"/>
      <c r="F224" s="210"/>
      <c r="G224" s="210"/>
      <c r="H224" s="62" t="s">
        <v>171</v>
      </c>
      <c r="I224" s="125">
        <f>2241647*0.3</f>
        <v>672494.1</v>
      </c>
      <c r="J224" s="125">
        <f>I224/D220-0.01</f>
        <v>70.930000000000007</v>
      </c>
      <c r="K224" s="125">
        <f>2241647/D220-0.01</f>
        <v>236.45</v>
      </c>
    </row>
    <row r="225" spans="1:11" s="41" customFormat="1" ht="63" x14ac:dyDescent="0.25">
      <c r="A225" s="210"/>
      <c r="B225" s="210"/>
      <c r="C225" s="213"/>
      <c r="D225" s="206"/>
      <c r="E225" s="210"/>
      <c r="F225" s="210"/>
      <c r="G225" s="209" t="s">
        <v>174</v>
      </c>
      <c r="H225" s="62" t="s">
        <v>168</v>
      </c>
      <c r="I225" s="125">
        <f>22681+9600</f>
        <v>32281</v>
      </c>
      <c r="J225" s="125">
        <f>I225/D220</f>
        <v>3.41</v>
      </c>
      <c r="K225" s="125">
        <f>(22681+9600)/D220</f>
        <v>3.41</v>
      </c>
    </row>
    <row r="226" spans="1:11" s="41" customFormat="1" x14ac:dyDescent="0.25">
      <c r="A226" s="210"/>
      <c r="B226" s="210"/>
      <c r="C226" s="213"/>
      <c r="D226" s="206"/>
      <c r="E226" s="210"/>
      <c r="F226" s="210"/>
      <c r="G226" s="210"/>
      <c r="H226" s="62" t="s">
        <v>171</v>
      </c>
      <c r="I226" s="125">
        <f>2241647*0.3</f>
        <v>672494.1</v>
      </c>
      <c r="J226" s="125">
        <f>I226/D220-0.01</f>
        <v>70.930000000000007</v>
      </c>
      <c r="K226" s="125">
        <f>2241647/D220</f>
        <v>236.46</v>
      </c>
    </row>
    <row r="227" spans="1:11" s="41" customFormat="1" ht="63" x14ac:dyDescent="0.25">
      <c r="A227" s="210"/>
      <c r="B227" s="210"/>
      <c r="C227" s="213"/>
      <c r="D227" s="206"/>
      <c r="E227" s="210"/>
      <c r="F227" s="210"/>
      <c r="G227" s="209" t="s">
        <v>175</v>
      </c>
      <c r="H227" s="62" t="s">
        <v>168</v>
      </c>
      <c r="I227" s="125">
        <f>22681+9600</f>
        <v>32281</v>
      </c>
      <c r="J227" s="125">
        <f>I227/D220</f>
        <v>3.41</v>
      </c>
      <c r="K227" s="125">
        <f>(22681+9600)/D220</f>
        <v>3.41</v>
      </c>
    </row>
    <row r="228" spans="1:11" s="41" customFormat="1" x14ac:dyDescent="0.25">
      <c r="A228" s="210"/>
      <c r="B228" s="210"/>
      <c r="C228" s="213"/>
      <c r="D228" s="206"/>
      <c r="E228" s="210"/>
      <c r="F228" s="210"/>
      <c r="G228" s="210"/>
      <c r="H228" s="62" t="s">
        <v>171</v>
      </c>
      <c r="I228" s="125">
        <f>2241647*0.3</f>
        <v>672494.1</v>
      </c>
      <c r="J228" s="125">
        <f>I228/D220</f>
        <v>70.94</v>
      </c>
      <c r="K228" s="125">
        <f>2241647/D220</f>
        <v>236.46</v>
      </c>
    </row>
    <row r="229" spans="1:11" s="41" customFormat="1" ht="63" x14ac:dyDescent="0.25">
      <c r="A229" s="210"/>
      <c r="B229" s="210"/>
      <c r="C229" s="213"/>
      <c r="D229" s="206"/>
      <c r="E229" s="210"/>
      <c r="F229" s="210"/>
      <c r="G229" s="209" t="s">
        <v>172</v>
      </c>
      <c r="H229" s="62" t="s">
        <v>168</v>
      </c>
      <c r="I229" s="125">
        <f>22681+9600</f>
        <v>32281</v>
      </c>
      <c r="J229" s="125">
        <f>I229/D220</f>
        <v>3.41</v>
      </c>
      <c r="K229" s="125">
        <f>(22681+9600)/D220</f>
        <v>3.41</v>
      </c>
    </row>
    <row r="230" spans="1:11" s="41" customFormat="1" x14ac:dyDescent="0.25">
      <c r="A230" s="210"/>
      <c r="B230" s="210"/>
      <c r="C230" s="213"/>
      <c r="D230" s="206"/>
      <c r="E230" s="210"/>
      <c r="F230" s="210"/>
      <c r="G230" s="210"/>
      <c r="H230" s="62" t="s">
        <v>171</v>
      </c>
      <c r="I230" s="125">
        <f>2241647*0.3</f>
        <v>672494.1</v>
      </c>
      <c r="J230" s="125">
        <f>I230/D220</f>
        <v>70.94</v>
      </c>
      <c r="K230" s="125">
        <f>2241647/D220</f>
        <v>236.46</v>
      </c>
    </row>
    <row r="231" spans="1:11" s="41" customFormat="1" x14ac:dyDescent="0.25">
      <c r="A231" s="209">
        <f>A220+1</f>
        <v>29</v>
      </c>
      <c r="B231" s="209">
        <v>6387</v>
      </c>
      <c r="C231" s="212" t="s">
        <v>476</v>
      </c>
      <c r="D231" s="205">
        <v>880</v>
      </c>
      <c r="E231" s="205" t="s">
        <v>167</v>
      </c>
      <c r="F231" s="262">
        <v>2</v>
      </c>
      <c r="G231" s="209" t="s">
        <v>65</v>
      </c>
      <c r="H231" s="62" t="s">
        <v>66</v>
      </c>
      <c r="I231" s="125">
        <f>I232+I233</f>
        <v>1789488.06</v>
      </c>
      <c r="J231" s="125">
        <f>J232+J233</f>
        <v>2033.51</v>
      </c>
      <c r="K231" s="125">
        <f>K232+K233</f>
        <v>7787</v>
      </c>
    </row>
    <row r="232" spans="1:11" s="41" customFormat="1" ht="63" x14ac:dyDescent="0.25">
      <c r="A232" s="210"/>
      <c r="B232" s="210"/>
      <c r="C232" s="213"/>
      <c r="D232" s="206"/>
      <c r="E232" s="206"/>
      <c r="F232" s="263"/>
      <c r="G232" s="210"/>
      <c r="H232" s="62" t="s">
        <v>178</v>
      </c>
      <c r="I232" s="125">
        <v>159760</v>
      </c>
      <c r="J232" s="125">
        <f>I232/D231</f>
        <v>181.55</v>
      </c>
      <c r="K232" s="125">
        <f>164+96</f>
        <v>260</v>
      </c>
    </row>
    <row r="233" spans="1:11" s="41" customFormat="1" x14ac:dyDescent="0.25">
      <c r="A233" s="210"/>
      <c r="B233" s="210"/>
      <c r="C233" s="213"/>
      <c r="D233" s="206"/>
      <c r="E233" s="206"/>
      <c r="F233" s="263"/>
      <c r="G233" s="210"/>
      <c r="H233" s="62" t="s">
        <v>67</v>
      </c>
      <c r="I233" s="125">
        <f>5432426.86*0.3</f>
        <v>1629728.06</v>
      </c>
      <c r="J233" s="125">
        <f>I233/D231</f>
        <v>1851.96</v>
      </c>
      <c r="K233" s="125">
        <v>7527</v>
      </c>
    </row>
    <row r="234" spans="1:11" s="41" customFormat="1" x14ac:dyDescent="0.25">
      <c r="A234" s="209">
        <f>A231+1</f>
        <v>30</v>
      </c>
      <c r="B234" s="209">
        <v>6407</v>
      </c>
      <c r="C234" s="212" t="s">
        <v>184</v>
      </c>
      <c r="D234" s="205">
        <v>2722</v>
      </c>
      <c r="E234" s="205" t="s">
        <v>64</v>
      </c>
      <c r="F234" s="262">
        <v>5</v>
      </c>
      <c r="G234" s="209" t="s">
        <v>65</v>
      </c>
      <c r="H234" s="62" t="s">
        <v>66</v>
      </c>
      <c r="I234" s="125">
        <f>I235+I236</f>
        <v>9222458.5</v>
      </c>
      <c r="J234" s="125">
        <f>J235+J236</f>
        <v>3388.12</v>
      </c>
      <c r="K234" s="125">
        <f>K235+K236</f>
        <v>3878</v>
      </c>
    </row>
    <row r="235" spans="1:11" s="41" customFormat="1" x14ac:dyDescent="0.25">
      <c r="A235" s="210"/>
      <c r="B235" s="210"/>
      <c r="C235" s="213"/>
      <c r="D235" s="206"/>
      <c r="E235" s="206"/>
      <c r="F235" s="263"/>
      <c r="G235" s="210"/>
      <c r="H235" s="62" t="s">
        <v>67</v>
      </c>
      <c r="I235" s="125">
        <v>9222458.5</v>
      </c>
      <c r="J235" s="125">
        <f>I235/D234</f>
        <v>3388.12</v>
      </c>
      <c r="K235" s="125">
        <v>3797</v>
      </c>
    </row>
    <row r="236" spans="1:11" s="41" customFormat="1" x14ac:dyDescent="0.25">
      <c r="A236" s="211"/>
      <c r="B236" s="211"/>
      <c r="C236" s="214"/>
      <c r="D236" s="207"/>
      <c r="E236" s="207"/>
      <c r="F236" s="264"/>
      <c r="G236" s="211"/>
      <c r="H236" s="62" t="s">
        <v>69</v>
      </c>
      <c r="I236" s="125">
        <v>0</v>
      </c>
      <c r="J236" s="125">
        <f>I236/D234</f>
        <v>0</v>
      </c>
      <c r="K236" s="125">
        <v>81</v>
      </c>
    </row>
    <row r="237" spans="1:11" s="41" customFormat="1" ht="15.75" customHeight="1" x14ac:dyDescent="0.25">
      <c r="A237" s="209">
        <f>A234+1</f>
        <v>31</v>
      </c>
      <c r="B237" s="209">
        <v>6408</v>
      </c>
      <c r="C237" s="212" t="s">
        <v>579</v>
      </c>
      <c r="D237" s="205">
        <v>3930.3</v>
      </c>
      <c r="E237" s="205" t="s">
        <v>68</v>
      </c>
      <c r="F237" s="262">
        <v>12</v>
      </c>
      <c r="G237" s="124"/>
      <c r="H237" s="62" t="s">
        <v>66</v>
      </c>
      <c r="I237" s="125">
        <f>SUM(I238:I239)</f>
        <v>64562</v>
      </c>
      <c r="J237" s="125">
        <f>SUM(J238:J239)</f>
        <v>16.43</v>
      </c>
      <c r="K237" s="125">
        <f>SUM(K238:K239)</f>
        <v>16.43</v>
      </c>
    </row>
    <row r="238" spans="1:11" s="41" customFormat="1" ht="63" x14ac:dyDescent="0.25">
      <c r="A238" s="210"/>
      <c r="B238" s="210"/>
      <c r="C238" s="213"/>
      <c r="D238" s="206"/>
      <c r="E238" s="206"/>
      <c r="F238" s="263"/>
      <c r="G238" s="104" t="s">
        <v>170</v>
      </c>
      <c r="H238" s="62" t="s">
        <v>168</v>
      </c>
      <c r="I238" s="125">
        <f>(22681+9600)</f>
        <v>32281</v>
      </c>
      <c r="J238" s="125">
        <f>I238/D237+0.01</f>
        <v>8.2200000000000006</v>
      </c>
      <c r="K238" s="125">
        <f>(22681+9600)/D237+0.01</f>
        <v>8.2200000000000006</v>
      </c>
    </row>
    <row r="239" spans="1:11" s="41" customFormat="1" ht="63" x14ac:dyDescent="0.25">
      <c r="A239" s="210"/>
      <c r="B239" s="210"/>
      <c r="C239" s="213"/>
      <c r="D239" s="206"/>
      <c r="E239" s="206"/>
      <c r="F239" s="263"/>
      <c r="G239" s="104" t="s">
        <v>170</v>
      </c>
      <c r="H239" s="62" t="s">
        <v>168</v>
      </c>
      <c r="I239" s="125">
        <f>(22681+9600)</f>
        <v>32281</v>
      </c>
      <c r="J239" s="125">
        <f>I239/D237</f>
        <v>8.2100000000000009</v>
      </c>
      <c r="K239" s="125">
        <f>(22681+9600)/D237</f>
        <v>8.2100000000000009</v>
      </c>
    </row>
    <row r="240" spans="1:11" s="41" customFormat="1" x14ac:dyDescent="0.25">
      <c r="A240" s="209">
        <f>A237+1</f>
        <v>32</v>
      </c>
      <c r="B240" s="209">
        <v>6413</v>
      </c>
      <c r="C240" s="212" t="s">
        <v>185</v>
      </c>
      <c r="D240" s="205">
        <v>8338.86</v>
      </c>
      <c r="E240" s="205" t="s">
        <v>64</v>
      </c>
      <c r="F240" s="262">
        <v>5</v>
      </c>
      <c r="G240" s="209" t="s">
        <v>65</v>
      </c>
      <c r="H240" s="62" t="s">
        <v>66</v>
      </c>
      <c r="I240" s="125">
        <f>I241+I242</f>
        <v>24901647.77</v>
      </c>
      <c r="J240" s="125">
        <f>J241+J242</f>
        <v>2986.22</v>
      </c>
      <c r="K240" s="125">
        <f>K241+K242</f>
        <v>3878</v>
      </c>
    </row>
    <row r="241" spans="1:11" s="41" customFormat="1" x14ac:dyDescent="0.25">
      <c r="A241" s="210"/>
      <c r="B241" s="210"/>
      <c r="C241" s="213"/>
      <c r="D241" s="206"/>
      <c r="E241" s="206"/>
      <c r="F241" s="263"/>
      <c r="G241" s="210"/>
      <c r="H241" s="62" t="s">
        <v>67</v>
      </c>
      <c r="I241" s="125">
        <v>24901647.77</v>
      </c>
      <c r="J241" s="125">
        <f>I241/D240</f>
        <v>2986.22</v>
      </c>
      <c r="K241" s="125">
        <v>3797</v>
      </c>
    </row>
    <row r="242" spans="1:11" s="41" customFormat="1" x14ac:dyDescent="0.25">
      <c r="A242" s="211"/>
      <c r="B242" s="211"/>
      <c r="C242" s="214"/>
      <c r="D242" s="207"/>
      <c r="E242" s="207"/>
      <c r="F242" s="264"/>
      <c r="G242" s="211"/>
      <c r="H242" s="62" t="s">
        <v>69</v>
      </c>
      <c r="I242" s="125">
        <v>0</v>
      </c>
      <c r="J242" s="125">
        <f>I242/D240</f>
        <v>0</v>
      </c>
      <c r="K242" s="125">
        <v>81</v>
      </c>
    </row>
    <row r="243" spans="1:11" s="41" customFormat="1" x14ac:dyDescent="0.25">
      <c r="A243" s="209">
        <f>A240+1</f>
        <v>33</v>
      </c>
      <c r="B243" s="209">
        <v>8214</v>
      </c>
      <c r="C243" s="212" t="s">
        <v>258</v>
      </c>
      <c r="D243" s="205">
        <v>7976.7</v>
      </c>
      <c r="E243" s="209" t="s">
        <v>68</v>
      </c>
      <c r="F243" s="209">
        <v>5</v>
      </c>
      <c r="G243" s="209" t="s">
        <v>65</v>
      </c>
      <c r="H243" s="62" t="s">
        <v>66</v>
      </c>
      <c r="I243" s="125">
        <f>I244+I245</f>
        <v>5801329</v>
      </c>
      <c r="J243" s="125">
        <f t="shared" ref="J243:K243" si="10">J244+J245</f>
        <v>727.28</v>
      </c>
      <c r="K243" s="125">
        <f t="shared" si="10"/>
        <v>3878</v>
      </c>
    </row>
    <row r="244" spans="1:11" s="41" customFormat="1" x14ac:dyDescent="0.25">
      <c r="A244" s="210"/>
      <c r="B244" s="210"/>
      <c r="C244" s="213"/>
      <c r="D244" s="206"/>
      <c r="E244" s="210"/>
      <c r="F244" s="210"/>
      <c r="G244" s="210"/>
      <c r="H244" s="62" t="s">
        <v>67</v>
      </c>
      <c r="I244" s="125">
        <f>5801329</f>
        <v>5801329</v>
      </c>
      <c r="J244" s="125">
        <f>I244/D243</f>
        <v>727.28</v>
      </c>
      <c r="K244" s="125">
        <v>3797</v>
      </c>
    </row>
    <row r="245" spans="1:11" s="41" customFormat="1" x14ac:dyDescent="0.25">
      <c r="A245" s="211"/>
      <c r="B245" s="211"/>
      <c r="C245" s="214"/>
      <c r="D245" s="207"/>
      <c r="E245" s="211"/>
      <c r="F245" s="211"/>
      <c r="G245" s="211"/>
      <c r="H245" s="62" t="s">
        <v>69</v>
      </c>
      <c r="I245" s="125">
        <v>0</v>
      </c>
      <c r="J245" s="125">
        <f>I245/D243</f>
        <v>0</v>
      </c>
      <c r="K245" s="125">
        <v>81</v>
      </c>
    </row>
    <row r="246" spans="1:11" s="41" customFormat="1" x14ac:dyDescent="0.25">
      <c r="A246" s="209">
        <f>A243+1</f>
        <v>34</v>
      </c>
      <c r="B246" s="209">
        <v>6480</v>
      </c>
      <c r="C246" s="212" t="s">
        <v>118</v>
      </c>
      <c r="D246" s="205">
        <v>402.4</v>
      </c>
      <c r="E246" s="205" t="s">
        <v>167</v>
      </c>
      <c r="F246" s="262">
        <v>2</v>
      </c>
      <c r="G246" s="124"/>
      <c r="H246" s="62" t="s">
        <v>66</v>
      </c>
      <c r="I246" s="125">
        <f>I247+I248+I249+I250</f>
        <v>3434025.56</v>
      </c>
      <c r="J246" s="125">
        <f>J247+J248+J249+J250</f>
        <v>8533.86</v>
      </c>
      <c r="K246" s="125">
        <f>K247+K248+K249+K250</f>
        <v>12034</v>
      </c>
    </row>
    <row r="247" spans="1:11" s="41" customFormat="1" x14ac:dyDescent="0.25">
      <c r="A247" s="210"/>
      <c r="B247" s="210"/>
      <c r="C247" s="213"/>
      <c r="D247" s="206"/>
      <c r="E247" s="206"/>
      <c r="F247" s="263"/>
      <c r="G247" s="273" t="s">
        <v>65</v>
      </c>
      <c r="H247" s="62" t="s">
        <v>67</v>
      </c>
      <c r="I247" s="125">
        <v>1848856.9</v>
      </c>
      <c r="J247" s="125">
        <f>I247/D246</f>
        <v>4594.57</v>
      </c>
      <c r="K247" s="125">
        <v>7527</v>
      </c>
    </row>
    <row r="248" spans="1:11" s="41" customFormat="1" x14ac:dyDescent="0.25">
      <c r="A248" s="210"/>
      <c r="B248" s="210"/>
      <c r="C248" s="213"/>
      <c r="D248" s="206"/>
      <c r="E248" s="206"/>
      <c r="F248" s="263"/>
      <c r="G248" s="273"/>
      <c r="H248" s="62" t="s">
        <v>69</v>
      </c>
      <c r="I248" s="125">
        <v>0</v>
      </c>
      <c r="J248" s="125">
        <f>I248/D246</f>
        <v>0</v>
      </c>
      <c r="K248" s="125">
        <v>161</v>
      </c>
    </row>
    <row r="249" spans="1:11" s="41" customFormat="1" x14ac:dyDescent="0.25">
      <c r="A249" s="210"/>
      <c r="B249" s="210"/>
      <c r="C249" s="213"/>
      <c r="D249" s="206"/>
      <c r="E249" s="206"/>
      <c r="F249" s="263"/>
      <c r="G249" s="273" t="s">
        <v>79</v>
      </c>
      <c r="H249" s="62" t="s">
        <v>67</v>
      </c>
      <c r="I249" s="125">
        <v>1585168.66</v>
      </c>
      <c r="J249" s="125">
        <f>I249/D246</f>
        <v>3939.29</v>
      </c>
      <c r="K249" s="125">
        <v>4255</v>
      </c>
    </row>
    <row r="250" spans="1:11" s="41" customFormat="1" x14ac:dyDescent="0.25">
      <c r="A250" s="211"/>
      <c r="B250" s="211"/>
      <c r="C250" s="214"/>
      <c r="D250" s="207"/>
      <c r="E250" s="207"/>
      <c r="F250" s="264"/>
      <c r="G250" s="273"/>
      <c r="H250" s="62" t="s">
        <v>69</v>
      </c>
      <c r="I250" s="125">
        <v>0</v>
      </c>
      <c r="J250" s="125">
        <f>I250/D246</f>
        <v>0</v>
      </c>
      <c r="K250" s="125">
        <v>91</v>
      </c>
    </row>
    <row r="251" spans="1:11" s="41" customFormat="1" x14ac:dyDescent="0.25">
      <c r="A251" s="209">
        <f>A246+1</f>
        <v>35</v>
      </c>
      <c r="B251" s="209">
        <v>6490</v>
      </c>
      <c r="C251" s="212" t="s">
        <v>166</v>
      </c>
      <c r="D251" s="205">
        <v>3518.3</v>
      </c>
      <c r="E251" s="205" t="s">
        <v>64</v>
      </c>
      <c r="F251" s="262">
        <v>5</v>
      </c>
      <c r="G251" s="209" t="s">
        <v>65</v>
      </c>
      <c r="H251" s="62" t="s">
        <v>66</v>
      </c>
      <c r="I251" s="125">
        <f>I252+I253</f>
        <v>9749463.25</v>
      </c>
      <c r="J251" s="125">
        <f>J252+J253</f>
        <v>2771.07</v>
      </c>
      <c r="K251" s="125">
        <f>K252+K253</f>
        <v>3878</v>
      </c>
    </row>
    <row r="252" spans="1:11" s="41" customFormat="1" x14ac:dyDescent="0.25">
      <c r="A252" s="210"/>
      <c r="B252" s="210"/>
      <c r="C252" s="213"/>
      <c r="D252" s="206"/>
      <c r="E252" s="206"/>
      <c r="F252" s="263"/>
      <c r="G252" s="210"/>
      <c r="H252" s="62" t="s">
        <v>67</v>
      </c>
      <c r="I252" s="125">
        <v>9749463.25</v>
      </c>
      <c r="J252" s="125">
        <f>I252/D251</f>
        <v>2771.07</v>
      </c>
      <c r="K252" s="125">
        <v>3797</v>
      </c>
    </row>
    <row r="253" spans="1:11" s="41" customFormat="1" x14ac:dyDescent="0.25">
      <c r="A253" s="211"/>
      <c r="B253" s="211"/>
      <c r="C253" s="214"/>
      <c r="D253" s="207"/>
      <c r="E253" s="207"/>
      <c r="F253" s="264"/>
      <c r="G253" s="211"/>
      <c r="H253" s="62" t="s">
        <v>69</v>
      </c>
      <c r="I253" s="125">
        <v>0</v>
      </c>
      <c r="J253" s="125">
        <f>I253/D251</f>
        <v>0</v>
      </c>
      <c r="K253" s="125">
        <v>81</v>
      </c>
    </row>
    <row r="254" spans="1:11" s="41" customFormat="1" x14ac:dyDescent="0.25">
      <c r="A254" s="209">
        <f>A251+1</f>
        <v>36</v>
      </c>
      <c r="B254" s="262">
        <v>6550</v>
      </c>
      <c r="C254" s="301" t="s">
        <v>477</v>
      </c>
      <c r="D254" s="205">
        <v>485.6</v>
      </c>
      <c r="E254" s="262" t="s">
        <v>167</v>
      </c>
      <c r="F254" s="262">
        <v>2</v>
      </c>
      <c r="G254" s="209" t="s">
        <v>478</v>
      </c>
      <c r="H254" s="62" t="s">
        <v>66</v>
      </c>
      <c r="I254" s="125">
        <f>I255+I256</f>
        <v>916364.21</v>
      </c>
      <c r="J254" s="125">
        <f>J255+J256</f>
        <v>1887.08</v>
      </c>
      <c r="K254" s="125">
        <f>K255+K256</f>
        <v>5668</v>
      </c>
    </row>
    <row r="255" spans="1:11" s="41" customFormat="1" x14ac:dyDescent="0.25">
      <c r="A255" s="210"/>
      <c r="B255" s="263"/>
      <c r="C255" s="302"/>
      <c r="D255" s="206"/>
      <c r="E255" s="263"/>
      <c r="F255" s="263"/>
      <c r="G255" s="210"/>
      <c r="H255" s="62" t="s">
        <v>169</v>
      </c>
      <c r="I255" s="125">
        <v>916364.21</v>
      </c>
      <c r="J255" s="125">
        <f>I255/D254</f>
        <v>1887.08</v>
      </c>
      <c r="K255" s="125">
        <v>5549</v>
      </c>
    </row>
    <row r="256" spans="1:11" s="41" customFormat="1" x14ac:dyDescent="0.25">
      <c r="A256" s="211"/>
      <c r="B256" s="264"/>
      <c r="C256" s="303"/>
      <c r="D256" s="207"/>
      <c r="E256" s="264"/>
      <c r="F256" s="264"/>
      <c r="G256" s="211"/>
      <c r="H256" s="62" t="s">
        <v>69</v>
      </c>
      <c r="I256" s="125">
        <v>0</v>
      </c>
      <c r="J256" s="125">
        <v>0</v>
      </c>
      <c r="K256" s="125">
        <v>119</v>
      </c>
    </row>
    <row r="257" spans="1:11" s="41" customFormat="1" x14ac:dyDescent="0.25">
      <c r="A257" s="209">
        <f>A254+1</f>
        <v>37</v>
      </c>
      <c r="B257" s="209">
        <v>6510</v>
      </c>
      <c r="C257" s="212" t="s">
        <v>393</v>
      </c>
      <c r="D257" s="205">
        <v>461.9</v>
      </c>
      <c r="E257" s="262" t="s">
        <v>167</v>
      </c>
      <c r="F257" s="262">
        <v>2</v>
      </c>
      <c r="G257" s="124"/>
      <c r="H257" s="62" t="s">
        <v>66</v>
      </c>
      <c r="I257" s="125">
        <f>SUM(I258:I261)</f>
        <v>282861.38</v>
      </c>
      <c r="J257" s="125">
        <f>SUM(J258:J261)</f>
        <v>612.39</v>
      </c>
      <c r="K257" s="125">
        <f>SUM(K258:K261)</f>
        <v>3603</v>
      </c>
    </row>
    <row r="258" spans="1:11" s="41" customFormat="1" ht="63" x14ac:dyDescent="0.25">
      <c r="A258" s="210"/>
      <c r="B258" s="210"/>
      <c r="C258" s="213"/>
      <c r="D258" s="206"/>
      <c r="E258" s="263"/>
      <c r="F258" s="263"/>
      <c r="G258" s="209" t="s">
        <v>70</v>
      </c>
      <c r="H258" s="62" t="s">
        <v>168</v>
      </c>
      <c r="I258" s="125">
        <v>57512.4</v>
      </c>
      <c r="J258" s="125">
        <f>I258/D257</f>
        <v>124.51</v>
      </c>
      <c r="K258" s="125">
        <f>116+21</f>
        <v>137</v>
      </c>
    </row>
    <row r="259" spans="1:11" s="41" customFormat="1" x14ac:dyDescent="0.25">
      <c r="A259" s="210"/>
      <c r="B259" s="210"/>
      <c r="C259" s="213"/>
      <c r="D259" s="206"/>
      <c r="E259" s="263"/>
      <c r="F259" s="263"/>
      <c r="G259" s="210"/>
      <c r="H259" s="62" t="s">
        <v>169</v>
      </c>
      <c r="I259" s="125">
        <v>187848.88</v>
      </c>
      <c r="J259" s="125">
        <f>I259/D257</f>
        <v>406.69</v>
      </c>
      <c r="K259" s="125">
        <v>2911</v>
      </c>
    </row>
    <row r="260" spans="1:11" s="41" customFormat="1" ht="63" x14ac:dyDescent="0.25">
      <c r="A260" s="210"/>
      <c r="B260" s="210"/>
      <c r="C260" s="213"/>
      <c r="D260" s="206"/>
      <c r="E260" s="263"/>
      <c r="F260" s="263"/>
      <c r="G260" s="209" t="s">
        <v>71</v>
      </c>
      <c r="H260" s="62" t="s">
        <v>168</v>
      </c>
      <c r="I260" s="125">
        <v>15259.9</v>
      </c>
      <c r="J260" s="125">
        <f>I260/D257</f>
        <v>33.04</v>
      </c>
      <c r="K260" s="125">
        <f>21+21</f>
        <v>42</v>
      </c>
    </row>
    <row r="261" spans="1:11" s="41" customFormat="1" x14ac:dyDescent="0.25">
      <c r="A261" s="210"/>
      <c r="B261" s="210"/>
      <c r="C261" s="213"/>
      <c r="D261" s="206"/>
      <c r="E261" s="263"/>
      <c r="F261" s="263"/>
      <c r="G261" s="210"/>
      <c r="H261" s="62" t="s">
        <v>169</v>
      </c>
      <c r="I261" s="125">
        <v>22240.2</v>
      </c>
      <c r="J261" s="125">
        <f>I261/D257</f>
        <v>48.15</v>
      </c>
      <c r="K261" s="125">
        <v>513</v>
      </c>
    </row>
    <row r="262" spans="1:11" x14ac:dyDescent="0.25">
      <c r="A262" s="51" t="s">
        <v>41</v>
      </c>
      <c r="B262" s="63"/>
      <c r="C262" s="51"/>
      <c r="D262" s="50">
        <f>D263+D272+D281+D283+D292+D301+D304+D307+D311+D315+D318+D321+D324+D337</f>
        <v>66514.399999999994</v>
      </c>
      <c r="E262" s="50"/>
      <c r="F262" s="50"/>
      <c r="G262" s="109"/>
      <c r="H262" s="64"/>
      <c r="I262" s="55">
        <f>I263+I272+I281+I283+I292+I301+I304+I307+I311+I315+I318+I321+I324+I337</f>
        <v>86575870.430000007</v>
      </c>
      <c r="J262" s="55"/>
      <c r="K262" s="55"/>
    </row>
    <row r="263" spans="1:11" x14ac:dyDescent="0.25">
      <c r="A263" s="216">
        <v>1</v>
      </c>
      <c r="B263" s="216">
        <v>5108</v>
      </c>
      <c r="C263" s="267" t="s">
        <v>235</v>
      </c>
      <c r="D263" s="220">
        <v>2556</v>
      </c>
      <c r="E263" s="220" t="s">
        <v>68</v>
      </c>
      <c r="F263" s="228">
        <v>4</v>
      </c>
      <c r="G263" s="110"/>
      <c r="H263" s="57" t="s">
        <v>66</v>
      </c>
      <c r="I263" s="50">
        <f>SUM(I264:I271)</f>
        <v>7192958.3600000003</v>
      </c>
      <c r="J263" s="50">
        <f>SUM(J264:J271)</f>
        <v>2814.15</v>
      </c>
      <c r="K263" s="50">
        <f>SUM(K264:K271)</f>
        <v>4813</v>
      </c>
    </row>
    <row r="264" spans="1:11" x14ac:dyDescent="0.25">
      <c r="A264" s="217"/>
      <c r="B264" s="217"/>
      <c r="C264" s="268"/>
      <c r="D264" s="221"/>
      <c r="E264" s="221"/>
      <c r="F264" s="229"/>
      <c r="G264" s="215" t="s">
        <v>70</v>
      </c>
      <c r="H264" s="129" t="s">
        <v>67</v>
      </c>
      <c r="I264" s="50">
        <v>4928526.58</v>
      </c>
      <c r="J264" s="50">
        <f>I264/D263+0.01</f>
        <v>1928.23</v>
      </c>
      <c r="K264" s="50">
        <v>2967</v>
      </c>
    </row>
    <row r="265" spans="1:11" x14ac:dyDescent="0.25">
      <c r="A265" s="217"/>
      <c r="B265" s="217"/>
      <c r="C265" s="268"/>
      <c r="D265" s="221"/>
      <c r="E265" s="221"/>
      <c r="F265" s="229"/>
      <c r="G265" s="215"/>
      <c r="H265" s="129" t="s">
        <v>69</v>
      </c>
      <c r="I265" s="50">
        <f>I264*0.0214</f>
        <v>105470.47</v>
      </c>
      <c r="J265" s="50">
        <f>I265/D263</f>
        <v>41.26</v>
      </c>
      <c r="K265" s="50">
        <v>63</v>
      </c>
    </row>
    <row r="266" spans="1:11" x14ac:dyDescent="0.25">
      <c r="A266" s="217"/>
      <c r="B266" s="217"/>
      <c r="C266" s="268"/>
      <c r="D266" s="221"/>
      <c r="E266" s="221"/>
      <c r="F266" s="229"/>
      <c r="G266" s="217" t="s">
        <v>71</v>
      </c>
      <c r="H266" s="57" t="s">
        <v>67</v>
      </c>
      <c r="I266" s="50">
        <v>443347.49</v>
      </c>
      <c r="J266" s="50">
        <f>I266/D263</f>
        <v>173.45</v>
      </c>
      <c r="K266" s="50">
        <v>618</v>
      </c>
    </row>
    <row r="267" spans="1:11" x14ac:dyDescent="0.25">
      <c r="A267" s="217"/>
      <c r="B267" s="217"/>
      <c r="C267" s="268"/>
      <c r="D267" s="221"/>
      <c r="E267" s="221"/>
      <c r="F267" s="229"/>
      <c r="G267" s="222"/>
      <c r="H267" s="57" t="s">
        <v>69</v>
      </c>
      <c r="I267" s="50">
        <v>9418.75</v>
      </c>
      <c r="J267" s="50">
        <f>I267/D263</f>
        <v>3.68</v>
      </c>
      <c r="K267" s="50">
        <v>13</v>
      </c>
    </row>
    <row r="268" spans="1:11" x14ac:dyDescent="0.25">
      <c r="A268" s="217"/>
      <c r="B268" s="217"/>
      <c r="C268" s="268"/>
      <c r="D268" s="221"/>
      <c r="E268" s="221"/>
      <c r="F268" s="229"/>
      <c r="G268" s="217" t="s">
        <v>72</v>
      </c>
      <c r="H268" s="57" t="s">
        <v>67</v>
      </c>
      <c r="I268" s="50">
        <v>973322.35</v>
      </c>
      <c r="J268" s="50">
        <f>I268/D263</f>
        <v>380.8</v>
      </c>
      <c r="K268" s="50">
        <v>601</v>
      </c>
    </row>
    <row r="269" spans="1:11" x14ac:dyDescent="0.25">
      <c r="A269" s="217"/>
      <c r="B269" s="217"/>
      <c r="C269" s="268"/>
      <c r="D269" s="221"/>
      <c r="E269" s="221"/>
      <c r="F269" s="229"/>
      <c r="G269" s="222"/>
      <c r="H269" s="57" t="s">
        <v>69</v>
      </c>
      <c r="I269" s="50">
        <f>I268*0.0214</f>
        <v>20829.099999999999</v>
      </c>
      <c r="J269" s="50">
        <f>I269/D263</f>
        <v>8.15</v>
      </c>
      <c r="K269" s="50">
        <v>13</v>
      </c>
    </row>
    <row r="270" spans="1:11" x14ac:dyDescent="0.25">
      <c r="A270" s="217"/>
      <c r="B270" s="217"/>
      <c r="C270" s="268"/>
      <c r="D270" s="221"/>
      <c r="E270" s="221"/>
      <c r="F270" s="229"/>
      <c r="G270" s="217" t="s">
        <v>78</v>
      </c>
      <c r="H270" s="57" t="s">
        <v>67</v>
      </c>
      <c r="I270" s="50">
        <v>697327.48</v>
      </c>
      <c r="J270" s="50">
        <f>I270/D263</f>
        <v>272.82</v>
      </c>
      <c r="K270" s="50">
        <v>527</v>
      </c>
    </row>
    <row r="271" spans="1:11" x14ac:dyDescent="0.25">
      <c r="A271" s="222"/>
      <c r="B271" s="222"/>
      <c r="C271" s="269"/>
      <c r="D271" s="227"/>
      <c r="E271" s="227"/>
      <c r="F271" s="230"/>
      <c r="G271" s="222"/>
      <c r="H271" s="57" t="s">
        <v>69</v>
      </c>
      <c r="I271" s="50">
        <v>14716.14</v>
      </c>
      <c r="J271" s="50">
        <f>I271/D263</f>
        <v>5.76</v>
      </c>
      <c r="K271" s="50">
        <v>11</v>
      </c>
    </row>
    <row r="272" spans="1:11" x14ac:dyDescent="0.25">
      <c r="A272" s="216">
        <f>A263+1</f>
        <v>2</v>
      </c>
      <c r="B272" s="216">
        <v>5114</v>
      </c>
      <c r="C272" s="267" t="s">
        <v>236</v>
      </c>
      <c r="D272" s="220">
        <v>909.6</v>
      </c>
      <c r="E272" s="220" t="s">
        <v>64</v>
      </c>
      <c r="F272" s="228">
        <v>2</v>
      </c>
      <c r="G272" s="108"/>
      <c r="H272" s="57" t="s">
        <v>66</v>
      </c>
      <c r="I272" s="50">
        <f>SUM(I273:I280)</f>
        <v>3188907.56</v>
      </c>
      <c r="J272" s="50">
        <f>SUM(J273:J280)</f>
        <v>3505.84</v>
      </c>
      <c r="K272" s="50">
        <f>SUM(K273:K280)</f>
        <v>4813</v>
      </c>
    </row>
    <row r="273" spans="1:11" x14ac:dyDescent="0.25">
      <c r="A273" s="217"/>
      <c r="B273" s="217"/>
      <c r="C273" s="268"/>
      <c r="D273" s="221"/>
      <c r="E273" s="221"/>
      <c r="F273" s="229"/>
      <c r="G273" s="215" t="s">
        <v>70</v>
      </c>
      <c r="H273" s="129" t="s">
        <v>67</v>
      </c>
      <c r="I273" s="50">
        <v>1831968.14</v>
      </c>
      <c r="J273" s="50">
        <f>I273/D272</f>
        <v>2014.04</v>
      </c>
      <c r="K273" s="50">
        <v>2967</v>
      </c>
    </row>
    <row r="274" spans="1:11" x14ac:dyDescent="0.25">
      <c r="A274" s="217"/>
      <c r="B274" s="217"/>
      <c r="C274" s="268"/>
      <c r="D274" s="221"/>
      <c r="E274" s="221"/>
      <c r="F274" s="229"/>
      <c r="G274" s="215"/>
      <c r="H274" s="129" t="s">
        <v>69</v>
      </c>
      <c r="I274" s="50">
        <v>38928.559999999998</v>
      </c>
      <c r="J274" s="50">
        <f>I274/D272</f>
        <v>42.8</v>
      </c>
      <c r="K274" s="50">
        <v>63</v>
      </c>
    </row>
    <row r="275" spans="1:11" x14ac:dyDescent="0.25">
      <c r="A275" s="217"/>
      <c r="B275" s="217"/>
      <c r="C275" s="268"/>
      <c r="D275" s="221"/>
      <c r="E275" s="221"/>
      <c r="F275" s="229"/>
      <c r="G275" s="215" t="s">
        <v>71</v>
      </c>
      <c r="H275" s="57" t="s">
        <v>67</v>
      </c>
      <c r="I275" s="50">
        <v>266272.63</v>
      </c>
      <c r="J275" s="50">
        <f>I275/D272</f>
        <v>292.74</v>
      </c>
      <c r="K275" s="50">
        <v>618</v>
      </c>
    </row>
    <row r="276" spans="1:11" x14ac:dyDescent="0.25">
      <c r="A276" s="217"/>
      <c r="B276" s="217"/>
      <c r="C276" s="268"/>
      <c r="D276" s="221"/>
      <c r="E276" s="221"/>
      <c r="F276" s="229"/>
      <c r="G276" s="215"/>
      <c r="H276" s="57" t="s">
        <v>69</v>
      </c>
      <c r="I276" s="50">
        <f>I275*0.0214</f>
        <v>5698.23</v>
      </c>
      <c r="J276" s="50">
        <f>I276/D272</f>
        <v>6.26</v>
      </c>
      <c r="K276" s="50">
        <v>13</v>
      </c>
    </row>
    <row r="277" spans="1:11" x14ac:dyDescent="0.25">
      <c r="A277" s="217"/>
      <c r="B277" s="217"/>
      <c r="C277" s="268"/>
      <c r="D277" s="221"/>
      <c r="E277" s="221"/>
      <c r="F277" s="229"/>
      <c r="G277" s="215" t="s">
        <v>72</v>
      </c>
      <c r="H277" s="57" t="s">
        <v>67</v>
      </c>
      <c r="I277" s="50">
        <f>D272*K277</f>
        <v>546669.6</v>
      </c>
      <c r="J277" s="50">
        <f>I277/D272</f>
        <v>601</v>
      </c>
      <c r="K277" s="50">
        <v>601</v>
      </c>
    </row>
    <row r="278" spans="1:11" x14ac:dyDescent="0.25">
      <c r="A278" s="217"/>
      <c r="B278" s="217"/>
      <c r="C278" s="268"/>
      <c r="D278" s="221"/>
      <c r="E278" s="221"/>
      <c r="F278" s="229"/>
      <c r="G278" s="215"/>
      <c r="H278" s="57" t="s">
        <v>69</v>
      </c>
      <c r="I278" s="50">
        <v>10915.2</v>
      </c>
      <c r="J278" s="50">
        <f>I278/D272</f>
        <v>12</v>
      </c>
      <c r="K278" s="50">
        <v>13</v>
      </c>
    </row>
    <row r="279" spans="1:11" x14ac:dyDescent="0.25">
      <c r="A279" s="217"/>
      <c r="B279" s="217"/>
      <c r="C279" s="268"/>
      <c r="D279" s="221"/>
      <c r="E279" s="221"/>
      <c r="F279" s="229"/>
      <c r="G279" s="215" t="s">
        <v>78</v>
      </c>
      <c r="H279" s="57" t="s">
        <v>67</v>
      </c>
      <c r="I279" s="50">
        <f>D272*K279</f>
        <v>479359.2</v>
      </c>
      <c r="J279" s="50">
        <f>I279/D272</f>
        <v>527</v>
      </c>
      <c r="K279" s="50">
        <v>527</v>
      </c>
    </row>
    <row r="280" spans="1:11" x14ac:dyDescent="0.25">
      <c r="A280" s="222"/>
      <c r="B280" s="222"/>
      <c r="C280" s="269"/>
      <c r="D280" s="227"/>
      <c r="E280" s="227"/>
      <c r="F280" s="230"/>
      <c r="G280" s="215"/>
      <c r="H280" s="57" t="s">
        <v>69</v>
      </c>
      <c r="I280" s="50">
        <v>9096</v>
      </c>
      <c r="J280" s="50">
        <f>I280/D272</f>
        <v>10</v>
      </c>
      <c r="K280" s="50">
        <v>11</v>
      </c>
    </row>
    <row r="281" spans="1:11" x14ac:dyDescent="0.25">
      <c r="A281" s="216">
        <f>A272+1</f>
        <v>3</v>
      </c>
      <c r="B281" s="216">
        <v>5117</v>
      </c>
      <c r="C281" s="267" t="s">
        <v>344</v>
      </c>
      <c r="D281" s="220">
        <v>2307.3000000000002</v>
      </c>
      <c r="E281" s="220" t="s">
        <v>68</v>
      </c>
      <c r="F281" s="228">
        <v>9</v>
      </c>
      <c r="G281" s="216" t="s">
        <v>65</v>
      </c>
      <c r="H281" s="57" t="s">
        <v>66</v>
      </c>
      <c r="I281" s="50">
        <f>I282</f>
        <v>385319.1</v>
      </c>
      <c r="J281" s="50">
        <f>J282</f>
        <v>167</v>
      </c>
      <c r="K281" s="50">
        <f>K282</f>
        <v>167</v>
      </c>
    </row>
    <row r="282" spans="1:11" ht="63" x14ac:dyDescent="0.25">
      <c r="A282" s="222"/>
      <c r="B282" s="222"/>
      <c r="C282" s="269"/>
      <c r="D282" s="227"/>
      <c r="E282" s="227"/>
      <c r="F282" s="230"/>
      <c r="G282" s="222"/>
      <c r="H282" s="57" t="s">
        <v>178</v>
      </c>
      <c r="I282" s="50">
        <f>D281*K282</f>
        <v>385319.1</v>
      </c>
      <c r="J282" s="50">
        <f>I282/D281</f>
        <v>167</v>
      </c>
      <c r="K282" s="50">
        <f>154+13</f>
        <v>167</v>
      </c>
    </row>
    <row r="283" spans="1:11" x14ac:dyDescent="0.25">
      <c r="A283" s="216">
        <f>A281+1</f>
        <v>4</v>
      </c>
      <c r="B283" s="216">
        <v>5127</v>
      </c>
      <c r="C283" s="267" t="s">
        <v>237</v>
      </c>
      <c r="D283" s="220">
        <v>3273.7</v>
      </c>
      <c r="E283" s="220" t="s">
        <v>68</v>
      </c>
      <c r="F283" s="228">
        <v>5</v>
      </c>
      <c r="G283" s="108"/>
      <c r="H283" s="57" t="s">
        <v>66</v>
      </c>
      <c r="I283" s="50">
        <f>SUM(I284:I291)</f>
        <v>9518795.5299999993</v>
      </c>
      <c r="J283" s="50">
        <f>SUM(J284:J291)</f>
        <v>2907.66</v>
      </c>
      <c r="K283" s="50">
        <f>SUM(K284:K291)</f>
        <v>4160</v>
      </c>
    </row>
    <row r="284" spans="1:11" x14ac:dyDescent="0.25">
      <c r="A284" s="217"/>
      <c r="B284" s="217"/>
      <c r="C284" s="268"/>
      <c r="D284" s="221"/>
      <c r="E284" s="221"/>
      <c r="F284" s="229"/>
      <c r="G284" s="215" t="s">
        <v>70</v>
      </c>
      <c r="H284" s="129" t="s">
        <v>67</v>
      </c>
      <c r="I284" s="50">
        <v>6368851.4400000004</v>
      </c>
      <c r="J284" s="50">
        <f>I284/D283</f>
        <v>1945.46</v>
      </c>
      <c r="K284" s="50">
        <v>2327</v>
      </c>
    </row>
    <row r="285" spans="1:11" x14ac:dyDescent="0.25">
      <c r="A285" s="217"/>
      <c r="B285" s="217"/>
      <c r="C285" s="268"/>
      <c r="D285" s="221"/>
      <c r="E285" s="221"/>
      <c r="F285" s="229"/>
      <c r="G285" s="215"/>
      <c r="H285" s="129" t="s">
        <v>69</v>
      </c>
      <c r="I285" s="50">
        <v>135742.31</v>
      </c>
      <c r="J285" s="50">
        <f>I285/D283</f>
        <v>41.46</v>
      </c>
      <c r="K285" s="50">
        <v>50</v>
      </c>
    </row>
    <row r="286" spans="1:11" x14ac:dyDescent="0.25">
      <c r="A286" s="217"/>
      <c r="B286" s="217"/>
      <c r="C286" s="268"/>
      <c r="D286" s="221"/>
      <c r="E286" s="221"/>
      <c r="F286" s="229"/>
      <c r="G286" s="215" t="s">
        <v>71</v>
      </c>
      <c r="H286" s="57" t="s">
        <v>67</v>
      </c>
      <c r="I286" s="50">
        <v>531863.5</v>
      </c>
      <c r="J286" s="50">
        <f>I286/D283</f>
        <v>162.47</v>
      </c>
      <c r="K286" s="50">
        <v>618</v>
      </c>
    </row>
    <row r="287" spans="1:11" x14ac:dyDescent="0.25">
      <c r="A287" s="217"/>
      <c r="B287" s="217"/>
      <c r="C287" s="268"/>
      <c r="D287" s="221"/>
      <c r="E287" s="221"/>
      <c r="F287" s="229"/>
      <c r="G287" s="215"/>
      <c r="H287" s="57" t="s">
        <v>69</v>
      </c>
      <c r="I287" s="50">
        <f>I286*0.0214</f>
        <v>11381.88</v>
      </c>
      <c r="J287" s="50">
        <f>I287/D283</f>
        <v>3.48</v>
      </c>
      <c r="K287" s="50">
        <v>13</v>
      </c>
    </row>
    <row r="288" spans="1:11" x14ac:dyDescent="0.25">
      <c r="A288" s="217"/>
      <c r="B288" s="217"/>
      <c r="C288" s="268"/>
      <c r="D288" s="221"/>
      <c r="E288" s="221"/>
      <c r="F288" s="229"/>
      <c r="G288" s="217" t="s">
        <v>72</v>
      </c>
      <c r="H288" s="57" t="s">
        <v>67</v>
      </c>
      <c r="I288" s="50">
        <v>1486113.48</v>
      </c>
      <c r="J288" s="50">
        <f>I288/D283</f>
        <v>453.96</v>
      </c>
      <c r="K288" s="50">
        <v>601</v>
      </c>
    </row>
    <row r="289" spans="1:11" x14ac:dyDescent="0.25">
      <c r="A289" s="217"/>
      <c r="B289" s="217"/>
      <c r="C289" s="268"/>
      <c r="D289" s="221"/>
      <c r="E289" s="221"/>
      <c r="F289" s="229"/>
      <c r="G289" s="222"/>
      <c r="H289" s="57" t="s">
        <v>69</v>
      </c>
      <c r="I289" s="50">
        <f>I288*0.0214</f>
        <v>31802.83</v>
      </c>
      <c r="J289" s="50">
        <f>I289/D283</f>
        <v>9.7100000000000009</v>
      </c>
      <c r="K289" s="50">
        <v>13</v>
      </c>
    </row>
    <row r="290" spans="1:11" x14ac:dyDescent="0.25">
      <c r="A290" s="217"/>
      <c r="B290" s="217"/>
      <c r="C290" s="268"/>
      <c r="D290" s="221"/>
      <c r="E290" s="221"/>
      <c r="F290" s="229"/>
      <c r="G290" s="217" t="s">
        <v>78</v>
      </c>
      <c r="H290" s="57" t="s">
        <v>67</v>
      </c>
      <c r="I290" s="50">
        <v>933072.34</v>
      </c>
      <c r="J290" s="50">
        <f>I290/D283</f>
        <v>285.02</v>
      </c>
      <c r="K290" s="50">
        <v>527</v>
      </c>
    </row>
    <row r="291" spans="1:11" x14ac:dyDescent="0.25">
      <c r="A291" s="222"/>
      <c r="B291" s="222"/>
      <c r="C291" s="269"/>
      <c r="D291" s="227"/>
      <c r="E291" s="227"/>
      <c r="F291" s="230"/>
      <c r="G291" s="222"/>
      <c r="H291" s="57" t="s">
        <v>69</v>
      </c>
      <c r="I291" s="50">
        <f>I290*0.0214</f>
        <v>19967.75</v>
      </c>
      <c r="J291" s="50">
        <f>I291/D283</f>
        <v>6.1</v>
      </c>
      <c r="K291" s="50">
        <v>11</v>
      </c>
    </row>
    <row r="292" spans="1:11" x14ac:dyDescent="0.25">
      <c r="A292" s="216">
        <f>A283+1</f>
        <v>5</v>
      </c>
      <c r="B292" s="216">
        <v>5128</v>
      </c>
      <c r="C292" s="267" t="s">
        <v>238</v>
      </c>
      <c r="D292" s="220">
        <v>3054.1</v>
      </c>
      <c r="E292" s="220" t="s">
        <v>68</v>
      </c>
      <c r="F292" s="228">
        <v>9</v>
      </c>
      <c r="G292" s="110"/>
      <c r="H292" s="57" t="s">
        <v>66</v>
      </c>
      <c r="I292" s="50">
        <f>+I293+I294+I295+I296+I297+I298+I299+I300</f>
        <v>6369052.7699999996</v>
      </c>
      <c r="J292" s="50">
        <f>+J293+J294+J295+J296+J297+J298+J299+J300</f>
        <v>2085.41</v>
      </c>
      <c r="K292" s="50">
        <f>+K293+K294+K295+K296+K297+K298+K299+K300</f>
        <v>4160</v>
      </c>
    </row>
    <row r="293" spans="1:11" x14ac:dyDescent="0.25">
      <c r="A293" s="217"/>
      <c r="B293" s="217"/>
      <c r="C293" s="268"/>
      <c r="D293" s="221"/>
      <c r="E293" s="221"/>
      <c r="F293" s="229"/>
      <c r="G293" s="215" t="s">
        <v>70</v>
      </c>
      <c r="H293" s="129" t="s">
        <v>67</v>
      </c>
      <c r="I293" s="50">
        <v>4751530.0599999996</v>
      </c>
      <c r="J293" s="50">
        <f>I293/D292+0.01</f>
        <v>1555.8</v>
      </c>
      <c r="K293" s="50">
        <v>2327</v>
      </c>
    </row>
    <row r="294" spans="1:11" x14ac:dyDescent="0.25">
      <c r="A294" s="217"/>
      <c r="B294" s="217"/>
      <c r="C294" s="268"/>
      <c r="D294" s="221"/>
      <c r="E294" s="221"/>
      <c r="F294" s="229"/>
      <c r="G294" s="215"/>
      <c r="H294" s="129" t="s">
        <v>69</v>
      </c>
      <c r="I294" s="50">
        <v>101131.63</v>
      </c>
      <c r="J294" s="50">
        <f>I294/D292</f>
        <v>33.11</v>
      </c>
      <c r="K294" s="50">
        <v>50</v>
      </c>
    </row>
    <row r="295" spans="1:11" x14ac:dyDescent="0.25">
      <c r="A295" s="217"/>
      <c r="B295" s="217"/>
      <c r="C295" s="268"/>
      <c r="D295" s="221"/>
      <c r="E295" s="221"/>
      <c r="F295" s="229"/>
      <c r="G295" s="217" t="s">
        <v>71</v>
      </c>
      <c r="H295" s="57" t="s">
        <v>67</v>
      </c>
      <c r="I295" s="50">
        <v>384426.58</v>
      </c>
      <c r="J295" s="50">
        <f>I295/D292</f>
        <v>125.87</v>
      </c>
      <c r="K295" s="50">
        <v>618</v>
      </c>
    </row>
    <row r="296" spans="1:11" x14ac:dyDescent="0.25">
      <c r="A296" s="217"/>
      <c r="B296" s="217"/>
      <c r="C296" s="268"/>
      <c r="D296" s="221"/>
      <c r="E296" s="221"/>
      <c r="F296" s="229"/>
      <c r="G296" s="222"/>
      <c r="H296" s="57" t="s">
        <v>69</v>
      </c>
      <c r="I296" s="50">
        <f>I295*0.0214</f>
        <v>8226.73</v>
      </c>
      <c r="J296" s="50">
        <f>I296/D292</f>
        <v>2.69</v>
      </c>
      <c r="K296" s="50">
        <v>13</v>
      </c>
    </row>
    <row r="297" spans="1:11" x14ac:dyDescent="0.25">
      <c r="A297" s="217"/>
      <c r="B297" s="217"/>
      <c r="C297" s="268"/>
      <c r="D297" s="221"/>
      <c r="E297" s="221"/>
      <c r="F297" s="229"/>
      <c r="G297" s="217" t="s">
        <v>72</v>
      </c>
      <c r="H297" s="57" t="s">
        <v>67</v>
      </c>
      <c r="I297" s="50">
        <v>667363.97</v>
      </c>
      <c r="J297" s="50">
        <f>I297/D292</f>
        <v>218.51</v>
      </c>
      <c r="K297" s="50">
        <v>601</v>
      </c>
    </row>
    <row r="298" spans="1:11" x14ac:dyDescent="0.25">
      <c r="A298" s="217"/>
      <c r="B298" s="217"/>
      <c r="C298" s="268"/>
      <c r="D298" s="221"/>
      <c r="E298" s="221"/>
      <c r="F298" s="229"/>
      <c r="G298" s="222"/>
      <c r="H298" s="57" t="s">
        <v>69</v>
      </c>
      <c r="I298" s="50">
        <f>I297*0.0214</f>
        <v>14281.59</v>
      </c>
      <c r="J298" s="50">
        <f>I298/D292</f>
        <v>4.68</v>
      </c>
      <c r="K298" s="50">
        <v>13</v>
      </c>
    </row>
    <row r="299" spans="1:11" x14ac:dyDescent="0.25">
      <c r="A299" s="217"/>
      <c r="B299" s="217"/>
      <c r="C299" s="268"/>
      <c r="D299" s="221"/>
      <c r="E299" s="221"/>
      <c r="F299" s="229"/>
      <c r="G299" s="217" t="s">
        <v>78</v>
      </c>
      <c r="H299" s="57" t="s">
        <v>67</v>
      </c>
      <c r="I299" s="50">
        <v>432829.66</v>
      </c>
      <c r="J299" s="50">
        <f>I299/D292</f>
        <v>141.72</v>
      </c>
      <c r="K299" s="50">
        <v>527</v>
      </c>
    </row>
    <row r="300" spans="1:11" x14ac:dyDescent="0.25">
      <c r="A300" s="222"/>
      <c r="B300" s="222"/>
      <c r="C300" s="269"/>
      <c r="D300" s="227"/>
      <c r="E300" s="227"/>
      <c r="F300" s="230"/>
      <c r="G300" s="222"/>
      <c r="H300" s="57" t="s">
        <v>69</v>
      </c>
      <c r="I300" s="50">
        <f>I299*0.0214</f>
        <v>9262.5499999999993</v>
      </c>
      <c r="J300" s="50">
        <f>I300/D292</f>
        <v>3.03</v>
      </c>
      <c r="K300" s="50">
        <v>11</v>
      </c>
    </row>
    <row r="301" spans="1:11" x14ac:dyDescent="0.25">
      <c r="A301" s="273">
        <f>A292+1</f>
        <v>6</v>
      </c>
      <c r="B301" s="273">
        <v>5133</v>
      </c>
      <c r="C301" s="304" t="s">
        <v>485</v>
      </c>
      <c r="D301" s="318">
        <v>8595.5</v>
      </c>
      <c r="E301" s="318" t="s">
        <v>68</v>
      </c>
      <c r="F301" s="319">
        <v>9</v>
      </c>
      <c r="G301" s="273" t="s">
        <v>65</v>
      </c>
      <c r="H301" s="62" t="s">
        <v>66</v>
      </c>
      <c r="I301" s="125">
        <f>I302+I303</f>
        <v>10781438.140000001</v>
      </c>
      <c r="J301" s="125">
        <f>J302+J303</f>
        <v>1254.31</v>
      </c>
      <c r="K301" s="125">
        <f>K302+K303</f>
        <v>2914</v>
      </c>
    </row>
    <row r="302" spans="1:11" x14ac:dyDescent="0.25">
      <c r="A302" s="273">
        <v>275</v>
      </c>
      <c r="B302" s="273"/>
      <c r="C302" s="304"/>
      <c r="D302" s="318"/>
      <c r="E302" s="318"/>
      <c r="F302" s="319"/>
      <c r="G302" s="273"/>
      <c r="H302" s="62" t="s">
        <v>67</v>
      </c>
      <c r="I302" s="125">
        <f>14892484.8-4410384.94</f>
        <v>10482099.859999999</v>
      </c>
      <c r="J302" s="125">
        <f>I302/D301</f>
        <v>1219.49</v>
      </c>
      <c r="K302" s="50">
        <v>2853</v>
      </c>
    </row>
    <row r="303" spans="1:11" x14ac:dyDescent="0.25">
      <c r="A303" s="273">
        <v>276</v>
      </c>
      <c r="B303" s="273"/>
      <c r="C303" s="304"/>
      <c r="D303" s="318"/>
      <c r="E303" s="318"/>
      <c r="F303" s="319"/>
      <c r="G303" s="273"/>
      <c r="H303" s="62" t="s">
        <v>69</v>
      </c>
      <c r="I303" s="125">
        <v>299338.28000000003</v>
      </c>
      <c r="J303" s="125">
        <f>I303/D301</f>
        <v>34.82</v>
      </c>
      <c r="K303" s="50">
        <v>61</v>
      </c>
    </row>
    <row r="304" spans="1:11" x14ac:dyDescent="0.25">
      <c r="A304" s="216">
        <f>A301+1</f>
        <v>7</v>
      </c>
      <c r="B304" s="216">
        <v>5172</v>
      </c>
      <c r="C304" s="241" t="s">
        <v>242</v>
      </c>
      <c r="D304" s="220">
        <v>3986</v>
      </c>
      <c r="E304" s="220" t="s">
        <v>64</v>
      </c>
      <c r="F304" s="228">
        <v>5</v>
      </c>
      <c r="G304" s="216" t="s">
        <v>65</v>
      </c>
      <c r="H304" s="57" t="s">
        <v>66</v>
      </c>
      <c r="I304" s="50">
        <f>I305+I306</f>
        <v>14383315.039999999</v>
      </c>
      <c r="J304" s="50">
        <f>J305+J306</f>
        <v>3608.46</v>
      </c>
      <c r="K304" s="50">
        <f>K305+K306</f>
        <v>3635</v>
      </c>
    </row>
    <row r="305" spans="1:11" ht="31.5" x14ac:dyDescent="0.25">
      <c r="A305" s="217"/>
      <c r="B305" s="217"/>
      <c r="C305" s="242"/>
      <c r="D305" s="221"/>
      <c r="E305" s="221"/>
      <c r="F305" s="229"/>
      <c r="G305" s="217"/>
      <c r="H305" s="57" t="s">
        <v>76</v>
      </c>
      <c r="I305" s="50">
        <v>14104295.039999999</v>
      </c>
      <c r="J305" s="50">
        <f>I305/D304</f>
        <v>3538.46</v>
      </c>
      <c r="K305" s="50">
        <v>3559</v>
      </c>
    </row>
    <row r="306" spans="1:11" x14ac:dyDescent="0.25">
      <c r="A306" s="222"/>
      <c r="B306" s="222"/>
      <c r="C306" s="243"/>
      <c r="D306" s="227"/>
      <c r="E306" s="227"/>
      <c r="F306" s="230"/>
      <c r="G306" s="222"/>
      <c r="H306" s="57" t="s">
        <v>69</v>
      </c>
      <c r="I306" s="50">
        <v>279020</v>
      </c>
      <c r="J306" s="50">
        <f>I306/D304</f>
        <v>70</v>
      </c>
      <c r="K306" s="50">
        <v>76</v>
      </c>
    </row>
    <row r="307" spans="1:11" x14ac:dyDescent="0.25">
      <c r="A307" s="216">
        <f>A304+1</f>
        <v>8</v>
      </c>
      <c r="B307" s="216">
        <v>5195</v>
      </c>
      <c r="C307" s="218" t="s">
        <v>585</v>
      </c>
      <c r="D307" s="220">
        <v>6541.2</v>
      </c>
      <c r="E307" s="216" t="s">
        <v>64</v>
      </c>
      <c r="F307" s="216">
        <v>10</v>
      </c>
      <c r="G307" s="110"/>
      <c r="H307" s="57" t="s">
        <v>66</v>
      </c>
      <c r="I307" s="50">
        <f>SUM(I308:I310)</f>
        <v>96843</v>
      </c>
      <c r="J307" s="50">
        <f>SUM(J308:J310)</f>
        <v>14.81</v>
      </c>
      <c r="K307" s="50">
        <f>SUM(K308:K310)</f>
        <v>14.81</v>
      </c>
    </row>
    <row r="308" spans="1:11" ht="63" x14ac:dyDescent="0.25">
      <c r="A308" s="217"/>
      <c r="B308" s="217"/>
      <c r="C308" s="219"/>
      <c r="D308" s="221"/>
      <c r="E308" s="217"/>
      <c r="F308" s="217"/>
      <c r="G308" s="102" t="s">
        <v>486</v>
      </c>
      <c r="H308" s="57" t="s">
        <v>178</v>
      </c>
      <c r="I308" s="50">
        <f>22681+9600</f>
        <v>32281</v>
      </c>
      <c r="J308" s="50">
        <f>I308/D307-0.01</f>
        <v>4.93</v>
      </c>
      <c r="K308" s="50">
        <f>(22681+9600)/D307-0.01</f>
        <v>4.93</v>
      </c>
    </row>
    <row r="309" spans="1:11" ht="63" x14ac:dyDescent="0.25">
      <c r="A309" s="217"/>
      <c r="B309" s="217"/>
      <c r="C309" s="219"/>
      <c r="D309" s="221"/>
      <c r="E309" s="217"/>
      <c r="F309" s="217"/>
      <c r="G309" s="102" t="s">
        <v>487</v>
      </c>
      <c r="H309" s="57" t="s">
        <v>178</v>
      </c>
      <c r="I309" s="50">
        <f>22681+9600</f>
        <v>32281</v>
      </c>
      <c r="J309" s="50">
        <f>I309/D307</f>
        <v>4.9400000000000004</v>
      </c>
      <c r="K309" s="50">
        <f>(22681+9600)/D307</f>
        <v>4.9400000000000004</v>
      </c>
    </row>
    <row r="310" spans="1:11" ht="63" x14ac:dyDescent="0.25">
      <c r="A310" s="217"/>
      <c r="B310" s="217"/>
      <c r="C310" s="219"/>
      <c r="D310" s="221"/>
      <c r="E310" s="217"/>
      <c r="F310" s="217"/>
      <c r="G310" s="102" t="s">
        <v>488</v>
      </c>
      <c r="H310" s="57" t="s">
        <v>178</v>
      </c>
      <c r="I310" s="50">
        <f>22681+9600</f>
        <v>32281</v>
      </c>
      <c r="J310" s="50">
        <f>I310/D307</f>
        <v>4.9400000000000004</v>
      </c>
      <c r="K310" s="50">
        <f>(22681+9600)/D307</f>
        <v>4.9400000000000004</v>
      </c>
    </row>
    <row r="311" spans="1:11" x14ac:dyDescent="0.25">
      <c r="A311" s="216">
        <f>A307+1</f>
        <v>9</v>
      </c>
      <c r="B311" s="216">
        <v>5221</v>
      </c>
      <c r="C311" s="218" t="s">
        <v>450</v>
      </c>
      <c r="D311" s="220">
        <v>3149</v>
      </c>
      <c r="E311" s="216" t="s">
        <v>68</v>
      </c>
      <c r="F311" s="216">
        <v>9</v>
      </c>
      <c r="G311" s="110"/>
      <c r="H311" s="57" t="s">
        <v>66</v>
      </c>
      <c r="I311" s="50">
        <f>SUM(I312:I314)</f>
        <v>1864588.6</v>
      </c>
      <c r="J311" s="50">
        <f t="shared" ref="J311:K311" si="11">SUM(J312:J314)</f>
        <v>592.12</v>
      </c>
      <c r="K311" s="50">
        <f t="shared" si="11"/>
        <v>737.34</v>
      </c>
    </row>
    <row r="312" spans="1:11" ht="63" x14ac:dyDescent="0.25">
      <c r="A312" s="217"/>
      <c r="B312" s="217"/>
      <c r="C312" s="219"/>
      <c r="D312" s="221"/>
      <c r="E312" s="217"/>
      <c r="F312" s="217"/>
      <c r="G312" s="216" t="s">
        <v>486</v>
      </c>
      <c r="H312" s="57" t="s">
        <v>178</v>
      </c>
      <c r="I312" s="50">
        <f>22681+9600</f>
        <v>32281</v>
      </c>
      <c r="J312" s="50">
        <f>I312/D311</f>
        <v>10.25</v>
      </c>
      <c r="K312" s="50">
        <f>(22681+9600)/D311</f>
        <v>10.25</v>
      </c>
    </row>
    <row r="313" spans="1:11" x14ac:dyDescent="0.25">
      <c r="A313" s="217"/>
      <c r="B313" s="217"/>
      <c r="C313" s="219"/>
      <c r="D313" s="221"/>
      <c r="E313" s="217"/>
      <c r="F313" s="217"/>
      <c r="G313" s="217"/>
      <c r="H313" s="57" t="s">
        <v>171</v>
      </c>
      <c r="I313" s="50">
        <v>1800167.04</v>
      </c>
      <c r="J313" s="50">
        <f>I313/D311</f>
        <v>571.66</v>
      </c>
      <c r="K313" s="50">
        <f>2241647/D311</f>
        <v>711.86</v>
      </c>
    </row>
    <row r="314" spans="1:11" x14ac:dyDescent="0.25">
      <c r="A314" s="222"/>
      <c r="B314" s="222"/>
      <c r="C314" s="226"/>
      <c r="D314" s="227"/>
      <c r="E314" s="222"/>
      <c r="F314" s="222"/>
      <c r="G314" s="222"/>
      <c r="H314" s="57" t="s">
        <v>69</v>
      </c>
      <c r="I314" s="164">
        <v>32140.560000000001</v>
      </c>
      <c r="J314" s="50">
        <f>I314/D311</f>
        <v>10.210000000000001</v>
      </c>
      <c r="K314" s="50">
        <f>47971/D311</f>
        <v>15.23</v>
      </c>
    </row>
    <row r="315" spans="1:11" x14ac:dyDescent="0.25">
      <c r="A315" s="216">
        <f>A311+1</f>
        <v>10</v>
      </c>
      <c r="B315" s="216">
        <v>5257</v>
      </c>
      <c r="C315" s="241" t="s">
        <v>253</v>
      </c>
      <c r="D315" s="220">
        <v>576.6</v>
      </c>
      <c r="E315" s="220" t="s">
        <v>68</v>
      </c>
      <c r="F315" s="228">
        <v>2</v>
      </c>
      <c r="G315" s="216" t="s">
        <v>65</v>
      </c>
      <c r="H315" s="57" t="s">
        <v>66</v>
      </c>
      <c r="I315" s="50">
        <f>I317+I316</f>
        <v>4256793.96</v>
      </c>
      <c r="J315" s="50">
        <f>J317+J316</f>
        <v>7382.58</v>
      </c>
      <c r="K315" s="50">
        <f>K317+K316</f>
        <v>8203</v>
      </c>
    </row>
    <row r="316" spans="1:11" x14ac:dyDescent="0.25">
      <c r="A316" s="217"/>
      <c r="B316" s="217"/>
      <c r="C316" s="242"/>
      <c r="D316" s="221"/>
      <c r="E316" s="221"/>
      <c r="F316" s="229"/>
      <c r="G316" s="217"/>
      <c r="H316" s="57" t="s">
        <v>67</v>
      </c>
      <c r="I316" s="50">
        <v>4167607.17</v>
      </c>
      <c r="J316" s="50">
        <f>I316/D315</f>
        <v>7227.9</v>
      </c>
      <c r="K316" s="50">
        <v>8031</v>
      </c>
    </row>
    <row r="317" spans="1:11" x14ac:dyDescent="0.25">
      <c r="A317" s="222"/>
      <c r="B317" s="222"/>
      <c r="C317" s="243"/>
      <c r="D317" s="227"/>
      <c r="E317" s="227"/>
      <c r="F317" s="230"/>
      <c r="G317" s="222"/>
      <c r="H317" s="57" t="s">
        <v>69</v>
      </c>
      <c r="I317" s="50">
        <f>I316*0.0214</f>
        <v>89186.79</v>
      </c>
      <c r="J317" s="50">
        <f>I317/D315</f>
        <v>154.68</v>
      </c>
      <c r="K317" s="50">
        <v>172</v>
      </c>
    </row>
    <row r="318" spans="1:11" x14ac:dyDescent="0.25">
      <c r="A318" s="216">
        <f>A315+1</f>
        <v>11</v>
      </c>
      <c r="B318" s="216">
        <v>5259</v>
      </c>
      <c r="C318" s="241" t="s">
        <v>254</v>
      </c>
      <c r="D318" s="220">
        <v>565.6</v>
      </c>
      <c r="E318" s="220" t="s">
        <v>68</v>
      </c>
      <c r="F318" s="228">
        <v>2</v>
      </c>
      <c r="G318" s="216" t="s">
        <v>65</v>
      </c>
      <c r="H318" s="57" t="s">
        <v>66</v>
      </c>
      <c r="I318" s="50">
        <f>I320+I319</f>
        <v>4175585.56</v>
      </c>
      <c r="J318" s="50">
        <f>J320+J319</f>
        <v>7382.58</v>
      </c>
      <c r="K318" s="50">
        <f>K320+K319</f>
        <v>8203</v>
      </c>
    </row>
    <row r="319" spans="1:11" x14ac:dyDescent="0.25">
      <c r="A319" s="217"/>
      <c r="B319" s="217"/>
      <c r="C319" s="242"/>
      <c r="D319" s="221"/>
      <c r="E319" s="221"/>
      <c r="F319" s="229"/>
      <c r="G319" s="217"/>
      <c r="H319" s="57" t="s">
        <v>67</v>
      </c>
      <c r="I319" s="50">
        <v>4088100.22</v>
      </c>
      <c r="J319" s="50">
        <f>I319/D318</f>
        <v>7227.9</v>
      </c>
      <c r="K319" s="50">
        <v>8031</v>
      </c>
    </row>
    <row r="320" spans="1:11" x14ac:dyDescent="0.25">
      <c r="A320" s="222"/>
      <c r="B320" s="222"/>
      <c r="C320" s="243"/>
      <c r="D320" s="227"/>
      <c r="E320" s="227"/>
      <c r="F320" s="230"/>
      <c r="G320" s="222"/>
      <c r="H320" s="57" t="s">
        <v>69</v>
      </c>
      <c r="I320" s="50">
        <f>I319*0.0214</f>
        <v>87485.34</v>
      </c>
      <c r="J320" s="50">
        <f>I320/D318</f>
        <v>154.68</v>
      </c>
      <c r="K320" s="50">
        <v>172</v>
      </c>
    </row>
    <row r="321" spans="1:11" x14ac:dyDescent="0.25">
      <c r="A321" s="216">
        <f>A318+1</f>
        <v>12</v>
      </c>
      <c r="B321" s="216">
        <v>5263</v>
      </c>
      <c r="C321" s="241" t="s">
        <v>255</v>
      </c>
      <c r="D321" s="220">
        <v>560.6</v>
      </c>
      <c r="E321" s="220" t="s">
        <v>68</v>
      </c>
      <c r="F321" s="228">
        <v>2</v>
      </c>
      <c r="G321" s="216" t="s">
        <v>65</v>
      </c>
      <c r="H321" s="57" t="s">
        <v>66</v>
      </c>
      <c r="I321" s="50">
        <f>I323+I322</f>
        <v>4085600</v>
      </c>
      <c r="J321" s="50">
        <f>J323+J322</f>
        <v>7287.91</v>
      </c>
      <c r="K321" s="50">
        <f>K323+K322</f>
        <v>8203</v>
      </c>
    </row>
    <row r="322" spans="1:11" x14ac:dyDescent="0.25">
      <c r="A322" s="217"/>
      <c r="B322" s="217"/>
      <c r="C322" s="242"/>
      <c r="D322" s="221"/>
      <c r="E322" s="221"/>
      <c r="F322" s="229"/>
      <c r="G322" s="217"/>
      <c r="H322" s="57" t="s">
        <v>67</v>
      </c>
      <c r="I322" s="65">
        <v>4000000</v>
      </c>
      <c r="J322" s="50">
        <f>I322/D321+0.01</f>
        <v>7135.22</v>
      </c>
      <c r="K322" s="50">
        <v>8031</v>
      </c>
    </row>
    <row r="323" spans="1:11" x14ac:dyDescent="0.25">
      <c r="A323" s="222"/>
      <c r="B323" s="222"/>
      <c r="C323" s="243"/>
      <c r="D323" s="227"/>
      <c r="E323" s="227"/>
      <c r="F323" s="230"/>
      <c r="G323" s="222"/>
      <c r="H323" s="57" t="s">
        <v>69</v>
      </c>
      <c r="I323" s="50">
        <f>I322*0.0214</f>
        <v>85600</v>
      </c>
      <c r="J323" s="50">
        <f>I323/D321</f>
        <v>152.69</v>
      </c>
      <c r="K323" s="50">
        <v>172</v>
      </c>
    </row>
    <row r="324" spans="1:11" x14ac:dyDescent="0.25">
      <c r="A324" s="216">
        <f>A321+1</f>
        <v>13</v>
      </c>
      <c r="B324" s="216">
        <v>5285</v>
      </c>
      <c r="C324" s="218" t="s">
        <v>451</v>
      </c>
      <c r="D324" s="220">
        <v>16283.9</v>
      </c>
      <c r="E324" s="216" t="s">
        <v>68</v>
      </c>
      <c r="F324" s="216">
        <v>9</v>
      </c>
      <c r="G324" s="110"/>
      <c r="H324" s="57" t="s">
        <v>66</v>
      </c>
      <c r="I324" s="50">
        <f>SUM(I325:I336)</f>
        <v>7401832.6100000003</v>
      </c>
      <c r="J324" s="50">
        <f>SUM(J325:J336)</f>
        <v>454.55</v>
      </c>
      <c r="K324" s="50">
        <f>SUM(K325:K336)</f>
        <v>570.35</v>
      </c>
    </row>
    <row r="325" spans="1:11" ht="63" x14ac:dyDescent="0.25">
      <c r="A325" s="217"/>
      <c r="B325" s="217"/>
      <c r="C325" s="219"/>
      <c r="D325" s="221"/>
      <c r="E325" s="217"/>
      <c r="F325" s="217"/>
      <c r="G325" s="216" t="s">
        <v>486</v>
      </c>
      <c r="H325" s="57" t="s">
        <v>178</v>
      </c>
      <c r="I325" s="50">
        <v>24999.99</v>
      </c>
      <c r="J325" s="50">
        <f>I325/D324</f>
        <v>1.54</v>
      </c>
      <c r="K325" s="50">
        <f>(22681+9600)/D324</f>
        <v>1.98</v>
      </c>
    </row>
    <row r="326" spans="1:11" x14ac:dyDescent="0.25">
      <c r="A326" s="217"/>
      <c r="B326" s="217"/>
      <c r="C326" s="219"/>
      <c r="D326" s="221"/>
      <c r="E326" s="217"/>
      <c r="F326" s="217"/>
      <c r="G326" s="217"/>
      <c r="H326" s="57" t="s">
        <v>67</v>
      </c>
      <c r="I326" s="50">
        <v>1793317.6</v>
      </c>
      <c r="J326" s="50">
        <f>I326/D324-0.01</f>
        <v>110.12</v>
      </c>
      <c r="K326" s="50">
        <f>2241647/D324-0.01</f>
        <v>137.65</v>
      </c>
    </row>
    <row r="327" spans="1:11" x14ac:dyDescent="0.25">
      <c r="A327" s="217"/>
      <c r="B327" s="217"/>
      <c r="C327" s="219"/>
      <c r="D327" s="221"/>
      <c r="E327" s="217"/>
      <c r="F327" s="217"/>
      <c r="G327" s="222"/>
      <c r="H327" s="57" t="s">
        <v>69</v>
      </c>
      <c r="I327" s="50">
        <v>32140.560000000001</v>
      </c>
      <c r="J327" s="50">
        <f>I327/D324</f>
        <v>1.97</v>
      </c>
      <c r="K327" s="50">
        <f>47971/D324</f>
        <v>2.95</v>
      </c>
    </row>
    <row r="328" spans="1:11" ht="63" x14ac:dyDescent="0.25">
      <c r="A328" s="217"/>
      <c r="B328" s="217"/>
      <c r="C328" s="219"/>
      <c r="D328" s="221"/>
      <c r="E328" s="217"/>
      <c r="F328" s="217"/>
      <c r="G328" s="216" t="s">
        <v>487</v>
      </c>
      <c r="H328" s="57" t="s">
        <v>178</v>
      </c>
      <c r="I328" s="50">
        <v>24999.99</v>
      </c>
      <c r="J328" s="50">
        <f>I328/D324</f>
        <v>1.54</v>
      </c>
      <c r="K328" s="50">
        <f>(22681+9600)/D324</f>
        <v>1.98</v>
      </c>
    </row>
    <row r="329" spans="1:11" x14ac:dyDescent="0.25">
      <c r="A329" s="217"/>
      <c r="B329" s="217"/>
      <c r="C329" s="219"/>
      <c r="D329" s="221"/>
      <c r="E329" s="217"/>
      <c r="F329" s="217"/>
      <c r="G329" s="217"/>
      <c r="H329" s="57" t="s">
        <v>67</v>
      </c>
      <c r="I329" s="50">
        <v>1793317.6</v>
      </c>
      <c r="J329" s="50">
        <f>I329/D324</f>
        <v>110.13</v>
      </c>
      <c r="K329" s="50">
        <f>2241647/D324</f>
        <v>137.66</v>
      </c>
    </row>
    <row r="330" spans="1:11" x14ac:dyDescent="0.25">
      <c r="A330" s="217"/>
      <c r="B330" s="217"/>
      <c r="C330" s="219"/>
      <c r="D330" s="221"/>
      <c r="E330" s="217"/>
      <c r="F330" s="217"/>
      <c r="G330" s="222"/>
      <c r="H330" s="57" t="s">
        <v>69</v>
      </c>
      <c r="I330" s="50">
        <v>32140.560000000001</v>
      </c>
      <c r="J330" s="50">
        <f>I330/D324</f>
        <v>1.97</v>
      </c>
      <c r="K330" s="50">
        <f>47971/D324</f>
        <v>2.95</v>
      </c>
    </row>
    <row r="331" spans="1:11" ht="63" x14ac:dyDescent="0.25">
      <c r="A331" s="217"/>
      <c r="B331" s="217"/>
      <c r="C331" s="219"/>
      <c r="D331" s="221"/>
      <c r="E331" s="217"/>
      <c r="F331" s="217"/>
      <c r="G331" s="216" t="s">
        <v>488</v>
      </c>
      <c r="H331" s="57" t="s">
        <v>178</v>
      </c>
      <c r="I331" s="50">
        <v>24999.99</v>
      </c>
      <c r="J331" s="50">
        <f>I331/D324</f>
        <v>1.54</v>
      </c>
      <c r="K331" s="50">
        <f>(22681+9600)/D324</f>
        <v>1.98</v>
      </c>
    </row>
    <row r="332" spans="1:11" x14ac:dyDescent="0.25">
      <c r="A332" s="217"/>
      <c r="B332" s="217"/>
      <c r="C332" s="219"/>
      <c r="D332" s="221"/>
      <c r="E332" s="217"/>
      <c r="F332" s="217"/>
      <c r="G332" s="217"/>
      <c r="H332" s="57" t="s">
        <v>67</v>
      </c>
      <c r="I332" s="50">
        <v>1793317.6</v>
      </c>
      <c r="J332" s="50">
        <f>I332/D324</f>
        <v>110.13</v>
      </c>
      <c r="K332" s="50">
        <f>2241647/D324</f>
        <v>137.66</v>
      </c>
    </row>
    <row r="333" spans="1:11" x14ac:dyDescent="0.25">
      <c r="A333" s="217"/>
      <c r="B333" s="217"/>
      <c r="C333" s="219"/>
      <c r="D333" s="221"/>
      <c r="E333" s="217"/>
      <c r="F333" s="217"/>
      <c r="G333" s="222"/>
      <c r="H333" s="57" t="s">
        <v>69</v>
      </c>
      <c r="I333" s="50">
        <v>32140.560000000001</v>
      </c>
      <c r="J333" s="50">
        <f>I333/D324</f>
        <v>1.97</v>
      </c>
      <c r="K333" s="50">
        <f>47971/D324</f>
        <v>2.95</v>
      </c>
    </row>
    <row r="334" spans="1:11" ht="63" x14ac:dyDescent="0.25">
      <c r="A334" s="217"/>
      <c r="B334" s="217"/>
      <c r="C334" s="219"/>
      <c r="D334" s="221"/>
      <c r="E334" s="217"/>
      <c r="F334" s="217"/>
      <c r="G334" s="216" t="s">
        <v>489</v>
      </c>
      <c r="H334" s="57" t="s">
        <v>178</v>
      </c>
      <c r="I334" s="50">
        <v>24999.99</v>
      </c>
      <c r="J334" s="50">
        <f>I334/D324</f>
        <v>1.54</v>
      </c>
      <c r="K334" s="50">
        <f>(22681+9600)/D324</f>
        <v>1.98</v>
      </c>
    </row>
    <row r="335" spans="1:11" x14ac:dyDescent="0.25">
      <c r="A335" s="217"/>
      <c r="B335" s="217"/>
      <c r="C335" s="219"/>
      <c r="D335" s="221"/>
      <c r="E335" s="217"/>
      <c r="F335" s="217"/>
      <c r="G335" s="217"/>
      <c r="H335" s="57" t="s">
        <v>67</v>
      </c>
      <c r="I335" s="50">
        <v>1793317.6</v>
      </c>
      <c r="J335" s="50">
        <f>I335/D324</f>
        <v>110.13</v>
      </c>
      <c r="K335" s="50">
        <f>2241647/D324</f>
        <v>137.66</v>
      </c>
    </row>
    <row r="336" spans="1:11" x14ac:dyDescent="0.25">
      <c r="A336" s="217"/>
      <c r="B336" s="217"/>
      <c r="C336" s="219"/>
      <c r="D336" s="221"/>
      <c r="E336" s="217"/>
      <c r="F336" s="217"/>
      <c r="G336" s="222"/>
      <c r="H336" s="57" t="s">
        <v>69</v>
      </c>
      <c r="I336" s="50">
        <v>32140.57</v>
      </c>
      <c r="J336" s="50">
        <f>I336/D324</f>
        <v>1.97</v>
      </c>
      <c r="K336" s="50">
        <f>47971/D324</f>
        <v>2.95</v>
      </c>
    </row>
    <row r="337" spans="1:11" x14ac:dyDescent="0.25">
      <c r="A337" s="215">
        <f>A324+1</f>
        <v>14</v>
      </c>
      <c r="B337" s="215">
        <v>5288</v>
      </c>
      <c r="C337" s="236" t="s">
        <v>452</v>
      </c>
      <c r="D337" s="224">
        <v>14155.3</v>
      </c>
      <c r="E337" s="224" t="s">
        <v>68</v>
      </c>
      <c r="F337" s="225">
        <v>9</v>
      </c>
      <c r="G337" s="110"/>
      <c r="H337" s="57" t="s">
        <v>66</v>
      </c>
      <c r="I337" s="50">
        <f>SUM(I338:I358)</f>
        <v>12874840.199999999</v>
      </c>
      <c r="J337" s="50">
        <f>SUM(J338:J358)</f>
        <v>909.54</v>
      </c>
      <c r="K337" s="50">
        <f>SUM(K338:K358)</f>
        <v>1148.17</v>
      </c>
    </row>
    <row r="338" spans="1:11" ht="63" x14ac:dyDescent="0.25">
      <c r="A338" s="215"/>
      <c r="B338" s="215"/>
      <c r="C338" s="236"/>
      <c r="D338" s="224"/>
      <c r="E338" s="224"/>
      <c r="F338" s="225"/>
      <c r="G338" s="216" t="s">
        <v>486</v>
      </c>
      <c r="H338" s="57" t="s">
        <v>178</v>
      </c>
      <c r="I338" s="50">
        <v>14285.71</v>
      </c>
      <c r="J338" s="50">
        <f>I338/D337</f>
        <v>1.01</v>
      </c>
      <c r="K338" s="50">
        <f>(22681+9600)/D337</f>
        <v>2.2799999999999998</v>
      </c>
    </row>
    <row r="339" spans="1:11" x14ac:dyDescent="0.25">
      <c r="A339" s="215"/>
      <c r="B339" s="215"/>
      <c r="C339" s="236"/>
      <c r="D339" s="224"/>
      <c r="E339" s="224"/>
      <c r="F339" s="225"/>
      <c r="G339" s="217"/>
      <c r="H339" s="57" t="s">
        <v>67</v>
      </c>
      <c r="I339" s="50">
        <v>1793313.41</v>
      </c>
      <c r="J339" s="50">
        <f>I339/D337-0.01</f>
        <v>126.68</v>
      </c>
      <c r="K339" s="50">
        <f>2241647/D337-0.01</f>
        <v>158.35</v>
      </c>
    </row>
    <row r="340" spans="1:11" x14ac:dyDescent="0.25">
      <c r="A340" s="215"/>
      <c r="B340" s="215"/>
      <c r="C340" s="236"/>
      <c r="D340" s="224"/>
      <c r="E340" s="224"/>
      <c r="F340" s="225"/>
      <c r="G340" s="222"/>
      <c r="H340" s="57" t="s">
        <v>69</v>
      </c>
      <c r="I340" s="164">
        <v>31660.86</v>
      </c>
      <c r="J340" s="50">
        <f>I340/D337</f>
        <v>2.2400000000000002</v>
      </c>
      <c r="K340" s="50">
        <f>47971/D337</f>
        <v>3.39</v>
      </c>
    </row>
    <row r="341" spans="1:11" ht="63" x14ac:dyDescent="0.25">
      <c r="A341" s="215"/>
      <c r="B341" s="215"/>
      <c r="C341" s="236"/>
      <c r="D341" s="224"/>
      <c r="E341" s="224"/>
      <c r="F341" s="225"/>
      <c r="G341" s="216" t="s">
        <v>487</v>
      </c>
      <c r="H341" s="57" t="s">
        <v>178</v>
      </c>
      <c r="I341" s="50">
        <v>14285.71</v>
      </c>
      <c r="J341" s="50">
        <f>I341/D337</f>
        <v>1.01</v>
      </c>
      <c r="K341" s="50">
        <f>(22681+9600)/D337</f>
        <v>2.2799999999999998</v>
      </c>
    </row>
    <row r="342" spans="1:11" x14ac:dyDescent="0.25">
      <c r="A342" s="215"/>
      <c r="B342" s="215"/>
      <c r="C342" s="236"/>
      <c r="D342" s="224"/>
      <c r="E342" s="224"/>
      <c r="F342" s="225"/>
      <c r="G342" s="217"/>
      <c r="H342" s="57" t="s">
        <v>67</v>
      </c>
      <c r="I342" s="50">
        <v>1793314.15</v>
      </c>
      <c r="J342" s="50">
        <f>I342/D337-0.01</f>
        <v>126.68</v>
      </c>
      <c r="K342" s="50">
        <f>2241647/D337-0.01</f>
        <v>158.35</v>
      </c>
    </row>
    <row r="343" spans="1:11" x14ac:dyDescent="0.25">
      <c r="A343" s="215"/>
      <c r="B343" s="215"/>
      <c r="C343" s="236"/>
      <c r="D343" s="224"/>
      <c r="E343" s="224"/>
      <c r="F343" s="225"/>
      <c r="G343" s="222"/>
      <c r="H343" s="57" t="s">
        <v>69</v>
      </c>
      <c r="I343" s="164">
        <v>31660.86</v>
      </c>
      <c r="J343" s="50">
        <f>I343/D337</f>
        <v>2.2400000000000002</v>
      </c>
      <c r="K343" s="50">
        <f>47971/D337</f>
        <v>3.39</v>
      </c>
    </row>
    <row r="344" spans="1:11" ht="63" x14ac:dyDescent="0.25">
      <c r="A344" s="215"/>
      <c r="B344" s="215"/>
      <c r="C344" s="236"/>
      <c r="D344" s="224"/>
      <c r="E344" s="224"/>
      <c r="F344" s="225"/>
      <c r="G344" s="216" t="s">
        <v>488</v>
      </c>
      <c r="H344" s="57" t="s">
        <v>178</v>
      </c>
      <c r="I344" s="50">
        <v>14285.71</v>
      </c>
      <c r="J344" s="50">
        <f>I344/D337</f>
        <v>1.01</v>
      </c>
      <c r="K344" s="50">
        <f>(22681+9600)/D337</f>
        <v>2.2799999999999998</v>
      </c>
    </row>
    <row r="345" spans="1:11" x14ac:dyDescent="0.25">
      <c r="A345" s="215"/>
      <c r="B345" s="215"/>
      <c r="C345" s="236"/>
      <c r="D345" s="224"/>
      <c r="E345" s="224"/>
      <c r="F345" s="225"/>
      <c r="G345" s="217"/>
      <c r="H345" s="57" t="s">
        <v>67</v>
      </c>
      <c r="I345" s="50">
        <v>1793317.23</v>
      </c>
      <c r="J345" s="50">
        <f>I345/D337-0.01</f>
        <v>126.68</v>
      </c>
      <c r="K345" s="50">
        <f>2241647/D337-0.01</f>
        <v>158.35</v>
      </c>
    </row>
    <row r="346" spans="1:11" x14ac:dyDescent="0.25">
      <c r="A346" s="215"/>
      <c r="B346" s="215"/>
      <c r="C346" s="236"/>
      <c r="D346" s="224"/>
      <c r="E346" s="224"/>
      <c r="F346" s="225"/>
      <c r="G346" s="222"/>
      <c r="H346" s="57" t="s">
        <v>69</v>
      </c>
      <c r="I346" s="164">
        <v>31660.86</v>
      </c>
      <c r="J346" s="50">
        <f>I346/D337</f>
        <v>2.2400000000000002</v>
      </c>
      <c r="K346" s="50">
        <f>47971/D337</f>
        <v>3.39</v>
      </c>
    </row>
    <row r="347" spans="1:11" ht="63" x14ac:dyDescent="0.25">
      <c r="A347" s="215"/>
      <c r="B347" s="215"/>
      <c r="C347" s="236"/>
      <c r="D347" s="224"/>
      <c r="E347" s="224"/>
      <c r="F347" s="225"/>
      <c r="G347" s="216" t="s">
        <v>489</v>
      </c>
      <c r="H347" s="57" t="s">
        <v>178</v>
      </c>
      <c r="I347" s="50">
        <v>14285.71</v>
      </c>
      <c r="J347" s="50">
        <f>I347/D337</f>
        <v>1.01</v>
      </c>
      <c r="K347" s="50">
        <f>(22681+9600)/D337</f>
        <v>2.2799999999999998</v>
      </c>
    </row>
    <row r="348" spans="1:11" x14ac:dyDescent="0.25">
      <c r="A348" s="215"/>
      <c r="B348" s="215"/>
      <c r="C348" s="236"/>
      <c r="D348" s="224"/>
      <c r="E348" s="224"/>
      <c r="F348" s="225"/>
      <c r="G348" s="217"/>
      <c r="H348" s="57" t="s">
        <v>67</v>
      </c>
      <c r="I348" s="50">
        <v>1793317.24</v>
      </c>
      <c r="J348" s="50">
        <f>I348/D337-0.01</f>
        <v>126.68</v>
      </c>
      <c r="K348" s="50">
        <f>2241647/D337-0.01</f>
        <v>158.35</v>
      </c>
    </row>
    <row r="349" spans="1:11" x14ac:dyDescent="0.25">
      <c r="A349" s="215"/>
      <c r="B349" s="215"/>
      <c r="C349" s="236"/>
      <c r="D349" s="224"/>
      <c r="E349" s="224"/>
      <c r="F349" s="225"/>
      <c r="G349" s="222"/>
      <c r="H349" s="57" t="s">
        <v>69</v>
      </c>
      <c r="I349" s="164">
        <v>31660.86</v>
      </c>
      <c r="J349" s="50">
        <f>I349/D337</f>
        <v>2.2400000000000002</v>
      </c>
      <c r="K349" s="50">
        <f>47971/D337</f>
        <v>3.39</v>
      </c>
    </row>
    <row r="350" spans="1:11" ht="63" x14ac:dyDescent="0.25">
      <c r="A350" s="215"/>
      <c r="B350" s="215"/>
      <c r="C350" s="236"/>
      <c r="D350" s="224"/>
      <c r="E350" s="224"/>
      <c r="F350" s="225"/>
      <c r="G350" s="216" t="s">
        <v>490</v>
      </c>
      <c r="H350" s="57" t="s">
        <v>178</v>
      </c>
      <c r="I350" s="50">
        <v>14285.71</v>
      </c>
      <c r="J350" s="50">
        <f>I350/D337</f>
        <v>1.01</v>
      </c>
      <c r="K350" s="50">
        <f>(22681+9600)/D337</f>
        <v>2.2799999999999998</v>
      </c>
    </row>
    <row r="351" spans="1:11" x14ac:dyDescent="0.25">
      <c r="A351" s="215"/>
      <c r="B351" s="215"/>
      <c r="C351" s="236"/>
      <c r="D351" s="224"/>
      <c r="E351" s="224"/>
      <c r="F351" s="225"/>
      <c r="G351" s="217"/>
      <c r="H351" s="57" t="s">
        <v>67</v>
      </c>
      <c r="I351" s="50">
        <v>1793317.03</v>
      </c>
      <c r="J351" s="50">
        <f>I351/D337</f>
        <v>126.69</v>
      </c>
      <c r="K351" s="50">
        <f>2241647/D337</f>
        <v>158.36000000000001</v>
      </c>
    </row>
    <row r="352" spans="1:11" x14ac:dyDescent="0.25">
      <c r="A352" s="215"/>
      <c r="B352" s="215"/>
      <c r="C352" s="236"/>
      <c r="D352" s="224"/>
      <c r="E352" s="224"/>
      <c r="F352" s="225"/>
      <c r="G352" s="222"/>
      <c r="H352" s="57" t="s">
        <v>69</v>
      </c>
      <c r="I352" s="164">
        <v>31660.86</v>
      </c>
      <c r="J352" s="50">
        <f>I352/D337</f>
        <v>2.2400000000000002</v>
      </c>
      <c r="K352" s="50">
        <f>47971/D337</f>
        <v>3.39</v>
      </c>
    </row>
    <row r="353" spans="1:11" ht="63" x14ac:dyDescent="0.25">
      <c r="A353" s="215"/>
      <c r="B353" s="215"/>
      <c r="C353" s="236"/>
      <c r="D353" s="224"/>
      <c r="E353" s="224"/>
      <c r="F353" s="225"/>
      <c r="G353" s="216" t="s">
        <v>491</v>
      </c>
      <c r="H353" s="57" t="s">
        <v>178</v>
      </c>
      <c r="I353" s="50">
        <v>14285.71</v>
      </c>
      <c r="J353" s="50">
        <f>I353/D337</f>
        <v>1.01</v>
      </c>
      <c r="K353" s="50">
        <f>(22681+9600)/D337</f>
        <v>2.2799999999999998</v>
      </c>
    </row>
    <row r="354" spans="1:11" x14ac:dyDescent="0.25">
      <c r="A354" s="215"/>
      <c r="B354" s="215"/>
      <c r="C354" s="236"/>
      <c r="D354" s="224"/>
      <c r="E354" s="224"/>
      <c r="F354" s="225"/>
      <c r="G354" s="217"/>
      <c r="H354" s="57" t="s">
        <v>67</v>
      </c>
      <c r="I354" s="50">
        <v>1793317.03</v>
      </c>
      <c r="J354" s="50">
        <f>I354/D337</f>
        <v>126.69</v>
      </c>
      <c r="K354" s="50">
        <f>2241647/D337</f>
        <v>158.36000000000001</v>
      </c>
    </row>
    <row r="355" spans="1:11" x14ac:dyDescent="0.25">
      <c r="A355" s="215"/>
      <c r="B355" s="215"/>
      <c r="C355" s="236"/>
      <c r="D355" s="224"/>
      <c r="E355" s="224"/>
      <c r="F355" s="225"/>
      <c r="G355" s="222"/>
      <c r="H355" s="57" t="s">
        <v>69</v>
      </c>
      <c r="I355" s="164">
        <v>31660.86</v>
      </c>
      <c r="J355" s="50">
        <f>I355/D337</f>
        <v>2.2400000000000002</v>
      </c>
      <c r="K355" s="50">
        <f>47971/D337</f>
        <v>3.39</v>
      </c>
    </row>
    <row r="356" spans="1:11" ht="63" x14ac:dyDescent="0.25">
      <c r="A356" s="215"/>
      <c r="B356" s="215"/>
      <c r="C356" s="236"/>
      <c r="D356" s="224"/>
      <c r="E356" s="224"/>
      <c r="F356" s="225"/>
      <c r="G356" s="216" t="s">
        <v>492</v>
      </c>
      <c r="H356" s="57" t="s">
        <v>178</v>
      </c>
      <c r="I356" s="50">
        <v>14285.7</v>
      </c>
      <c r="J356" s="50">
        <f>I356/D337</f>
        <v>1.01</v>
      </c>
      <c r="K356" s="50">
        <f>(22681+9600)/D337</f>
        <v>2.2799999999999998</v>
      </c>
    </row>
    <row r="357" spans="1:11" x14ac:dyDescent="0.25">
      <c r="A357" s="215"/>
      <c r="B357" s="215"/>
      <c r="C357" s="236"/>
      <c r="D357" s="224"/>
      <c r="E357" s="224"/>
      <c r="F357" s="225"/>
      <c r="G357" s="217"/>
      <c r="H357" s="57" t="s">
        <v>67</v>
      </c>
      <c r="I357" s="50">
        <v>1793318.13</v>
      </c>
      <c r="J357" s="50">
        <f>I357/D337</f>
        <v>126.69</v>
      </c>
      <c r="K357" s="50">
        <f>2241647/D337</f>
        <v>158.36000000000001</v>
      </c>
    </row>
    <row r="358" spans="1:11" x14ac:dyDescent="0.25">
      <c r="A358" s="215"/>
      <c r="B358" s="215"/>
      <c r="C358" s="236"/>
      <c r="D358" s="224"/>
      <c r="E358" s="224"/>
      <c r="F358" s="225"/>
      <c r="G358" s="222"/>
      <c r="H358" s="57" t="s">
        <v>69</v>
      </c>
      <c r="I358" s="164">
        <v>31660.86</v>
      </c>
      <c r="J358" s="50">
        <f>I358/D337</f>
        <v>2.2400000000000002</v>
      </c>
      <c r="K358" s="50">
        <f>47971/D337</f>
        <v>3.39</v>
      </c>
    </row>
    <row r="359" spans="1:11" x14ac:dyDescent="0.25">
      <c r="A359" s="51" t="s">
        <v>42</v>
      </c>
      <c r="B359" s="51"/>
      <c r="C359" s="51"/>
      <c r="D359" s="50">
        <f>D360+D362+D364+D366+D370+D372+D375+D378+D385+D388+D391+D395+D398+D400+D403+D406+D410+D413+D417+D421+D425+D430+D437+D446+D455+D462+D465+D467+D476+D481+D484+D493+D495+D498+D508+D517+D520+D527+D532+D537+D540+D542+D552+D557+D560+D563+D566+D571+D574+D577+D580+D583+D585+D590+D593+D596+D599+D602+D605+D608+D611+D614+D630+D633+D636+D639+D642+D645+D648+D658+D663+D672+D682+D686+D695+D698+D701+D704+D707+D712+D714+D716+D719+D721+D724+D727+D730+D733+D742+D745+D750+D753+D755+D758+D761+D764+D767+D770+D772+D774+D783+D785+D787+D790+D793+D795+D797+D799+D818+D821+D825+D829+D832+D835+D838+D840+D842+D844+D846+D850+D854+D858+D862+D865+D868+D871+D874+D877+D887+D889+D897+D903+D915+D925+D928</f>
        <v>661637.57999999996</v>
      </c>
      <c r="E359" s="50"/>
      <c r="F359" s="53"/>
      <c r="G359" s="105"/>
      <c r="H359" s="54"/>
      <c r="I359" s="50">
        <f>I360+I362+I364+I366+I370+I372+I375+I378+I385+I388+I391+I395+I398+I400+I403+I406+I410+I413+I417+I421+I425+I430+I437+I446+I455+I462+I465+I467+I476+I481+I484+I493+I495+I498+I508+I517+I520+I527+I532+I537+I540+I542+I552+I557+I560+I563+I566+I571+I574+I577+I580+I583+I585+I590+I593+I596+I599+I602+I605+I608+I611+I614+I630+I633+I636+I639+I642+I645+I648+I658+I663+I672+I682+I686+I695+I698+I701+I704+I707+I712+I714+I716+I719+I721+I724+I727+I730+I733+I742+I745+I750+I753+I755+I758+I761+I764+I767+I770+I772+I774+I783+I785+I787+I790+I793+I795+I797+I799+I818+I821+I825+I829+I832+I835+I838+I840+I842+I844+I846+I850+I854+I858+I862+I865+I868+I871+I874+I877+I887+I889+I897+I903+I915+I925+I928</f>
        <v>590364929.84000003</v>
      </c>
      <c r="J359" s="55"/>
      <c r="K359" s="55"/>
    </row>
    <row r="360" spans="1:11" ht="15.75" customHeight="1" x14ac:dyDescent="0.25">
      <c r="A360" s="215">
        <v>1</v>
      </c>
      <c r="B360" s="215">
        <v>122</v>
      </c>
      <c r="C360" s="223" t="s">
        <v>593</v>
      </c>
      <c r="D360" s="224">
        <v>821.3</v>
      </c>
      <c r="E360" s="224" t="s">
        <v>73</v>
      </c>
      <c r="F360" s="225">
        <v>3</v>
      </c>
      <c r="G360" s="215" t="s">
        <v>74</v>
      </c>
      <c r="H360" s="57" t="s">
        <v>66</v>
      </c>
      <c r="I360" s="50">
        <f>I361</f>
        <v>59954.9</v>
      </c>
      <c r="J360" s="50">
        <f>J361</f>
        <v>73</v>
      </c>
      <c r="K360" s="50">
        <f>K361</f>
        <v>73</v>
      </c>
    </row>
    <row r="361" spans="1:11" ht="47.25" customHeight="1" x14ac:dyDescent="0.25">
      <c r="A361" s="215"/>
      <c r="B361" s="215"/>
      <c r="C361" s="223"/>
      <c r="D361" s="224"/>
      <c r="E361" s="224"/>
      <c r="F361" s="225"/>
      <c r="G361" s="215"/>
      <c r="H361" s="57" t="s">
        <v>168</v>
      </c>
      <c r="I361" s="50">
        <f>D360*K361</f>
        <v>59954.9</v>
      </c>
      <c r="J361" s="50">
        <f>I361/D360</f>
        <v>73</v>
      </c>
      <c r="K361" s="50">
        <f>60+13</f>
        <v>73</v>
      </c>
    </row>
    <row r="362" spans="1:11" ht="15.75" customHeight="1" x14ac:dyDescent="0.25">
      <c r="A362" s="215">
        <f>A360+1</f>
        <v>2</v>
      </c>
      <c r="B362" s="215">
        <v>123</v>
      </c>
      <c r="C362" s="223" t="s">
        <v>594</v>
      </c>
      <c r="D362" s="224">
        <v>824.1</v>
      </c>
      <c r="E362" s="224" t="s">
        <v>73</v>
      </c>
      <c r="F362" s="225">
        <v>3</v>
      </c>
      <c r="G362" s="215" t="s">
        <v>74</v>
      </c>
      <c r="H362" s="57" t="s">
        <v>66</v>
      </c>
      <c r="I362" s="50">
        <f>I363</f>
        <v>60159.3</v>
      </c>
      <c r="J362" s="50">
        <f>J363</f>
        <v>73</v>
      </c>
      <c r="K362" s="50">
        <f>K363</f>
        <v>73</v>
      </c>
    </row>
    <row r="363" spans="1:11" ht="47.25" customHeight="1" x14ac:dyDescent="0.25">
      <c r="A363" s="215"/>
      <c r="B363" s="215"/>
      <c r="C363" s="223"/>
      <c r="D363" s="224"/>
      <c r="E363" s="224"/>
      <c r="F363" s="225"/>
      <c r="G363" s="215"/>
      <c r="H363" s="57" t="s">
        <v>168</v>
      </c>
      <c r="I363" s="50">
        <f>D362*K363</f>
        <v>60159.3</v>
      </c>
      <c r="J363" s="50">
        <f>I363/D362</f>
        <v>73</v>
      </c>
      <c r="K363" s="50">
        <f>60+13</f>
        <v>73</v>
      </c>
    </row>
    <row r="364" spans="1:11" ht="15.75" customHeight="1" x14ac:dyDescent="0.25">
      <c r="A364" s="215">
        <f>A362+1</f>
        <v>3</v>
      </c>
      <c r="B364" s="215">
        <v>131</v>
      </c>
      <c r="C364" s="223" t="s">
        <v>595</v>
      </c>
      <c r="D364" s="224">
        <v>829.3</v>
      </c>
      <c r="E364" s="224" t="s">
        <v>73</v>
      </c>
      <c r="F364" s="225">
        <v>3</v>
      </c>
      <c r="G364" s="215" t="s">
        <v>74</v>
      </c>
      <c r="H364" s="57" t="s">
        <v>66</v>
      </c>
      <c r="I364" s="50">
        <f>I365</f>
        <v>60538.9</v>
      </c>
      <c r="J364" s="50">
        <f>J365</f>
        <v>73</v>
      </c>
      <c r="K364" s="50">
        <f>K365</f>
        <v>73</v>
      </c>
    </row>
    <row r="365" spans="1:11" ht="47.25" customHeight="1" x14ac:dyDescent="0.25">
      <c r="A365" s="215"/>
      <c r="B365" s="215"/>
      <c r="C365" s="223"/>
      <c r="D365" s="224"/>
      <c r="E365" s="224"/>
      <c r="F365" s="225"/>
      <c r="G365" s="215"/>
      <c r="H365" s="57" t="s">
        <v>168</v>
      </c>
      <c r="I365" s="50">
        <f>D364*K365</f>
        <v>60538.9</v>
      </c>
      <c r="J365" s="50">
        <f>I365/D364</f>
        <v>73</v>
      </c>
      <c r="K365" s="50">
        <f>60+13</f>
        <v>73</v>
      </c>
    </row>
    <row r="366" spans="1:11" x14ac:dyDescent="0.25">
      <c r="A366" s="215">
        <f>A364+1</f>
        <v>4</v>
      </c>
      <c r="B366" s="215">
        <v>481</v>
      </c>
      <c r="C366" s="223" t="s">
        <v>359</v>
      </c>
      <c r="D366" s="224">
        <v>1590.2</v>
      </c>
      <c r="E366" s="224" t="s">
        <v>68</v>
      </c>
      <c r="F366" s="225">
        <v>5</v>
      </c>
      <c r="G366" s="215" t="s">
        <v>74</v>
      </c>
      <c r="H366" s="57" t="s">
        <v>66</v>
      </c>
      <c r="I366" s="50">
        <f>I367+I368+I369</f>
        <v>411973.02</v>
      </c>
      <c r="J366" s="50">
        <f>J367+J368+J369</f>
        <v>259.07</v>
      </c>
      <c r="K366" s="50">
        <f>K367+K368+K369</f>
        <v>409</v>
      </c>
    </row>
    <row r="367" spans="1:11" ht="63" x14ac:dyDescent="0.25">
      <c r="A367" s="215"/>
      <c r="B367" s="215"/>
      <c r="C367" s="223"/>
      <c r="D367" s="224"/>
      <c r="E367" s="224"/>
      <c r="F367" s="225"/>
      <c r="G367" s="215"/>
      <c r="H367" s="57" t="s">
        <v>168</v>
      </c>
      <c r="I367" s="50">
        <v>61826.8</v>
      </c>
      <c r="J367" s="50">
        <f>I367/D366</f>
        <v>38.880000000000003</v>
      </c>
      <c r="K367" s="50">
        <f>34+13</f>
        <v>47</v>
      </c>
    </row>
    <row r="368" spans="1:11" x14ac:dyDescent="0.25">
      <c r="A368" s="215"/>
      <c r="B368" s="215"/>
      <c r="C368" s="223"/>
      <c r="D368" s="224"/>
      <c r="E368" s="224"/>
      <c r="F368" s="225"/>
      <c r="G368" s="215"/>
      <c r="H368" s="57" t="s">
        <v>67</v>
      </c>
      <c r="I368" s="50">
        <v>342810.08</v>
      </c>
      <c r="J368" s="50">
        <f>I368/D366</f>
        <v>215.58</v>
      </c>
      <c r="K368" s="50">
        <v>354</v>
      </c>
    </row>
    <row r="369" spans="1:11" x14ac:dyDescent="0.25">
      <c r="A369" s="215"/>
      <c r="B369" s="215"/>
      <c r="C369" s="223"/>
      <c r="D369" s="224"/>
      <c r="E369" s="224"/>
      <c r="F369" s="225"/>
      <c r="G369" s="215"/>
      <c r="H369" s="57" t="s">
        <v>69</v>
      </c>
      <c r="I369" s="50">
        <f>I368*0.0214</f>
        <v>7336.14</v>
      </c>
      <c r="J369" s="50">
        <f>I369/D366</f>
        <v>4.6100000000000003</v>
      </c>
      <c r="K369" s="50">
        <v>8</v>
      </c>
    </row>
    <row r="370" spans="1:11" ht="15.75" customHeight="1" x14ac:dyDescent="0.25">
      <c r="A370" s="215">
        <f>A366+1</f>
        <v>5</v>
      </c>
      <c r="B370" s="215">
        <v>368</v>
      </c>
      <c r="C370" s="223" t="s">
        <v>559</v>
      </c>
      <c r="D370" s="224">
        <v>3670.2</v>
      </c>
      <c r="E370" s="224" t="s">
        <v>68</v>
      </c>
      <c r="F370" s="225">
        <v>5</v>
      </c>
      <c r="G370" s="215" t="s">
        <v>74</v>
      </c>
      <c r="H370" s="57" t="s">
        <v>66</v>
      </c>
      <c r="I370" s="50">
        <f>I371</f>
        <v>88084.800000000003</v>
      </c>
      <c r="J370" s="50">
        <f>J371</f>
        <v>24</v>
      </c>
      <c r="K370" s="50">
        <f>K371</f>
        <v>24</v>
      </c>
    </row>
    <row r="371" spans="1:11" ht="47.25" customHeight="1" x14ac:dyDescent="0.25">
      <c r="A371" s="215"/>
      <c r="B371" s="215"/>
      <c r="C371" s="223"/>
      <c r="D371" s="224"/>
      <c r="E371" s="224"/>
      <c r="F371" s="225"/>
      <c r="G371" s="215"/>
      <c r="H371" s="57" t="s">
        <v>168</v>
      </c>
      <c r="I371" s="50">
        <f>D370*K371</f>
        <v>88084.800000000003</v>
      </c>
      <c r="J371" s="50">
        <f>I371/D370</f>
        <v>24</v>
      </c>
      <c r="K371" s="50">
        <f>22+2</f>
        <v>24</v>
      </c>
    </row>
    <row r="372" spans="1:11" x14ac:dyDescent="0.25">
      <c r="A372" s="215">
        <f>A370+1</f>
        <v>6</v>
      </c>
      <c r="B372" s="215">
        <v>842</v>
      </c>
      <c r="C372" s="223" t="s">
        <v>94</v>
      </c>
      <c r="D372" s="224">
        <v>4014.5</v>
      </c>
      <c r="E372" s="224" t="s">
        <v>64</v>
      </c>
      <c r="F372" s="225">
        <v>5</v>
      </c>
      <c r="G372" s="215" t="s">
        <v>65</v>
      </c>
      <c r="H372" s="57" t="s">
        <v>66</v>
      </c>
      <c r="I372" s="50">
        <f>I373+I374</f>
        <v>5578377.6500000004</v>
      </c>
      <c r="J372" s="50">
        <f>J373+J374</f>
        <v>1389.56</v>
      </c>
      <c r="K372" s="50">
        <f>K373+K374</f>
        <v>3878</v>
      </c>
    </row>
    <row r="373" spans="1:11" x14ac:dyDescent="0.25">
      <c r="A373" s="215">
        <v>76</v>
      </c>
      <c r="B373" s="215"/>
      <c r="C373" s="223"/>
      <c r="D373" s="215"/>
      <c r="E373" s="224"/>
      <c r="F373" s="225"/>
      <c r="G373" s="215"/>
      <c r="H373" s="57" t="s">
        <v>67</v>
      </c>
      <c r="I373" s="50">
        <v>5461501.5199999996</v>
      </c>
      <c r="J373" s="50">
        <f>I373/D372+0.01</f>
        <v>1360.45</v>
      </c>
      <c r="K373" s="50">
        <v>3797</v>
      </c>
    </row>
    <row r="374" spans="1:11" x14ac:dyDescent="0.25">
      <c r="A374" s="215"/>
      <c r="B374" s="215"/>
      <c r="C374" s="223"/>
      <c r="D374" s="215"/>
      <c r="E374" s="224"/>
      <c r="F374" s="225"/>
      <c r="G374" s="215"/>
      <c r="H374" s="57" t="s">
        <v>69</v>
      </c>
      <c r="I374" s="50">
        <f>I373*0.0214</f>
        <v>116876.13</v>
      </c>
      <c r="J374" s="50">
        <f>I374/D372</f>
        <v>29.11</v>
      </c>
      <c r="K374" s="50">
        <v>81</v>
      </c>
    </row>
    <row r="375" spans="1:11" x14ac:dyDescent="0.25">
      <c r="A375" s="215">
        <f>A372+1</f>
        <v>7</v>
      </c>
      <c r="B375" s="215">
        <v>743</v>
      </c>
      <c r="C375" s="223" t="s">
        <v>360</v>
      </c>
      <c r="D375" s="224">
        <v>3996.6</v>
      </c>
      <c r="E375" s="224" t="s">
        <v>64</v>
      </c>
      <c r="F375" s="225">
        <v>5</v>
      </c>
      <c r="G375" s="215" t="s">
        <v>65</v>
      </c>
      <c r="H375" s="57" t="s">
        <v>66</v>
      </c>
      <c r="I375" s="50">
        <f>I376+I377</f>
        <v>14158021.699999999</v>
      </c>
      <c r="J375" s="50">
        <f>J376+J377</f>
        <v>3542.52</v>
      </c>
      <c r="K375" s="50">
        <f>K376+K377</f>
        <v>3878</v>
      </c>
    </row>
    <row r="376" spans="1:11" x14ac:dyDescent="0.25">
      <c r="A376" s="215">
        <v>76</v>
      </c>
      <c r="B376" s="215"/>
      <c r="C376" s="223"/>
      <c r="D376" s="215"/>
      <c r="E376" s="224"/>
      <c r="F376" s="225"/>
      <c r="G376" s="215"/>
      <c r="H376" s="57" t="s">
        <v>67</v>
      </c>
      <c r="I376" s="50">
        <v>13861388</v>
      </c>
      <c r="J376" s="50">
        <f>I376/D375</f>
        <v>3468.3</v>
      </c>
      <c r="K376" s="50">
        <v>3797</v>
      </c>
    </row>
    <row r="377" spans="1:11" x14ac:dyDescent="0.25">
      <c r="A377" s="215"/>
      <c r="B377" s="215"/>
      <c r="C377" s="223"/>
      <c r="D377" s="215"/>
      <c r="E377" s="224"/>
      <c r="F377" s="225"/>
      <c r="G377" s="215"/>
      <c r="H377" s="57" t="s">
        <v>69</v>
      </c>
      <c r="I377" s="50">
        <v>296633.7</v>
      </c>
      <c r="J377" s="50">
        <f>I377/D375</f>
        <v>74.22</v>
      </c>
      <c r="K377" s="50">
        <v>81</v>
      </c>
    </row>
    <row r="378" spans="1:11" x14ac:dyDescent="0.25">
      <c r="A378" s="215">
        <f>A375+1</f>
        <v>8</v>
      </c>
      <c r="B378" s="215">
        <v>8171</v>
      </c>
      <c r="C378" s="223" t="s">
        <v>493</v>
      </c>
      <c r="D378" s="224">
        <v>4315.3999999999996</v>
      </c>
      <c r="E378" s="224" t="s">
        <v>68</v>
      </c>
      <c r="F378" s="225">
        <v>10</v>
      </c>
      <c r="G378" s="105"/>
      <c r="H378" s="57" t="s">
        <v>66</v>
      </c>
      <c r="I378" s="50">
        <f>I379+I380+I381+I382+I383+I384</f>
        <v>4829352.84</v>
      </c>
      <c r="J378" s="50">
        <f t="shared" ref="J378:K378" si="12">J379+J380+J381+J382+J383+J384</f>
        <v>1119.0999999999999</v>
      </c>
      <c r="K378" s="50">
        <f t="shared" si="12"/>
        <v>1178.8599999999999</v>
      </c>
    </row>
    <row r="379" spans="1:11" ht="63" x14ac:dyDescent="0.25">
      <c r="A379" s="215"/>
      <c r="B379" s="215"/>
      <c r="C379" s="223"/>
      <c r="D379" s="224"/>
      <c r="E379" s="224"/>
      <c r="F379" s="225"/>
      <c r="G379" s="216" t="s">
        <v>170</v>
      </c>
      <c r="H379" s="57" t="s">
        <v>168</v>
      </c>
      <c r="I379" s="50">
        <v>32281</v>
      </c>
      <c r="J379" s="50">
        <f>I379/D378</f>
        <v>7.48</v>
      </c>
      <c r="K379" s="50">
        <f>32281/D378</f>
        <v>7.48</v>
      </c>
    </row>
    <row r="380" spans="1:11" ht="15.75" customHeight="1" x14ac:dyDescent="0.25">
      <c r="A380" s="215">
        <v>756</v>
      </c>
      <c r="B380" s="215"/>
      <c r="C380" s="223"/>
      <c r="D380" s="224"/>
      <c r="E380" s="224"/>
      <c r="F380" s="225"/>
      <c r="G380" s="217"/>
      <c r="H380" s="57" t="s">
        <v>171</v>
      </c>
      <c r="I380" s="50">
        <v>2332480.34</v>
      </c>
      <c r="J380" s="50">
        <f>I380/D378</f>
        <v>540.5</v>
      </c>
      <c r="K380" s="50">
        <f>2458756/D378</f>
        <v>569.76</v>
      </c>
    </row>
    <row r="381" spans="1:11" x14ac:dyDescent="0.25">
      <c r="A381" s="215">
        <v>757</v>
      </c>
      <c r="B381" s="215"/>
      <c r="C381" s="223"/>
      <c r="D381" s="224"/>
      <c r="E381" s="224"/>
      <c r="F381" s="225"/>
      <c r="G381" s="222"/>
      <c r="H381" s="57" t="s">
        <v>69</v>
      </c>
      <c r="I381" s="50">
        <f>I380*0.0214</f>
        <v>49915.08</v>
      </c>
      <c r="J381" s="50">
        <f>I381/D378</f>
        <v>11.57</v>
      </c>
      <c r="K381" s="50">
        <f>52617/D378</f>
        <v>12.19</v>
      </c>
    </row>
    <row r="382" spans="1:11" ht="63" x14ac:dyDescent="0.25">
      <c r="A382" s="215"/>
      <c r="B382" s="215"/>
      <c r="C382" s="223"/>
      <c r="D382" s="224"/>
      <c r="E382" s="224"/>
      <c r="F382" s="225"/>
      <c r="G382" s="216" t="s">
        <v>173</v>
      </c>
      <c r="H382" s="57" t="s">
        <v>168</v>
      </c>
      <c r="I382" s="50">
        <v>32281</v>
      </c>
      <c r="J382" s="50">
        <f>I382/D378</f>
        <v>7.48</v>
      </c>
      <c r="K382" s="50">
        <f>32281/D378</f>
        <v>7.48</v>
      </c>
    </row>
    <row r="383" spans="1:11" ht="15.75" customHeight="1" x14ac:dyDescent="0.25">
      <c r="A383" s="215"/>
      <c r="B383" s="215"/>
      <c r="C383" s="223"/>
      <c r="D383" s="224"/>
      <c r="E383" s="224"/>
      <c r="F383" s="225"/>
      <c r="G383" s="217"/>
      <c r="H383" s="57" t="s">
        <v>171</v>
      </c>
      <c r="I383" s="50">
        <v>2332480.34</v>
      </c>
      <c r="J383" s="50">
        <f>I383/D378</f>
        <v>540.5</v>
      </c>
      <c r="K383" s="50">
        <f>2458756/D378</f>
        <v>569.76</v>
      </c>
    </row>
    <row r="384" spans="1:11" x14ac:dyDescent="0.25">
      <c r="A384" s="215"/>
      <c r="B384" s="215"/>
      <c r="C384" s="223"/>
      <c r="D384" s="224"/>
      <c r="E384" s="224"/>
      <c r="F384" s="225"/>
      <c r="G384" s="222"/>
      <c r="H384" s="57" t="s">
        <v>69</v>
      </c>
      <c r="I384" s="50">
        <f>I383*0.0214</f>
        <v>49915.08</v>
      </c>
      <c r="J384" s="50">
        <f>I384/D378</f>
        <v>11.57</v>
      </c>
      <c r="K384" s="50">
        <f>52617/D378</f>
        <v>12.19</v>
      </c>
    </row>
    <row r="385" spans="1:11" x14ac:dyDescent="0.25">
      <c r="A385" s="215">
        <f>A378+1</f>
        <v>9</v>
      </c>
      <c r="B385" s="215">
        <v>606</v>
      </c>
      <c r="C385" s="223" t="s">
        <v>121</v>
      </c>
      <c r="D385" s="224">
        <v>5330.83</v>
      </c>
      <c r="E385" s="224" t="s">
        <v>68</v>
      </c>
      <c r="F385" s="225">
        <v>5</v>
      </c>
      <c r="G385" s="215" t="s">
        <v>65</v>
      </c>
      <c r="H385" s="57" t="s">
        <v>66</v>
      </c>
      <c r="I385" s="50">
        <f>I386+I387</f>
        <v>14707949.59</v>
      </c>
      <c r="J385" s="50">
        <f>J386+J387</f>
        <v>2759.04</v>
      </c>
      <c r="K385" s="50">
        <f>K386+K387</f>
        <v>3878</v>
      </c>
    </row>
    <row r="386" spans="1:11" x14ac:dyDescent="0.25">
      <c r="A386" s="215">
        <v>75</v>
      </c>
      <c r="B386" s="215"/>
      <c r="C386" s="223"/>
      <c r="D386" s="215"/>
      <c r="E386" s="224"/>
      <c r="F386" s="225"/>
      <c r="G386" s="215"/>
      <c r="H386" s="57" t="s">
        <v>67</v>
      </c>
      <c r="I386" s="50">
        <v>14399794</v>
      </c>
      <c r="J386" s="50">
        <f>I386/D385</f>
        <v>2701.23</v>
      </c>
      <c r="K386" s="50">
        <v>3797</v>
      </c>
    </row>
    <row r="387" spans="1:11" x14ac:dyDescent="0.25">
      <c r="A387" s="215"/>
      <c r="B387" s="215"/>
      <c r="C387" s="223"/>
      <c r="D387" s="215"/>
      <c r="E387" s="224"/>
      <c r="F387" s="225"/>
      <c r="G387" s="215"/>
      <c r="H387" s="57" t="s">
        <v>69</v>
      </c>
      <c r="I387" s="50">
        <f>I386*0.0214</f>
        <v>308155.59000000003</v>
      </c>
      <c r="J387" s="50">
        <f>I387/D385</f>
        <v>57.81</v>
      </c>
      <c r="K387" s="50">
        <v>81</v>
      </c>
    </row>
    <row r="388" spans="1:11" x14ac:dyDescent="0.25">
      <c r="A388" s="215">
        <f>A385+1</f>
        <v>10</v>
      </c>
      <c r="B388" s="215">
        <v>717</v>
      </c>
      <c r="C388" s="223" t="s">
        <v>122</v>
      </c>
      <c r="D388" s="224">
        <v>2621.92</v>
      </c>
      <c r="E388" s="224" t="s">
        <v>64</v>
      </c>
      <c r="F388" s="225">
        <v>5</v>
      </c>
      <c r="G388" s="215" t="s">
        <v>65</v>
      </c>
      <c r="H388" s="57" t="s">
        <v>66</v>
      </c>
      <c r="I388" s="50">
        <f>I389+I390</f>
        <v>7929872.7199999997</v>
      </c>
      <c r="J388" s="50">
        <f>J389+J390</f>
        <v>3024.45</v>
      </c>
      <c r="K388" s="50">
        <f>K389+K390</f>
        <v>3878</v>
      </c>
    </row>
    <row r="389" spans="1:11" x14ac:dyDescent="0.25">
      <c r="A389" s="215">
        <v>75</v>
      </c>
      <c r="B389" s="215"/>
      <c r="C389" s="223"/>
      <c r="D389" s="215"/>
      <c r="E389" s="224"/>
      <c r="F389" s="225"/>
      <c r="G389" s="215"/>
      <c r="H389" s="57" t="s">
        <v>67</v>
      </c>
      <c r="I389" s="50">
        <v>7763728.9199999999</v>
      </c>
      <c r="J389" s="50">
        <f>I389/D388-0.01</f>
        <v>2961.08</v>
      </c>
      <c r="K389" s="50">
        <v>3797</v>
      </c>
    </row>
    <row r="390" spans="1:11" x14ac:dyDescent="0.25">
      <c r="A390" s="215"/>
      <c r="B390" s="215"/>
      <c r="C390" s="223"/>
      <c r="D390" s="215"/>
      <c r="E390" s="224"/>
      <c r="F390" s="225"/>
      <c r="G390" s="215"/>
      <c r="H390" s="57" t="s">
        <v>69</v>
      </c>
      <c r="I390" s="50">
        <v>166143.79999999999</v>
      </c>
      <c r="J390" s="50">
        <f>I390/D388</f>
        <v>63.37</v>
      </c>
      <c r="K390" s="50">
        <v>81</v>
      </c>
    </row>
    <row r="391" spans="1:11" x14ac:dyDescent="0.25">
      <c r="A391" s="215">
        <f>A388+1</f>
        <v>11</v>
      </c>
      <c r="B391" s="215">
        <v>537</v>
      </c>
      <c r="C391" s="223" t="s">
        <v>553</v>
      </c>
      <c r="D391" s="224">
        <v>3760.57</v>
      </c>
      <c r="E391" s="224" t="s">
        <v>68</v>
      </c>
      <c r="F391" s="225">
        <v>5</v>
      </c>
      <c r="G391" s="215" t="s">
        <v>74</v>
      </c>
      <c r="H391" s="57" t="s">
        <v>66</v>
      </c>
      <c r="I391" s="50">
        <f>I392+I393+I394</f>
        <v>929684.82</v>
      </c>
      <c r="J391" s="50">
        <f>J392+J393+J394</f>
        <v>247.22</v>
      </c>
      <c r="K391" s="50">
        <f>K392+K393+K394</f>
        <v>431</v>
      </c>
    </row>
    <row r="392" spans="1:11" ht="63" x14ac:dyDescent="0.25">
      <c r="A392" s="215"/>
      <c r="B392" s="215"/>
      <c r="C392" s="223"/>
      <c r="D392" s="224"/>
      <c r="E392" s="224"/>
      <c r="F392" s="225"/>
      <c r="G392" s="215"/>
      <c r="H392" s="57" t="s">
        <v>168</v>
      </c>
      <c r="I392" s="50">
        <f>D391*K392</f>
        <v>90253.68</v>
      </c>
      <c r="J392" s="50">
        <f>I392/D391</f>
        <v>24</v>
      </c>
      <c r="K392" s="50">
        <f>22+2</f>
        <v>24</v>
      </c>
    </row>
    <row r="393" spans="1:11" x14ac:dyDescent="0.25">
      <c r="A393" s="215"/>
      <c r="B393" s="215"/>
      <c r="C393" s="223"/>
      <c r="D393" s="224"/>
      <c r="E393" s="224"/>
      <c r="F393" s="225"/>
      <c r="G393" s="215"/>
      <c r="H393" s="57" t="s">
        <v>67</v>
      </c>
      <c r="I393" s="50">
        <v>821843.69</v>
      </c>
      <c r="J393" s="50">
        <f>I393/D391</f>
        <v>218.54</v>
      </c>
      <c r="K393" s="50">
        <v>398</v>
      </c>
    </row>
    <row r="394" spans="1:11" x14ac:dyDescent="0.25">
      <c r="A394" s="215"/>
      <c r="B394" s="215"/>
      <c r="C394" s="223"/>
      <c r="D394" s="224"/>
      <c r="E394" s="224"/>
      <c r="F394" s="225"/>
      <c r="G394" s="215"/>
      <c r="H394" s="57" t="s">
        <v>69</v>
      </c>
      <c r="I394" s="50">
        <f>I393*0.0214</f>
        <v>17587.45</v>
      </c>
      <c r="J394" s="50">
        <f>I394/D391</f>
        <v>4.68</v>
      </c>
      <c r="K394" s="50">
        <v>9</v>
      </c>
    </row>
    <row r="395" spans="1:11" x14ac:dyDescent="0.25">
      <c r="A395" s="215">
        <f>A391+1</f>
        <v>12</v>
      </c>
      <c r="B395" s="215">
        <v>720</v>
      </c>
      <c r="C395" s="223" t="s">
        <v>123</v>
      </c>
      <c r="D395" s="224">
        <v>5022</v>
      </c>
      <c r="E395" s="224" t="s">
        <v>68</v>
      </c>
      <c r="F395" s="225">
        <v>5</v>
      </c>
      <c r="G395" s="215" t="s">
        <v>65</v>
      </c>
      <c r="H395" s="57" t="s">
        <v>66</v>
      </c>
      <c r="I395" s="50">
        <f>I396+I397</f>
        <v>16211616.560000001</v>
      </c>
      <c r="J395" s="50">
        <f>J396+J397</f>
        <v>3228.12</v>
      </c>
      <c r="K395" s="50">
        <f>K396+K397</f>
        <v>3878</v>
      </c>
    </row>
    <row r="396" spans="1:11" x14ac:dyDescent="0.25">
      <c r="A396" s="215">
        <v>75</v>
      </c>
      <c r="B396" s="215"/>
      <c r="C396" s="223"/>
      <c r="D396" s="224"/>
      <c r="E396" s="224"/>
      <c r="F396" s="225"/>
      <c r="G396" s="215"/>
      <c r="H396" s="57" t="s">
        <v>67</v>
      </c>
      <c r="I396" s="50">
        <v>15871956.689999999</v>
      </c>
      <c r="J396" s="50">
        <f>I396/D395</f>
        <v>3160.49</v>
      </c>
      <c r="K396" s="50">
        <v>3797</v>
      </c>
    </row>
    <row r="397" spans="1:11" x14ac:dyDescent="0.25">
      <c r="A397" s="215"/>
      <c r="B397" s="215"/>
      <c r="C397" s="223"/>
      <c r="D397" s="224"/>
      <c r="E397" s="224"/>
      <c r="F397" s="225"/>
      <c r="G397" s="215"/>
      <c r="H397" s="57" t="s">
        <v>69</v>
      </c>
      <c r="I397" s="50">
        <f>I396*0.0214</f>
        <v>339659.87</v>
      </c>
      <c r="J397" s="50">
        <f>I397/D395</f>
        <v>67.63</v>
      </c>
      <c r="K397" s="50">
        <v>81</v>
      </c>
    </row>
    <row r="398" spans="1:11" x14ac:dyDescent="0.25">
      <c r="A398" s="215">
        <f>A395+1</f>
        <v>13</v>
      </c>
      <c r="B398" s="215">
        <v>351</v>
      </c>
      <c r="C398" s="223" t="s">
        <v>554</v>
      </c>
      <c r="D398" s="224">
        <v>1260.4000000000001</v>
      </c>
      <c r="E398" s="224" t="s">
        <v>68</v>
      </c>
      <c r="F398" s="225">
        <v>4</v>
      </c>
      <c r="G398" s="215" t="s">
        <v>74</v>
      </c>
      <c r="H398" s="57" t="s">
        <v>66</v>
      </c>
      <c r="I398" s="50">
        <f>I399</f>
        <v>59238.8</v>
      </c>
      <c r="J398" s="50">
        <f t="shared" ref="J398:K398" si="13">J399</f>
        <v>47</v>
      </c>
      <c r="K398" s="50">
        <f t="shared" si="13"/>
        <v>47</v>
      </c>
    </row>
    <row r="399" spans="1:11" ht="63" x14ac:dyDescent="0.25">
      <c r="A399" s="215"/>
      <c r="B399" s="215"/>
      <c r="C399" s="223"/>
      <c r="D399" s="224"/>
      <c r="E399" s="224"/>
      <c r="F399" s="225"/>
      <c r="G399" s="215"/>
      <c r="H399" s="57" t="s">
        <v>168</v>
      </c>
      <c r="I399" s="50">
        <f>D398*K399</f>
        <v>59238.8</v>
      </c>
      <c r="J399" s="50">
        <f>I399/D398</f>
        <v>47</v>
      </c>
      <c r="K399" s="50">
        <v>47</v>
      </c>
    </row>
    <row r="400" spans="1:11" x14ac:dyDescent="0.25">
      <c r="A400" s="215">
        <f>A398+1</f>
        <v>14</v>
      </c>
      <c r="B400" s="215">
        <v>575</v>
      </c>
      <c r="C400" s="223" t="s">
        <v>124</v>
      </c>
      <c r="D400" s="224">
        <v>6074.2</v>
      </c>
      <c r="E400" s="224" t="s">
        <v>68</v>
      </c>
      <c r="F400" s="225">
        <v>5</v>
      </c>
      <c r="G400" s="215" t="s">
        <v>74</v>
      </c>
      <c r="H400" s="57" t="s">
        <v>66</v>
      </c>
      <c r="I400" s="50">
        <f>I401+I402</f>
        <v>1599653.2</v>
      </c>
      <c r="J400" s="50">
        <f>J401+J402</f>
        <v>263.35000000000002</v>
      </c>
      <c r="K400" s="50">
        <f>K401+K402</f>
        <v>407</v>
      </c>
    </row>
    <row r="401" spans="1:11" x14ac:dyDescent="0.25">
      <c r="A401" s="215">
        <v>75</v>
      </c>
      <c r="B401" s="215"/>
      <c r="C401" s="223"/>
      <c r="D401" s="224"/>
      <c r="E401" s="224"/>
      <c r="F401" s="225"/>
      <c r="G401" s="215"/>
      <c r="H401" s="57" t="s">
        <v>67</v>
      </c>
      <c r="I401" s="50">
        <v>1575356.4</v>
      </c>
      <c r="J401" s="50">
        <f>I401/D400</f>
        <v>259.35000000000002</v>
      </c>
      <c r="K401" s="50">
        <v>398</v>
      </c>
    </row>
    <row r="402" spans="1:11" x14ac:dyDescent="0.25">
      <c r="A402" s="215"/>
      <c r="B402" s="215"/>
      <c r="C402" s="223"/>
      <c r="D402" s="224"/>
      <c r="E402" s="224"/>
      <c r="F402" s="225"/>
      <c r="G402" s="215"/>
      <c r="H402" s="57" t="s">
        <v>69</v>
      </c>
      <c r="I402" s="50">
        <v>24296.799999999999</v>
      </c>
      <c r="J402" s="50">
        <f>I402/D400</f>
        <v>4</v>
      </c>
      <c r="K402" s="50">
        <v>9</v>
      </c>
    </row>
    <row r="403" spans="1:11" x14ac:dyDescent="0.25">
      <c r="A403" s="215">
        <f>A400+1</f>
        <v>15</v>
      </c>
      <c r="B403" s="215">
        <v>618</v>
      </c>
      <c r="C403" s="223" t="s">
        <v>125</v>
      </c>
      <c r="D403" s="224">
        <v>4862.5</v>
      </c>
      <c r="E403" s="224" t="s">
        <v>68</v>
      </c>
      <c r="F403" s="225">
        <v>5</v>
      </c>
      <c r="G403" s="215" t="s">
        <v>74</v>
      </c>
      <c r="H403" s="57" t="s">
        <v>66</v>
      </c>
      <c r="I403" s="50">
        <f>I404+I405</f>
        <v>1191100.3999999999</v>
      </c>
      <c r="J403" s="50">
        <f>J404+J405</f>
        <v>244.96</v>
      </c>
      <c r="K403" s="50">
        <f>K404+K405</f>
        <v>407</v>
      </c>
    </row>
    <row r="404" spans="1:11" x14ac:dyDescent="0.25">
      <c r="A404" s="215">
        <v>75</v>
      </c>
      <c r="B404" s="215"/>
      <c r="C404" s="223"/>
      <c r="D404" s="224"/>
      <c r="E404" s="224"/>
      <c r="F404" s="225"/>
      <c r="G404" s="215"/>
      <c r="H404" s="57" t="s">
        <v>67</v>
      </c>
      <c r="I404" s="50">
        <v>1171182</v>
      </c>
      <c r="J404" s="50">
        <f>I404/D403</f>
        <v>240.86</v>
      </c>
      <c r="K404" s="50">
        <v>398</v>
      </c>
    </row>
    <row r="405" spans="1:11" x14ac:dyDescent="0.25">
      <c r="A405" s="215"/>
      <c r="B405" s="215"/>
      <c r="C405" s="223"/>
      <c r="D405" s="224"/>
      <c r="E405" s="224"/>
      <c r="F405" s="225"/>
      <c r="G405" s="215"/>
      <c r="H405" s="57" t="s">
        <v>69</v>
      </c>
      <c r="I405" s="50">
        <v>19918.400000000001</v>
      </c>
      <c r="J405" s="50">
        <f>I405/D403</f>
        <v>4.0999999999999996</v>
      </c>
      <c r="K405" s="50">
        <v>9</v>
      </c>
    </row>
    <row r="406" spans="1:11" x14ac:dyDescent="0.25">
      <c r="A406" s="215">
        <f>A403+1</f>
        <v>16</v>
      </c>
      <c r="B406" s="215">
        <v>436</v>
      </c>
      <c r="C406" s="223" t="s">
        <v>430</v>
      </c>
      <c r="D406" s="224">
        <v>3187.95</v>
      </c>
      <c r="E406" s="224" t="s">
        <v>68</v>
      </c>
      <c r="F406" s="225">
        <v>5</v>
      </c>
      <c r="G406" s="215" t="s">
        <v>74</v>
      </c>
      <c r="H406" s="57" t="s">
        <v>66</v>
      </c>
      <c r="I406" s="50">
        <f>I407+I408+I409</f>
        <v>815544.58</v>
      </c>
      <c r="J406" s="50">
        <f>J407+J408+J409</f>
        <v>255.82</v>
      </c>
      <c r="K406" s="50">
        <f>K407+K408+K409</f>
        <v>431</v>
      </c>
    </row>
    <row r="407" spans="1:11" ht="63" x14ac:dyDescent="0.25">
      <c r="A407" s="215"/>
      <c r="B407" s="215"/>
      <c r="C407" s="223"/>
      <c r="D407" s="224"/>
      <c r="E407" s="224"/>
      <c r="F407" s="225"/>
      <c r="G407" s="215"/>
      <c r="H407" s="57" t="s">
        <v>168</v>
      </c>
      <c r="I407" s="50">
        <f>D406*K407</f>
        <v>76510.8</v>
      </c>
      <c r="J407" s="50">
        <f>I407/D406</f>
        <v>24</v>
      </c>
      <c r="K407" s="50">
        <f>22+2</f>
        <v>24</v>
      </c>
    </row>
    <row r="408" spans="1:11" x14ac:dyDescent="0.25">
      <c r="A408" s="215"/>
      <c r="B408" s="215"/>
      <c r="C408" s="223"/>
      <c r="D408" s="224"/>
      <c r="E408" s="224"/>
      <c r="F408" s="225"/>
      <c r="G408" s="215"/>
      <c r="H408" s="57" t="s">
        <v>67</v>
      </c>
      <c r="I408" s="50">
        <v>723549.81</v>
      </c>
      <c r="J408" s="50">
        <f>I408/D406</f>
        <v>226.96</v>
      </c>
      <c r="K408" s="50">
        <v>398</v>
      </c>
    </row>
    <row r="409" spans="1:11" x14ac:dyDescent="0.25">
      <c r="A409" s="215"/>
      <c r="B409" s="215"/>
      <c r="C409" s="223"/>
      <c r="D409" s="224"/>
      <c r="E409" s="224"/>
      <c r="F409" s="225"/>
      <c r="G409" s="215"/>
      <c r="H409" s="57" t="s">
        <v>69</v>
      </c>
      <c r="I409" s="50">
        <f>I408*0.0214</f>
        <v>15483.97</v>
      </c>
      <c r="J409" s="50">
        <f>I409/D406</f>
        <v>4.8600000000000003</v>
      </c>
      <c r="K409" s="50">
        <v>9</v>
      </c>
    </row>
    <row r="410" spans="1:11" x14ac:dyDescent="0.25">
      <c r="A410" s="215">
        <f>A406+1</f>
        <v>17</v>
      </c>
      <c r="B410" s="215">
        <v>581</v>
      </c>
      <c r="C410" s="223" t="s">
        <v>126</v>
      </c>
      <c r="D410" s="224">
        <v>5442.2</v>
      </c>
      <c r="E410" s="224" t="s">
        <v>68</v>
      </c>
      <c r="F410" s="225">
        <v>5</v>
      </c>
      <c r="G410" s="215" t="s">
        <v>77</v>
      </c>
      <c r="H410" s="57" t="s">
        <v>66</v>
      </c>
      <c r="I410" s="50">
        <f>I411+I412</f>
        <v>2143906.52</v>
      </c>
      <c r="J410" s="50">
        <f>J411+J412</f>
        <v>393.94</v>
      </c>
      <c r="K410" s="50">
        <f>K411+K412</f>
        <v>655</v>
      </c>
    </row>
    <row r="411" spans="1:11" x14ac:dyDescent="0.25">
      <c r="A411" s="215">
        <v>75</v>
      </c>
      <c r="B411" s="215"/>
      <c r="C411" s="223"/>
      <c r="D411" s="224"/>
      <c r="E411" s="224"/>
      <c r="F411" s="225"/>
      <c r="G411" s="215"/>
      <c r="H411" s="57" t="s">
        <v>67</v>
      </c>
      <c r="I411" s="50">
        <v>2098988.17</v>
      </c>
      <c r="J411" s="50">
        <f>I411/D410</f>
        <v>385.69</v>
      </c>
      <c r="K411" s="50">
        <v>641</v>
      </c>
    </row>
    <row r="412" spans="1:11" x14ac:dyDescent="0.25">
      <c r="A412" s="215"/>
      <c r="B412" s="215"/>
      <c r="C412" s="223"/>
      <c r="D412" s="224"/>
      <c r="E412" s="224"/>
      <c r="F412" s="225"/>
      <c r="G412" s="215"/>
      <c r="H412" s="57" t="s">
        <v>69</v>
      </c>
      <c r="I412" s="50">
        <v>44918.35</v>
      </c>
      <c r="J412" s="50">
        <f>I412/D410</f>
        <v>8.25</v>
      </c>
      <c r="K412" s="50">
        <v>14</v>
      </c>
    </row>
    <row r="413" spans="1:11" x14ac:dyDescent="0.25">
      <c r="A413" s="215">
        <f>A410+1</f>
        <v>18</v>
      </c>
      <c r="B413" s="215">
        <v>464</v>
      </c>
      <c r="C413" s="223" t="s">
        <v>431</v>
      </c>
      <c r="D413" s="224">
        <v>3691.3</v>
      </c>
      <c r="E413" s="224" t="s">
        <v>68</v>
      </c>
      <c r="F413" s="225">
        <v>5</v>
      </c>
      <c r="G413" s="215" t="s">
        <v>74</v>
      </c>
      <c r="H413" s="57" t="s">
        <v>66</v>
      </c>
      <c r="I413" s="50">
        <f>I414+I415+I416</f>
        <v>702901.14</v>
      </c>
      <c r="J413" s="50">
        <f>J414+J415+J416</f>
        <v>190.42</v>
      </c>
      <c r="K413" s="50">
        <f>K414+K415+K416</f>
        <v>431</v>
      </c>
    </row>
    <row r="414" spans="1:11" ht="63" x14ac:dyDescent="0.25">
      <c r="A414" s="215"/>
      <c r="B414" s="215"/>
      <c r="C414" s="223"/>
      <c r="D414" s="224"/>
      <c r="E414" s="224"/>
      <c r="F414" s="225"/>
      <c r="G414" s="215"/>
      <c r="H414" s="57" t="s">
        <v>168</v>
      </c>
      <c r="I414" s="50">
        <v>88591.2</v>
      </c>
      <c r="J414" s="50">
        <f>I414/D413</f>
        <v>24</v>
      </c>
      <c r="K414" s="50">
        <f>22+2</f>
        <v>24</v>
      </c>
    </row>
    <row r="415" spans="1:11" x14ac:dyDescent="0.25">
      <c r="A415" s="215"/>
      <c r="B415" s="215"/>
      <c r="C415" s="223"/>
      <c r="D415" s="224"/>
      <c r="E415" s="224"/>
      <c r="F415" s="225"/>
      <c r="G415" s="215"/>
      <c r="H415" s="57" t="s">
        <v>67</v>
      </c>
      <c r="I415" s="50">
        <v>601439.14</v>
      </c>
      <c r="J415" s="50">
        <f>I415/D413</f>
        <v>162.93</v>
      </c>
      <c r="K415" s="50">
        <v>398</v>
      </c>
    </row>
    <row r="416" spans="1:11" x14ac:dyDescent="0.25">
      <c r="A416" s="215"/>
      <c r="B416" s="215"/>
      <c r="C416" s="223"/>
      <c r="D416" s="224"/>
      <c r="E416" s="224"/>
      <c r="F416" s="225"/>
      <c r="G416" s="215"/>
      <c r="H416" s="57" t="s">
        <v>69</v>
      </c>
      <c r="I416" s="50">
        <f>I415*0.0214</f>
        <v>12870.8</v>
      </c>
      <c r="J416" s="50">
        <f>I416/D413</f>
        <v>3.49</v>
      </c>
      <c r="K416" s="50">
        <v>9</v>
      </c>
    </row>
    <row r="417" spans="1:11" x14ac:dyDescent="0.25">
      <c r="A417" s="215">
        <f>A413+1</f>
        <v>19</v>
      </c>
      <c r="B417" s="215">
        <v>589</v>
      </c>
      <c r="C417" s="223" t="s">
        <v>432</v>
      </c>
      <c r="D417" s="224">
        <v>3398</v>
      </c>
      <c r="E417" s="224" t="s">
        <v>68</v>
      </c>
      <c r="F417" s="225">
        <v>5</v>
      </c>
      <c r="G417" s="215" t="s">
        <v>74</v>
      </c>
      <c r="H417" s="57" t="s">
        <v>66</v>
      </c>
      <c r="I417" s="50">
        <f>I418+I419+I420</f>
        <v>814884.79</v>
      </c>
      <c r="J417" s="50">
        <f>J418+J419+J420</f>
        <v>239.81</v>
      </c>
      <c r="K417" s="50">
        <f>K418+K419+K420</f>
        <v>431</v>
      </c>
    </row>
    <row r="418" spans="1:11" ht="63" x14ac:dyDescent="0.25">
      <c r="A418" s="215"/>
      <c r="B418" s="215"/>
      <c r="C418" s="223"/>
      <c r="D418" s="224"/>
      <c r="E418" s="224"/>
      <c r="F418" s="225"/>
      <c r="G418" s="215"/>
      <c r="H418" s="57" t="s">
        <v>168</v>
      </c>
      <c r="I418" s="50">
        <f>D417*K418</f>
        <v>81552</v>
      </c>
      <c r="J418" s="50">
        <f>I418/D417</f>
        <v>24</v>
      </c>
      <c r="K418" s="50">
        <f>22+2</f>
        <v>24</v>
      </c>
    </row>
    <row r="419" spans="1:11" x14ac:dyDescent="0.25">
      <c r="A419" s="215"/>
      <c r="B419" s="215"/>
      <c r="C419" s="223"/>
      <c r="D419" s="224"/>
      <c r="E419" s="224"/>
      <c r="F419" s="225"/>
      <c r="G419" s="215"/>
      <c r="H419" s="57" t="s">
        <v>67</v>
      </c>
      <c r="I419" s="50">
        <v>717968.27</v>
      </c>
      <c r="J419" s="50">
        <f>I419/D417</f>
        <v>211.29</v>
      </c>
      <c r="K419" s="50">
        <v>398</v>
      </c>
    </row>
    <row r="420" spans="1:11" x14ac:dyDescent="0.25">
      <c r="A420" s="215"/>
      <c r="B420" s="215"/>
      <c r="C420" s="223"/>
      <c r="D420" s="224"/>
      <c r="E420" s="224"/>
      <c r="F420" s="225"/>
      <c r="G420" s="215"/>
      <c r="H420" s="57" t="s">
        <v>69</v>
      </c>
      <c r="I420" s="50">
        <f>I419*0.0214</f>
        <v>15364.52</v>
      </c>
      <c r="J420" s="50">
        <f>I420/D417</f>
        <v>4.5199999999999996</v>
      </c>
      <c r="K420" s="50">
        <v>9</v>
      </c>
    </row>
    <row r="421" spans="1:11" x14ac:dyDescent="0.25">
      <c r="A421" s="215">
        <f>A417+1</f>
        <v>20</v>
      </c>
      <c r="B421" s="215">
        <v>510</v>
      </c>
      <c r="C421" s="223" t="s">
        <v>433</v>
      </c>
      <c r="D421" s="224">
        <v>3566.5</v>
      </c>
      <c r="E421" s="224" t="s">
        <v>64</v>
      </c>
      <c r="F421" s="225">
        <v>5</v>
      </c>
      <c r="G421" s="215" t="s">
        <v>74</v>
      </c>
      <c r="H421" s="57" t="s">
        <v>66</v>
      </c>
      <c r="I421" s="50">
        <f>I422+I423+I424</f>
        <v>874388.74</v>
      </c>
      <c r="J421" s="50">
        <f>J422+J423+J424</f>
        <v>245.17</v>
      </c>
      <c r="K421" s="50">
        <f>K422+K423+K424</f>
        <v>431</v>
      </c>
    </row>
    <row r="422" spans="1:11" ht="63" x14ac:dyDescent="0.25">
      <c r="A422" s="215"/>
      <c r="B422" s="215"/>
      <c r="C422" s="223"/>
      <c r="D422" s="224"/>
      <c r="E422" s="224"/>
      <c r="F422" s="225"/>
      <c r="G422" s="215"/>
      <c r="H422" s="57" t="s">
        <v>168</v>
      </c>
      <c r="I422" s="50">
        <f>D421*K422</f>
        <v>85596</v>
      </c>
      <c r="J422" s="50">
        <f>I422/D421</f>
        <v>24</v>
      </c>
      <c r="K422" s="50">
        <f>22+2</f>
        <v>24</v>
      </c>
    </row>
    <row r="423" spans="1:11" x14ac:dyDescent="0.25">
      <c r="A423" s="215"/>
      <c r="B423" s="215"/>
      <c r="C423" s="223"/>
      <c r="D423" s="224"/>
      <c r="E423" s="224"/>
      <c r="F423" s="225"/>
      <c r="G423" s="215"/>
      <c r="H423" s="57" t="s">
        <v>67</v>
      </c>
      <c r="I423" s="50">
        <v>772266.24</v>
      </c>
      <c r="J423" s="50">
        <f>I423/D421+0.01</f>
        <v>216.54</v>
      </c>
      <c r="K423" s="50">
        <v>398</v>
      </c>
    </row>
    <row r="424" spans="1:11" x14ac:dyDescent="0.25">
      <c r="A424" s="215"/>
      <c r="B424" s="215"/>
      <c r="C424" s="223"/>
      <c r="D424" s="224"/>
      <c r="E424" s="224"/>
      <c r="F424" s="225"/>
      <c r="G424" s="215"/>
      <c r="H424" s="57" t="s">
        <v>69</v>
      </c>
      <c r="I424" s="50">
        <f>I423*0.0214</f>
        <v>16526.5</v>
      </c>
      <c r="J424" s="50">
        <f>I424/D421</f>
        <v>4.63</v>
      </c>
      <c r="K424" s="50">
        <v>9</v>
      </c>
    </row>
    <row r="425" spans="1:11" x14ac:dyDescent="0.25">
      <c r="A425" s="216">
        <f>A421+1</f>
        <v>21</v>
      </c>
      <c r="B425" s="216">
        <v>357</v>
      </c>
      <c r="C425" s="218" t="s">
        <v>127</v>
      </c>
      <c r="D425" s="220">
        <v>2588.5700000000002</v>
      </c>
      <c r="E425" s="220" t="s">
        <v>68</v>
      </c>
      <c r="F425" s="228">
        <v>4</v>
      </c>
      <c r="G425" s="108"/>
      <c r="H425" s="57" t="s">
        <v>66</v>
      </c>
      <c r="I425" s="50">
        <f>I426+I427+I428+I429</f>
        <v>13897524.93</v>
      </c>
      <c r="J425" s="50">
        <f>J426+J427+J428+J429</f>
        <v>5368.8</v>
      </c>
      <c r="K425" s="50">
        <f>K426+K427+K428+K429</f>
        <v>11280</v>
      </c>
    </row>
    <row r="426" spans="1:11" x14ac:dyDescent="0.25">
      <c r="A426" s="217"/>
      <c r="B426" s="217"/>
      <c r="C426" s="219"/>
      <c r="D426" s="221"/>
      <c r="E426" s="221"/>
      <c r="F426" s="229"/>
      <c r="G426" s="216" t="s">
        <v>65</v>
      </c>
      <c r="H426" s="57" t="s">
        <v>67</v>
      </c>
      <c r="I426" s="50">
        <v>7213210.1699999999</v>
      </c>
      <c r="J426" s="50">
        <f>I426/D425</f>
        <v>2786.56</v>
      </c>
      <c r="K426" s="50">
        <v>5036</v>
      </c>
    </row>
    <row r="427" spans="1:11" x14ac:dyDescent="0.25">
      <c r="A427" s="217"/>
      <c r="B427" s="217"/>
      <c r="C427" s="219"/>
      <c r="D427" s="221"/>
      <c r="E427" s="221"/>
      <c r="F427" s="229"/>
      <c r="G427" s="222"/>
      <c r="H427" s="57" t="s">
        <v>69</v>
      </c>
      <c r="I427" s="50">
        <v>154362.70000000001</v>
      </c>
      <c r="J427" s="50">
        <f>I427/D425</f>
        <v>59.63</v>
      </c>
      <c r="K427" s="50">
        <v>108</v>
      </c>
    </row>
    <row r="428" spans="1:11" x14ac:dyDescent="0.25">
      <c r="A428" s="217"/>
      <c r="B428" s="217"/>
      <c r="C428" s="219"/>
      <c r="D428" s="221"/>
      <c r="E428" s="221"/>
      <c r="F428" s="229"/>
      <c r="G428" s="216" t="s">
        <v>75</v>
      </c>
      <c r="H428" s="57" t="s">
        <v>67</v>
      </c>
      <c r="I428" s="50">
        <v>6393138.8899999997</v>
      </c>
      <c r="J428" s="50">
        <f>I428/D425</f>
        <v>2469.7600000000002</v>
      </c>
      <c r="K428" s="50">
        <v>6007</v>
      </c>
    </row>
    <row r="429" spans="1:11" x14ac:dyDescent="0.25">
      <c r="A429" s="217"/>
      <c r="B429" s="217"/>
      <c r="C429" s="219"/>
      <c r="D429" s="221"/>
      <c r="E429" s="221"/>
      <c r="F429" s="229"/>
      <c r="G429" s="217"/>
      <c r="H429" s="57" t="s">
        <v>69</v>
      </c>
      <c r="I429" s="50">
        <v>136813.17000000001</v>
      </c>
      <c r="J429" s="50">
        <f>I429/D425</f>
        <v>52.85</v>
      </c>
      <c r="K429" s="50">
        <v>129</v>
      </c>
    </row>
    <row r="430" spans="1:11" x14ac:dyDescent="0.25">
      <c r="A430" s="215">
        <f>A425+1</f>
        <v>22</v>
      </c>
      <c r="B430" s="215">
        <v>809</v>
      </c>
      <c r="C430" s="223" t="s">
        <v>460</v>
      </c>
      <c r="D430" s="224">
        <v>17398.099999999999</v>
      </c>
      <c r="E430" s="224" t="s">
        <v>68</v>
      </c>
      <c r="F430" s="225">
        <v>10</v>
      </c>
      <c r="G430" s="105"/>
      <c r="H430" s="57" t="s">
        <v>66</v>
      </c>
      <c r="I430" s="50">
        <f>I431+I432+I433+I434+I435+I436</f>
        <v>4671188.8600000003</v>
      </c>
      <c r="J430" s="50">
        <f t="shared" ref="J430:K430" si="14">J431+J432+J433+J434+J435+J436</f>
        <v>268.49</v>
      </c>
      <c r="K430" s="50">
        <f t="shared" si="14"/>
        <v>292.41000000000003</v>
      </c>
    </row>
    <row r="431" spans="1:11" ht="63" x14ac:dyDescent="0.25">
      <c r="A431" s="215"/>
      <c r="B431" s="215"/>
      <c r="C431" s="223"/>
      <c r="D431" s="224"/>
      <c r="E431" s="224"/>
      <c r="F431" s="225"/>
      <c r="G431" s="216" t="s">
        <v>172</v>
      </c>
      <c r="H431" s="57" t="s">
        <v>168</v>
      </c>
      <c r="I431" s="50">
        <v>32281</v>
      </c>
      <c r="J431" s="50">
        <f>I431/D430</f>
        <v>1.86</v>
      </c>
      <c r="K431" s="50">
        <f>32281/D430</f>
        <v>1.86</v>
      </c>
    </row>
    <row r="432" spans="1:11" ht="15.75" customHeight="1" x14ac:dyDescent="0.25">
      <c r="A432" s="215">
        <v>756</v>
      </c>
      <c r="B432" s="215"/>
      <c r="C432" s="223"/>
      <c r="D432" s="224"/>
      <c r="E432" s="224"/>
      <c r="F432" s="225"/>
      <c r="G432" s="217"/>
      <c r="H432" s="57" t="s">
        <v>171</v>
      </c>
      <c r="I432" s="50">
        <v>2255055.25</v>
      </c>
      <c r="J432" s="50">
        <f>I432/D430</f>
        <v>129.62</v>
      </c>
      <c r="K432" s="50">
        <f>2458756/D430</f>
        <v>141.32</v>
      </c>
    </row>
    <row r="433" spans="1:11" x14ac:dyDescent="0.25">
      <c r="A433" s="215">
        <v>757</v>
      </c>
      <c r="B433" s="215"/>
      <c r="C433" s="223"/>
      <c r="D433" s="224"/>
      <c r="E433" s="224"/>
      <c r="F433" s="225"/>
      <c r="G433" s="222"/>
      <c r="H433" s="57" t="s">
        <v>69</v>
      </c>
      <c r="I433" s="50">
        <f>I432*0.0214</f>
        <v>48258.18</v>
      </c>
      <c r="J433" s="50">
        <f>I433/D430</f>
        <v>2.77</v>
      </c>
      <c r="K433" s="50">
        <f>52617/D430</f>
        <v>3.02</v>
      </c>
    </row>
    <row r="434" spans="1:11" ht="63" x14ac:dyDescent="0.25">
      <c r="A434" s="215"/>
      <c r="B434" s="215"/>
      <c r="C434" s="223"/>
      <c r="D434" s="224"/>
      <c r="E434" s="224"/>
      <c r="F434" s="225"/>
      <c r="G434" s="216" t="s">
        <v>444</v>
      </c>
      <c r="H434" s="57" t="s">
        <v>168</v>
      </c>
      <c r="I434" s="50">
        <v>32281</v>
      </c>
      <c r="J434" s="50">
        <f>I434/D430</f>
        <v>1.86</v>
      </c>
      <c r="K434" s="50">
        <f>32281/D430</f>
        <v>1.86</v>
      </c>
    </row>
    <row r="435" spans="1:11" ht="15.75" customHeight="1" x14ac:dyDescent="0.25">
      <c r="A435" s="215"/>
      <c r="B435" s="215"/>
      <c r="C435" s="223"/>
      <c r="D435" s="224"/>
      <c r="E435" s="224"/>
      <c r="F435" s="225"/>
      <c r="G435" s="217"/>
      <c r="H435" s="57" t="s">
        <v>171</v>
      </c>
      <c r="I435" s="50">
        <v>2255055.25</v>
      </c>
      <c r="J435" s="50">
        <f>I435/D430-0.01</f>
        <v>129.61000000000001</v>
      </c>
      <c r="K435" s="50">
        <f>2458756/D430+0.01</f>
        <v>141.33000000000001</v>
      </c>
    </row>
    <row r="436" spans="1:11" x14ac:dyDescent="0.25">
      <c r="A436" s="215"/>
      <c r="B436" s="215"/>
      <c r="C436" s="223"/>
      <c r="D436" s="224"/>
      <c r="E436" s="224"/>
      <c r="F436" s="225"/>
      <c r="G436" s="222"/>
      <c r="H436" s="57" t="s">
        <v>69</v>
      </c>
      <c r="I436" s="50">
        <f>I435*0.0214</f>
        <v>48258.18</v>
      </c>
      <c r="J436" s="50">
        <f>I436/D430</f>
        <v>2.77</v>
      </c>
      <c r="K436" s="50">
        <f>52617/D430</f>
        <v>3.02</v>
      </c>
    </row>
    <row r="437" spans="1:11" x14ac:dyDescent="0.25">
      <c r="A437" s="216">
        <f>A430+1</f>
        <v>23</v>
      </c>
      <c r="B437" s="216">
        <v>572</v>
      </c>
      <c r="C437" s="218" t="s">
        <v>128</v>
      </c>
      <c r="D437" s="220">
        <v>5283.3</v>
      </c>
      <c r="E437" s="220" t="s">
        <v>68</v>
      </c>
      <c r="F437" s="228">
        <v>5</v>
      </c>
      <c r="G437" s="108"/>
      <c r="H437" s="57" t="s">
        <v>66</v>
      </c>
      <c r="I437" s="50">
        <f>I438+I439+I440+I441+I442+I443+I444+I445</f>
        <v>11201779.6</v>
      </c>
      <c r="J437" s="50">
        <f>J438+J439+J440+J441+J442+J443+J444+J445</f>
        <v>2120.2199999999998</v>
      </c>
      <c r="K437" s="50">
        <f>K438+K439+K440+K441+K442+K443+K444+K445</f>
        <v>4074</v>
      </c>
    </row>
    <row r="438" spans="1:11" x14ac:dyDescent="0.25">
      <c r="A438" s="217"/>
      <c r="B438" s="217"/>
      <c r="C438" s="219"/>
      <c r="D438" s="221"/>
      <c r="E438" s="221"/>
      <c r="F438" s="229"/>
      <c r="G438" s="216" t="s">
        <v>77</v>
      </c>
      <c r="H438" s="57" t="s">
        <v>67</v>
      </c>
      <c r="I438" s="50">
        <v>2069484</v>
      </c>
      <c r="J438" s="50">
        <f>I438/D437</f>
        <v>391.7</v>
      </c>
      <c r="K438" s="50">
        <v>641</v>
      </c>
    </row>
    <row r="439" spans="1:11" x14ac:dyDescent="0.25">
      <c r="A439" s="217"/>
      <c r="B439" s="217"/>
      <c r="C439" s="219"/>
      <c r="D439" s="221"/>
      <c r="E439" s="221"/>
      <c r="F439" s="229"/>
      <c r="G439" s="222"/>
      <c r="H439" s="57" t="s">
        <v>69</v>
      </c>
      <c r="I439" s="50">
        <v>44286.96</v>
      </c>
      <c r="J439" s="50">
        <f>I439/D437</f>
        <v>8.3800000000000008</v>
      </c>
      <c r="K439" s="50">
        <v>14</v>
      </c>
    </row>
    <row r="440" spans="1:11" x14ac:dyDescent="0.25">
      <c r="A440" s="217"/>
      <c r="B440" s="217"/>
      <c r="C440" s="219"/>
      <c r="D440" s="221"/>
      <c r="E440" s="221"/>
      <c r="F440" s="229"/>
      <c r="G440" s="216" t="s">
        <v>70</v>
      </c>
      <c r="H440" s="57" t="s">
        <v>67</v>
      </c>
      <c r="I440" s="50">
        <v>6981054</v>
      </c>
      <c r="J440" s="50">
        <f>I440/D437</f>
        <v>1321.34</v>
      </c>
      <c r="K440" s="50">
        <v>2292</v>
      </c>
    </row>
    <row r="441" spans="1:11" x14ac:dyDescent="0.25">
      <c r="A441" s="217"/>
      <c r="B441" s="217"/>
      <c r="C441" s="219"/>
      <c r="D441" s="221"/>
      <c r="E441" s="221"/>
      <c r="F441" s="229"/>
      <c r="G441" s="222"/>
      <c r="H441" s="57" t="s">
        <v>69</v>
      </c>
      <c r="I441" s="50">
        <v>149394.56</v>
      </c>
      <c r="J441" s="50">
        <f>I441/D437</f>
        <v>28.28</v>
      </c>
      <c r="K441" s="50">
        <v>49</v>
      </c>
    </row>
    <row r="442" spans="1:11" x14ac:dyDescent="0.25">
      <c r="A442" s="217"/>
      <c r="B442" s="217"/>
      <c r="C442" s="219"/>
      <c r="D442" s="221"/>
      <c r="E442" s="221"/>
      <c r="F442" s="229"/>
      <c r="G442" s="216" t="s">
        <v>71</v>
      </c>
      <c r="H442" s="57" t="s">
        <v>67</v>
      </c>
      <c r="I442" s="50">
        <v>611114</v>
      </c>
      <c r="J442" s="50">
        <f>I442/D437-0.01</f>
        <v>115.66</v>
      </c>
      <c r="K442" s="50">
        <v>513</v>
      </c>
    </row>
    <row r="443" spans="1:11" x14ac:dyDescent="0.25">
      <c r="A443" s="217"/>
      <c r="B443" s="217"/>
      <c r="C443" s="219"/>
      <c r="D443" s="221"/>
      <c r="E443" s="221"/>
      <c r="F443" s="229"/>
      <c r="G443" s="222"/>
      <c r="H443" s="57" t="s">
        <v>69</v>
      </c>
      <c r="I443" s="50">
        <v>13077.84</v>
      </c>
      <c r="J443" s="50">
        <f>I443/D437</f>
        <v>2.48</v>
      </c>
      <c r="K443" s="50">
        <v>11</v>
      </c>
    </row>
    <row r="444" spans="1:11" x14ac:dyDescent="0.25">
      <c r="A444" s="217"/>
      <c r="B444" s="217"/>
      <c r="C444" s="219"/>
      <c r="D444" s="221"/>
      <c r="E444" s="221"/>
      <c r="F444" s="229"/>
      <c r="G444" s="216" t="s">
        <v>72</v>
      </c>
      <c r="H444" s="57" t="s">
        <v>67</v>
      </c>
      <c r="I444" s="50">
        <v>1305432</v>
      </c>
      <c r="J444" s="50">
        <f>I444/D437</f>
        <v>247.09</v>
      </c>
      <c r="K444" s="50">
        <v>542</v>
      </c>
    </row>
    <row r="445" spans="1:11" x14ac:dyDescent="0.25">
      <c r="A445" s="222"/>
      <c r="B445" s="222"/>
      <c r="C445" s="226"/>
      <c r="D445" s="227"/>
      <c r="E445" s="227"/>
      <c r="F445" s="230"/>
      <c r="G445" s="222"/>
      <c r="H445" s="57" t="s">
        <v>69</v>
      </c>
      <c r="I445" s="50">
        <v>27936.240000000002</v>
      </c>
      <c r="J445" s="50">
        <f>I445/D437</f>
        <v>5.29</v>
      </c>
      <c r="K445" s="50">
        <v>12</v>
      </c>
    </row>
    <row r="446" spans="1:11" ht="15.75" customHeight="1" x14ac:dyDescent="0.25">
      <c r="A446" s="215">
        <f>A437+1</f>
        <v>24</v>
      </c>
      <c r="B446" s="215">
        <v>853</v>
      </c>
      <c r="C446" s="223" t="s">
        <v>446</v>
      </c>
      <c r="D446" s="224">
        <v>9128.6</v>
      </c>
      <c r="E446" s="224" t="s">
        <v>64</v>
      </c>
      <c r="F446" s="225">
        <v>9</v>
      </c>
      <c r="G446" s="105"/>
      <c r="H446" s="57" t="s">
        <v>66</v>
      </c>
      <c r="I446" s="50">
        <f>I447+I448+I449+I450+I451+I452+I453+I454</f>
        <v>7042411.54</v>
      </c>
      <c r="J446" s="50">
        <f>J447+J448+J449+J450+J451+J452+J453+J454</f>
        <v>771.47</v>
      </c>
      <c r="K446" s="50">
        <f>K447+K448+K449+K450+K451+K452+K453+K454</f>
        <v>1003.27</v>
      </c>
    </row>
    <row r="447" spans="1:11" ht="15.75" customHeight="1" x14ac:dyDescent="0.25">
      <c r="A447" s="215">
        <v>756</v>
      </c>
      <c r="B447" s="215"/>
      <c r="C447" s="223"/>
      <c r="D447" s="224"/>
      <c r="E447" s="224"/>
      <c r="F447" s="225"/>
      <c r="G447" s="216" t="s">
        <v>170</v>
      </c>
      <c r="H447" s="57" t="s">
        <v>171</v>
      </c>
      <c r="I447" s="50">
        <f>1358388.9+44953.67+64889.92+260709.54</f>
        <v>1728942.03</v>
      </c>
      <c r="J447" s="50">
        <f>I447/D446</f>
        <v>189.4</v>
      </c>
      <c r="K447" s="50">
        <f>2241647/D446</f>
        <v>245.56</v>
      </c>
    </row>
    <row r="448" spans="1:11" x14ac:dyDescent="0.25">
      <c r="A448" s="215">
        <v>757</v>
      </c>
      <c r="B448" s="215"/>
      <c r="C448" s="223"/>
      <c r="D448" s="224"/>
      <c r="E448" s="224"/>
      <c r="F448" s="225"/>
      <c r="G448" s="222"/>
      <c r="H448" s="57" t="s">
        <v>69</v>
      </c>
      <c r="I448" s="50">
        <v>31660.86</v>
      </c>
      <c r="J448" s="50">
        <f>I448/D446</f>
        <v>3.47</v>
      </c>
      <c r="K448" s="50">
        <f>47971/D446</f>
        <v>5.26</v>
      </c>
    </row>
    <row r="449" spans="1:11" ht="15.75" customHeight="1" x14ac:dyDescent="0.25">
      <c r="A449" s="215"/>
      <c r="B449" s="215"/>
      <c r="C449" s="223"/>
      <c r="D449" s="224"/>
      <c r="E449" s="224"/>
      <c r="F449" s="225"/>
      <c r="G449" s="216" t="s">
        <v>173</v>
      </c>
      <c r="H449" s="57" t="s">
        <v>171</v>
      </c>
      <c r="I449" s="50">
        <f>1358388.9+44953.67+64889.92+260709.53</f>
        <v>1728942.02</v>
      </c>
      <c r="J449" s="50">
        <f>I449/D446-0.01</f>
        <v>189.39</v>
      </c>
      <c r="K449" s="50">
        <f>2241647/D446-0.01</f>
        <v>245.55</v>
      </c>
    </row>
    <row r="450" spans="1:11" x14ac:dyDescent="0.25">
      <c r="A450" s="215"/>
      <c r="B450" s="215"/>
      <c r="C450" s="223"/>
      <c r="D450" s="224"/>
      <c r="E450" s="224"/>
      <c r="F450" s="225"/>
      <c r="G450" s="222"/>
      <c r="H450" s="57" t="s">
        <v>69</v>
      </c>
      <c r="I450" s="50">
        <v>31660.86</v>
      </c>
      <c r="J450" s="50">
        <f>I450/D446</f>
        <v>3.47</v>
      </c>
      <c r="K450" s="50">
        <f>47971/D446</f>
        <v>5.26</v>
      </c>
    </row>
    <row r="451" spans="1:11" ht="15.75" customHeight="1" x14ac:dyDescent="0.25">
      <c r="A451" s="215"/>
      <c r="B451" s="215"/>
      <c r="C451" s="223"/>
      <c r="D451" s="224"/>
      <c r="E451" s="224"/>
      <c r="F451" s="225"/>
      <c r="G451" s="216" t="s">
        <v>174</v>
      </c>
      <c r="H451" s="57" t="s">
        <v>171</v>
      </c>
      <c r="I451" s="50">
        <f>1358388.9+44953.67+64889.92+260709.54</f>
        <v>1728942.03</v>
      </c>
      <c r="J451" s="50">
        <f>I451/D446</f>
        <v>189.4</v>
      </c>
      <c r="K451" s="50">
        <f>2241647/D446</f>
        <v>245.56</v>
      </c>
    </row>
    <row r="452" spans="1:11" x14ac:dyDescent="0.25">
      <c r="A452" s="215"/>
      <c r="B452" s="215"/>
      <c r="C452" s="223"/>
      <c r="D452" s="224"/>
      <c r="E452" s="224"/>
      <c r="F452" s="225"/>
      <c r="G452" s="222"/>
      <c r="H452" s="57" t="s">
        <v>69</v>
      </c>
      <c r="I452" s="50">
        <v>31660.86</v>
      </c>
      <c r="J452" s="50">
        <f>I452/D446</f>
        <v>3.47</v>
      </c>
      <c r="K452" s="50">
        <f>47971/D446</f>
        <v>5.26</v>
      </c>
    </row>
    <row r="453" spans="1:11" ht="15.75" customHeight="1" x14ac:dyDescent="0.25">
      <c r="A453" s="215"/>
      <c r="B453" s="215"/>
      <c r="C453" s="223"/>
      <c r="D453" s="224"/>
      <c r="E453" s="224"/>
      <c r="F453" s="225"/>
      <c r="G453" s="216" t="s">
        <v>175</v>
      </c>
      <c r="H453" s="57" t="s">
        <v>171</v>
      </c>
      <c r="I453" s="50">
        <f>1358388.9+44953.67+64889.92+260709.53</f>
        <v>1728942.02</v>
      </c>
      <c r="J453" s="50">
        <f>I453/D446</f>
        <v>189.4</v>
      </c>
      <c r="K453" s="50">
        <f>2241647/D446</f>
        <v>245.56</v>
      </c>
    </row>
    <row r="454" spans="1:11" x14ac:dyDescent="0.25">
      <c r="A454" s="215"/>
      <c r="B454" s="215"/>
      <c r="C454" s="223"/>
      <c r="D454" s="224"/>
      <c r="E454" s="224"/>
      <c r="F454" s="225"/>
      <c r="G454" s="222"/>
      <c r="H454" s="57" t="s">
        <v>69</v>
      </c>
      <c r="I454" s="50">
        <v>31660.86</v>
      </c>
      <c r="J454" s="50">
        <f>I454/D446</f>
        <v>3.47</v>
      </c>
      <c r="K454" s="50">
        <f>47971/D446</f>
        <v>5.26</v>
      </c>
    </row>
    <row r="455" spans="1:11" x14ac:dyDescent="0.25">
      <c r="A455" s="216">
        <f>A446+1</f>
        <v>25</v>
      </c>
      <c r="B455" s="216">
        <v>774</v>
      </c>
      <c r="C455" s="218" t="s">
        <v>96</v>
      </c>
      <c r="D455" s="220">
        <v>14583.46</v>
      </c>
      <c r="E455" s="220" t="s">
        <v>68</v>
      </c>
      <c r="F455" s="228">
        <v>9</v>
      </c>
      <c r="G455" s="108"/>
      <c r="H455" s="57" t="s">
        <v>66</v>
      </c>
      <c r="I455" s="50">
        <f>I456+I457+I458+I459+I460+I461</f>
        <v>29286013.260000002</v>
      </c>
      <c r="J455" s="50">
        <f>J456+J457+J458+J459+J460+J461</f>
        <v>2008.17</v>
      </c>
      <c r="K455" s="50">
        <f>K456+K457+K458+K459+K460+K461</f>
        <v>2706</v>
      </c>
    </row>
    <row r="456" spans="1:11" x14ac:dyDescent="0.25">
      <c r="A456" s="217"/>
      <c r="B456" s="217"/>
      <c r="C456" s="219"/>
      <c r="D456" s="217"/>
      <c r="E456" s="221"/>
      <c r="F456" s="229"/>
      <c r="G456" s="216" t="s">
        <v>70</v>
      </c>
      <c r="H456" s="57" t="s">
        <v>67</v>
      </c>
      <c r="I456" s="50">
        <v>22088419.190000001</v>
      </c>
      <c r="J456" s="50">
        <f>I456/D455+0.01</f>
        <v>1514.63</v>
      </c>
      <c r="K456" s="50">
        <v>1594</v>
      </c>
    </row>
    <row r="457" spans="1:11" x14ac:dyDescent="0.25">
      <c r="A457" s="217"/>
      <c r="B457" s="217"/>
      <c r="C457" s="219"/>
      <c r="D457" s="217"/>
      <c r="E457" s="221"/>
      <c r="F457" s="229"/>
      <c r="G457" s="222"/>
      <c r="H457" s="57" t="s">
        <v>69</v>
      </c>
      <c r="I457" s="50">
        <f>I456*0.0214</f>
        <v>472692.17</v>
      </c>
      <c r="J457" s="50">
        <f>I457/D455</f>
        <v>32.409999999999997</v>
      </c>
      <c r="K457" s="50">
        <v>34</v>
      </c>
    </row>
    <row r="458" spans="1:11" x14ac:dyDescent="0.25">
      <c r="A458" s="217"/>
      <c r="B458" s="217"/>
      <c r="C458" s="219"/>
      <c r="D458" s="217"/>
      <c r="E458" s="221"/>
      <c r="F458" s="229"/>
      <c r="G458" s="216" t="s">
        <v>71</v>
      </c>
      <c r="H458" s="57" t="s">
        <v>67</v>
      </c>
      <c r="I458" s="50">
        <v>3429095.81</v>
      </c>
      <c r="J458" s="50">
        <f>I458/D455</f>
        <v>235.14</v>
      </c>
      <c r="K458" s="50">
        <v>513</v>
      </c>
    </row>
    <row r="459" spans="1:11" x14ac:dyDescent="0.25">
      <c r="A459" s="217"/>
      <c r="B459" s="217"/>
      <c r="C459" s="219"/>
      <c r="D459" s="217"/>
      <c r="E459" s="221"/>
      <c r="F459" s="229"/>
      <c r="G459" s="222"/>
      <c r="H459" s="57" t="s">
        <v>69</v>
      </c>
      <c r="I459" s="50">
        <f>I458*0.0214</f>
        <v>73382.649999999994</v>
      </c>
      <c r="J459" s="50">
        <f>I459/D455</f>
        <v>5.03</v>
      </c>
      <c r="K459" s="50">
        <v>11</v>
      </c>
    </row>
    <row r="460" spans="1:11" x14ac:dyDescent="0.25">
      <c r="A460" s="217"/>
      <c r="B460" s="217"/>
      <c r="C460" s="219"/>
      <c r="D460" s="217"/>
      <c r="E460" s="221"/>
      <c r="F460" s="229"/>
      <c r="G460" s="216" t="s">
        <v>72</v>
      </c>
      <c r="H460" s="57" t="s">
        <v>67</v>
      </c>
      <c r="I460" s="50">
        <v>3154908.4</v>
      </c>
      <c r="J460" s="50">
        <f>I460/D455</f>
        <v>216.33</v>
      </c>
      <c r="K460" s="50">
        <v>542</v>
      </c>
    </row>
    <row r="461" spans="1:11" x14ac:dyDescent="0.25">
      <c r="A461" s="222"/>
      <c r="B461" s="222"/>
      <c r="C461" s="226"/>
      <c r="D461" s="222"/>
      <c r="E461" s="227"/>
      <c r="F461" s="230"/>
      <c r="G461" s="222"/>
      <c r="H461" s="57" t="s">
        <v>69</v>
      </c>
      <c r="I461" s="50">
        <f>I460*0.0214</f>
        <v>67515.039999999994</v>
      </c>
      <c r="J461" s="50">
        <f>I461/D455</f>
        <v>4.63</v>
      </c>
      <c r="K461" s="50">
        <v>12</v>
      </c>
    </row>
    <row r="462" spans="1:11" x14ac:dyDescent="0.25">
      <c r="A462" s="216">
        <f>A455+1</f>
        <v>26</v>
      </c>
      <c r="B462" s="216">
        <v>453</v>
      </c>
      <c r="C462" s="218" t="s">
        <v>98</v>
      </c>
      <c r="D462" s="220">
        <v>2382.92</v>
      </c>
      <c r="E462" s="220" t="s">
        <v>68</v>
      </c>
      <c r="F462" s="228">
        <v>5</v>
      </c>
      <c r="G462" s="216" t="s">
        <v>65</v>
      </c>
      <c r="H462" s="57" t="s">
        <v>66</v>
      </c>
      <c r="I462" s="50">
        <f>I463+I464</f>
        <v>4950299.2</v>
      </c>
      <c r="J462" s="50">
        <f>J463+J464</f>
        <v>2077.41</v>
      </c>
      <c r="K462" s="50">
        <f>K463+K464</f>
        <v>3878</v>
      </c>
    </row>
    <row r="463" spans="1:11" x14ac:dyDescent="0.25">
      <c r="A463" s="217"/>
      <c r="B463" s="217"/>
      <c r="C463" s="219"/>
      <c r="D463" s="217"/>
      <c r="E463" s="221"/>
      <c r="F463" s="229"/>
      <c r="G463" s="217"/>
      <c r="H463" s="57" t="s">
        <v>67</v>
      </c>
      <c r="I463" s="50">
        <v>4846582.34</v>
      </c>
      <c r="J463" s="50">
        <f>I463/D462</f>
        <v>2033.88</v>
      </c>
      <c r="K463" s="50">
        <v>3797</v>
      </c>
    </row>
    <row r="464" spans="1:11" x14ac:dyDescent="0.25">
      <c r="A464" s="217"/>
      <c r="B464" s="217"/>
      <c r="C464" s="219"/>
      <c r="D464" s="217"/>
      <c r="E464" s="221"/>
      <c r="F464" s="229"/>
      <c r="G464" s="222"/>
      <c r="H464" s="57" t="s">
        <v>69</v>
      </c>
      <c r="I464" s="50">
        <v>103716.86</v>
      </c>
      <c r="J464" s="50">
        <f>I464/D462</f>
        <v>43.53</v>
      </c>
      <c r="K464" s="50">
        <v>81</v>
      </c>
    </row>
    <row r="465" spans="1:11" ht="15.75" customHeight="1" x14ac:dyDescent="0.25">
      <c r="A465" s="215">
        <f>A462+1</f>
        <v>27</v>
      </c>
      <c r="B465" s="215">
        <v>157</v>
      </c>
      <c r="C465" s="223" t="s">
        <v>596</v>
      </c>
      <c r="D465" s="224">
        <v>482.4</v>
      </c>
      <c r="E465" s="224" t="s">
        <v>73</v>
      </c>
      <c r="F465" s="225">
        <v>2</v>
      </c>
      <c r="G465" s="215" t="s">
        <v>74</v>
      </c>
      <c r="H465" s="57" t="s">
        <v>66</v>
      </c>
      <c r="I465" s="50">
        <f>I466</f>
        <v>35215.199999999997</v>
      </c>
      <c r="J465" s="50">
        <f>J466</f>
        <v>73</v>
      </c>
      <c r="K465" s="50">
        <f>K466</f>
        <v>73</v>
      </c>
    </row>
    <row r="466" spans="1:11" ht="47.25" customHeight="1" x14ac:dyDescent="0.25">
      <c r="A466" s="215"/>
      <c r="B466" s="215"/>
      <c r="C466" s="223"/>
      <c r="D466" s="224"/>
      <c r="E466" s="224"/>
      <c r="F466" s="225"/>
      <c r="G466" s="215"/>
      <c r="H466" s="57" t="s">
        <v>168</v>
      </c>
      <c r="I466" s="50">
        <f>D465*K466</f>
        <v>35215.199999999997</v>
      </c>
      <c r="J466" s="50">
        <f>I466/D465</f>
        <v>73</v>
      </c>
      <c r="K466" s="50">
        <f>60+13</f>
        <v>73</v>
      </c>
    </row>
    <row r="467" spans="1:11" x14ac:dyDescent="0.25">
      <c r="A467" s="216">
        <f>A465+1</f>
        <v>28</v>
      </c>
      <c r="B467" s="216">
        <v>850</v>
      </c>
      <c r="C467" s="218" t="s">
        <v>99</v>
      </c>
      <c r="D467" s="220">
        <v>1771.5</v>
      </c>
      <c r="E467" s="220" t="s">
        <v>68</v>
      </c>
      <c r="F467" s="228">
        <v>6</v>
      </c>
      <c r="G467" s="108"/>
      <c r="H467" s="57" t="s">
        <v>66</v>
      </c>
      <c r="I467" s="50">
        <f>I468+I469+I470+I471+I472+I473+I474+I475</f>
        <v>5954464.9000000004</v>
      </c>
      <c r="J467" s="50">
        <f>J468+J469+J470+J471+J472+J473+J474+J475</f>
        <v>3361.26</v>
      </c>
      <c r="K467" s="50">
        <f>K468+K469+K470+K471+K472+K473+K474+K475</f>
        <v>5349</v>
      </c>
    </row>
    <row r="468" spans="1:11" x14ac:dyDescent="0.25">
      <c r="A468" s="217"/>
      <c r="B468" s="217"/>
      <c r="C468" s="219"/>
      <c r="D468" s="217"/>
      <c r="E468" s="221"/>
      <c r="F468" s="229"/>
      <c r="G468" s="216" t="s">
        <v>70</v>
      </c>
      <c r="H468" s="57" t="s">
        <v>67</v>
      </c>
      <c r="I468" s="50">
        <v>3964525.3</v>
      </c>
      <c r="J468" s="50">
        <f>I468/D467</f>
        <v>2237.9499999999998</v>
      </c>
      <c r="K468" s="50">
        <v>2911</v>
      </c>
    </row>
    <row r="469" spans="1:11" x14ac:dyDescent="0.25">
      <c r="A469" s="217"/>
      <c r="B469" s="217"/>
      <c r="C469" s="219"/>
      <c r="D469" s="217"/>
      <c r="E469" s="221"/>
      <c r="F469" s="229"/>
      <c r="G469" s="222"/>
      <c r="H469" s="57" t="s">
        <v>69</v>
      </c>
      <c r="I469" s="50">
        <f>I468*0.0214</f>
        <v>84840.84</v>
      </c>
      <c r="J469" s="50">
        <f>I469/D467</f>
        <v>47.89</v>
      </c>
      <c r="K469" s="50">
        <v>62</v>
      </c>
    </row>
    <row r="470" spans="1:11" x14ac:dyDescent="0.25">
      <c r="A470" s="217"/>
      <c r="B470" s="217"/>
      <c r="C470" s="219"/>
      <c r="D470" s="217"/>
      <c r="E470" s="221"/>
      <c r="F470" s="229"/>
      <c r="G470" s="216" t="s">
        <v>71</v>
      </c>
      <c r="H470" s="57" t="s">
        <v>67</v>
      </c>
      <c r="I470" s="50">
        <v>658105.81999999995</v>
      </c>
      <c r="J470" s="50">
        <f>I470/D467</f>
        <v>371.5</v>
      </c>
      <c r="K470" s="50">
        <v>513</v>
      </c>
    </row>
    <row r="471" spans="1:11" x14ac:dyDescent="0.25">
      <c r="A471" s="217"/>
      <c r="B471" s="217"/>
      <c r="C471" s="219"/>
      <c r="D471" s="217"/>
      <c r="E471" s="221"/>
      <c r="F471" s="229"/>
      <c r="G471" s="222"/>
      <c r="H471" s="57" t="s">
        <v>69</v>
      </c>
      <c r="I471" s="50">
        <f>I470*0.0214</f>
        <v>14083.46</v>
      </c>
      <c r="J471" s="50">
        <f>I471/D467</f>
        <v>7.95</v>
      </c>
      <c r="K471" s="50">
        <v>11</v>
      </c>
    </row>
    <row r="472" spans="1:11" x14ac:dyDescent="0.25">
      <c r="A472" s="217"/>
      <c r="B472" s="217"/>
      <c r="C472" s="219"/>
      <c r="D472" s="217"/>
      <c r="E472" s="221"/>
      <c r="F472" s="229"/>
      <c r="G472" s="216" t="s">
        <v>72</v>
      </c>
      <c r="H472" s="57" t="s">
        <v>67</v>
      </c>
      <c r="I472" s="50">
        <v>945750.71</v>
      </c>
      <c r="J472" s="50">
        <f>I472/D467</f>
        <v>533.87</v>
      </c>
      <c r="K472" s="50">
        <v>542</v>
      </c>
    </row>
    <row r="473" spans="1:11" x14ac:dyDescent="0.25">
      <c r="A473" s="217"/>
      <c r="B473" s="217"/>
      <c r="C473" s="219"/>
      <c r="D473" s="217"/>
      <c r="E473" s="221"/>
      <c r="F473" s="229"/>
      <c r="G473" s="222"/>
      <c r="H473" s="57" t="s">
        <v>69</v>
      </c>
      <c r="I473" s="50">
        <f>I472*0.0214</f>
        <v>20239.07</v>
      </c>
      <c r="J473" s="50">
        <f>I473/D467</f>
        <v>11.42</v>
      </c>
      <c r="K473" s="50">
        <v>12</v>
      </c>
    </row>
    <row r="474" spans="1:11" x14ac:dyDescent="0.25">
      <c r="A474" s="217"/>
      <c r="B474" s="217"/>
      <c r="C474" s="219"/>
      <c r="D474" s="217"/>
      <c r="E474" s="221"/>
      <c r="F474" s="229"/>
      <c r="G474" s="216" t="s">
        <v>176</v>
      </c>
      <c r="H474" s="57" t="s">
        <v>177</v>
      </c>
      <c r="I474" s="50">
        <v>261327.3</v>
      </c>
      <c r="J474" s="50">
        <f>I474/D467</f>
        <v>147.52000000000001</v>
      </c>
      <c r="K474" s="50">
        <v>1271</v>
      </c>
    </row>
    <row r="475" spans="1:11" x14ac:dyDescent="0.25">
      <c r="A475" s="222"/>
      <c r="B475" s="222"/>
      <c r="C475" s="226"/>
      <c r="D475" s="222"/>
      <c r="E475" s="227"/>
      <c r="F475" s="230"/>
      <c r="G475" s="222"/>
      <c r="H475" s="57" t="s">
        <v>69</v>
      </c>
      <c r="I475" s="50">
        <f>I474*0.0214</f>
        <v>5592.4</v>
      </c>
      <c r="J475" s="50">
        <f>I475/D467</f>
        <v>3.16</v>
      </c>
      <c r="K475" s="50">
        <v>27</v>
      </c>
    </row>
    <row r="476" spans="1:11" x14ac:dyDescent="0.25">
      <c r="A476" s="216">
        <f>A467+1</f>
        <v>29</v>
      </c>
      <c r="B476" s="216">
        <v>987</v>
      </c>
      <c r="C476" s="218" t="s">
        <v>361</v>
      </c>
      <c r="D476" s="220">
        <v>2713.5</v>
      </c>
      <c r="E476" s="220" t="s">
        <v>68</v>
      </c>
      <c r="F476" s="228">
        <v>9</v>
      </c>
      <c r="G476" s="108"/>
      <c r="H476" s="57" t="s">
        <v>66</v>
      </c>
      <c r="I476" s="50">
        <f>I477+I478+I479+I480</f>
        <v>2221062.4900000002</v>
      </c>
      <c r="J476" s="50">
        <f>J477+J478+J479+J480</f>
        <v>818.52</v>
      </c>
      <c r="K476" s="50">
        <f>K477+K478+K479+K480</f>
        <v>1019.69</v>
      </c>
    </row>
    <row r="477" spans="1:11" ht="63" x14ac:dyDescent="0.25">
      <c r="A477" s="217"/>
      <c r="B477" s="217"/>
      <c r="C477" s="219"/>
      <c r="D477" s="217"/>
      <c r="E477" s="221"/>
      <c r="F477" s="229"/>
      <c r="G477" s="102" t="s">
        <v>65</v>
      </c>
      <c r="H477" s="57" t="s">
        <v>168</v>
      </c>
      <c r="I477" s="50">
        <v>300335.17</v>
      </c>
      <c r="J477" s="50">
        <f>I477/D476</f>
        <v>110.68</v>
      </c>
      <c r="K477" s="50">
        <f>151+13</f>
        <v>164</v>
      </c>
    </row>
    <row r="478" spans="1:11" ht="63" x14ac:dyDescent="0.25">
      <c r="A478" s="217"/>
      <c r="B478" s="217"/>
      <c r="C478" s="219"/>
      <c r="D478" s="217"/>
      <c r="E478" s="221"/>
      <c r="F478" s="229"/>
      <c r="G478" s="216" t="s">
        <v>170</v>
      </c>
      <c r="H478" s="57" t="s">
        <v>168</v>
      </c>
      <c r="I478" s="50">
        <v>22681</v>
      </c>
      <c r="J478" s="50">
        <f>I478/D476</f>
        <v>8.36</v>
      </c>
      <c r="K478" s="50">
        <f>32281/D476</f>
        <v>11.9</v>
      </c>
    </row>
    <row r="479" spans="1:11" x14ac:dyDescent="0.25">
      <c r="A479" s="217"/>
      <c r="B479" s="217"/>
      <c r="C479" s="219"/>
      <c r="D479" s="217"/>
      <c r="E479" s="221"/>
      <c r="F479" s="229"/>
      <c r="G479" s="217"/>
      <c r="H479" s="57" t="s">
        <v>171</v>
      </c>
      <c r="I479" s="50">
        <v>1882983.32</v>
      </c>
      <c r="J479" s="50">
        <f>I479/D476</f>
        <v>693.93</v>
      </c>
      <c r="K479" s="50">
        <f>2241647/D476</f>
        <v>826.11</v>
      </c>
    </row>
    <row r="480" spans="1:11" x14ac:dyDescent="0.25">
      <c r="A480" s="222"/>
      <c r="B480" s="222"/>
      <c r="C480" s="226"/>
      <c r="D480" s="222"/>
      <c r="E480" s="227"/>
      <c r="F480" s="230"/>
      <c r="G480" s="222"/>
      <c r="H480" s="57" t="s">
        <v>69</v>
      </c>
      <c r="I480" s="50">
        <v>15063</v>
      </c>
      <c r="J480" s="50">
        <f>I480/D476</f>
        <v>5.55</v>
      </c>
      <c r="K480" s="50">
        <f>47971/D476</f>
        <v>17.68</v>
      </c>
    </row>
    <row r="481" spans="1:11" x14ac:dyDescent="0.25">
      <c r="A481" s="215">
        <f>A476+1</f>
        <v>30</v>
      </c>
      <c r="B481" s="215">
        <v>555</v>
      </c>
      <c r="C481" s="223" t="s">
        <v>100</v>
      </c>
      <c r="D481" s="224">
        <v>2510.5</v>
      </c>
      <c r="E481" s="224" t="s">
        <v>68</v>
      </c>
      <c r="F481" s="225">
        <v>5</v>
      </c>
      <c r="G481" s="215" t="s">
        <v>74</v>
      </c>
      <c r="H481" s="57" t="s">
        <v>66</v>
      </c>
      <c r="I481" s="50">
        <f>I482+I483</f>
        <v>723771</v>
      </c>
      <c r="J481" s="50">
        <f>J482+J483</f>
        <v>288.3</v>
      </c>
      <c r="K481" s="50">
        <f>K482+K483</f>
        <v>362</v>
      </c>
    </row>
    <row r="482" spans="1:11" x14ac:dyDescent="0.25">
      <c r="A482" s="215">
        <v>75</v>
      </c>
      <c r="B482" s="215"/>
      <c r="C482" s="223"/>
      <c r="D482" s="224"/>
      <c r="E482" s="224"/>
      <c r="F482" s="225"/>
      <c r="G482" s="215"/>
      <c r="H482" s="57" t="s">
        <v>67</v>
      </c>
      <c r="I482" s="50">
        <v>708708</v>
      </c>
      <c r="J482" s="50">
        <f>I482/D481</f>
        <v>282.3</v>
      </c>
      <c r="K482" s="50">
        <v>354</v>
      </c>
    </row>
    <row r="483" spans="1:11" x14ac:dyDescent="0.25">
      <c r="A483" s="215"/>
      <c r="B483" s="215"/>
      <c r="C483" s="223"/>
      <c r="D483" s="224"/>
      <c r="E483" s="224"/>
      <c r="F483" s="225"/>
      <c r="G483" s="215"/>
      <c r="H483" s="57" t="s">
        <v>69</v>
      </c>
      <c r="I483" s="50">
        <v>15063</v>
      </c>
      <c r="J483" s="50">
        <f>I483/D481</f>
        <v>6</v>
      </c>
      <c r="K483" s="50">
        <v>8</v>
      </c>
    </row>
    <row r="484" spans="1:11" x14ac:dyDescent="0.25">
      <c r="A484" s="216">
        <f>A481+1</f>
        <v>31</v>
      </c>
      <c r="B484" s="216">
        <v>601</v>
      </c>
      <c r="C484" s="218" t="s">
        <v>129</v>
      </c>
      <c r="D484" s="220">
        <v>2902</v>
      </c>
      <c r="E484" s="220" t="s">
        <v>68</v>
      </c>
      <c r="F484" s="228">
        <v>5</v>
      </c>
      <c r="G484" s="108"/>
      <c r="H484" s="57" t="s">
        <v>66</v>
      </c>
      <c r="I484" s="50">
        <f>I485+I486+I487+I488+I489+I490+I491+I492</f>
        <v>9311103.7400000002</v>
      </c>
      <c r="J484" s="50">
        <f>J485+J486+J487+J488+J489+J490+J491+J492</f>
        <v>3208.51</v>
      </c>
      <c r="K484" s="50">
        <f>K485+K486+K487+K488+K489+K490+K491+K492</f>
        <v>4706</v>
      </c>
    </row>
    <row r="485" spans="1:11" x14ac:dyDescent="0.25">
      <c r="A485" s="217"/>
      <c r="B485" s="217"/>
      <c r="C485" s="219"/>
      <c r="D485" s="221"/>
      <c r="E485" s="221"/>
      <c r="F485" s="229"/>
      <c r="G485" s="216" t="s">
        <v>77</v>
      </c>
      <c r="H485" s="57" t="s">
        <v>67</v>
      </c>
      <c r="I485" s="50">
        <v>1320033.8899999999</v>
      </c>
      <c r="J485" s="50">
        <f>I485/D484</f>
        <v>454.87</v>
      </c>
      <c r="K485" s="50">
        <v>641</v>
      </c>
    </row>
    <row r="486" spans="1:11" x14ac:dyDescent="0.25">
      <c r="A486" s="217"/>
      <c r="B486" s="217"/>
      <c r="C486" s="219"/>
      <c r="D486" s="221"/>
      <c r="E486" s="221"/>
      <c r="F486" s="229"/>
      <c r="G486" s="222"/>
      <c r="H486" s="57" t="s">
        <v>69</v>
      </c>
      <c r="I486" s="50">
        <v>28248.73</v>
      </c>
      <c r="J486" s="50">
        <f>I486/D484</f>
        <v>9.73</v>
      </c>
      <c r="K486" s="50">
        <v>14</v>
      </c>
    </row>
    <row r="487" spans="1:11" x14ac:dyDescent="0.25">
      <c r="A487" s="217"/>
      <c r="B487" s="217"/>
      <c r="C487" s="219"/>
      <c r="D487" s="221"/>
      <c r="E487" s="221"/>
      <c r="F487" s="229"/>
      <c r="G487" s="216" t="s">
        <v>70</v>
      </c>
      <c r="H487" s="57" t="s">
        <v>67</v>
      </c>
      <c r="I487" s="50">
        <v>6353829</v>
      </c>
      <c r="J487" s="50">
        <f>I487/D484-0.01</f>
        <v>2189.46</v>
      </c>
      <c r="K487" s="50">
        <v>2911</v>
      </c>
    </row>
    <row r="488" spans="1:11" x14ac:dyDescent="0.25">
      <c r="A488" s="217"/>
      <c r="B488" s="217"/>
      <c r="C488" s="219"/>
      <c r="D488" s="221"/>
      <c r="E488" s="221"/>
      <c r="F488" s="229"/>
      <c r="G488" s="222"/>
      <c r="H488" s="57" t="s">
        <v>69</v>
      </c>
      <c r="I488" s="50">
        <v>135971.94</v>
      </c>
      <c r="J488" s="50">
        <f>I488/D484</f>
        <v>46.85</v>
      </c>
      <c r="K488" s="50">
        <v>62</v>
      </c>
    </row>
    <row r="489" spans="1:11" x14ac:dyDescent="0.25">
      <c r="A489" s="217"/>
      <c r="B489" s="217"/>
      <c r="C489" s="219"/>
      <c r="D489" s="221"/>
      <c r="E489" s="221"/>
      <c r="F489" s="229"/>
      <c r="G489" s="216" t="s">
        <v>71</v>
      </c>
      <c r="H489" s="57" t="s">
        <v>67</v>
      </c>
      <c r="I489" s="50">
        <v>473193</v>
      </c>
      <c r="J489" s="50">
        <f>I489/D484</f>
        <v>163.06</v>
      </c>
      <c r="K489" s="50">
        <v>513</v>
      </c>
    </row>
    <row r="490" spans="1:11" x14ac:dyDescent="0.25">
      <c r="A490" s="217"/>
      <c r="B490" s="217"/>
      <c r="C490" s="219"/>
      <c r="D490" s="221"/>
      <c r="E490" s="221"/>
      <c r="F490" s="229"/>
      <c r="G490" s="222"/>
      <c r="H490" s="57" t="s">
        <v>69</v>
      </c>
      <c r="I490" s="50">
        <v>10126.33</v>
      </c>
      <c r="J490" s="50">
        <f>I490/D484</f>
        <v>3.49</v>
      </c>
      <c r="K490" s="50">
        <v>11</v>
      </c>
    </row>
    <row r="491" spans="1:11" x14ac:dyDescent="0.25">
      <c r="A491" s="217"/>
      <c r="B491" s="217"/>
      <c r="C491" s="219"/>
      <c r="D491" s="221"/>
      <c r="E491" s="221"/>
      <c r="F491" s="229"/>
      <c r="G491" s="216" t="s">
        <v>72</v>
      </c>
      <c r="H491" s="57" t="s">
        <v>67</v>
      </c>
      <c r="I491" s="50">
        <v>968965</v>
      </c>
      <c r="J491" s="50">
        <f>I491/D484</f>
        <v>333.9</v>
      </c>
      <c r="K491" s="50">
        <v>542</v>
      </c>
    </row>
    <row r="492" spans="1:11" x14ac:dyDescent="0.25">
      <c r="A492" s="222"/>
      <c r="B492" s="222"/>
      <c r="C492" s="226"/>
      <c r="D492" s="227"/>
      <c r="E492" s="227"/>
      <c r="F492" s="230"/>
      <c r="G492" s="222"/>
      <c r="H492" s="57" t="s">
        <v>69</v>
      </c>
      <c r="I492" s="50">
        <v>20735.849999999999</v>
      </c>
      <c r="J492" s="50">
        <f>I492/D484</f>
        <v>7.15</v>
      </c>
      <c r="K492" s="50">
        <v>12</v>
      </c>
    </row>
    <row r="493" spans="1:11" ht="15.75" customHeight="1" x14ac:dyDescent="0.25">
      <c r="A493" s="215">
        <f>A484+1</f>
        <v>32</v>
      </c>
      <c r="B493" s="215">
        <v>119</v>
      </c>
      <c r="C493" s="223" t="s">
        <v>597</v>
      </c>
      <c r="D493" s="224">
        <v>811.7</v>
      </c>
      <c r="E493" s="224" t="s">
        <v>73</v>
      </c>
      <c r="F493" s="225">
        <v>3</v>
      </c>
      <c r="G493" s="215" t="s">
        <v>74</v>
      </c>
      <c r="H493" s="57" t="s">
        <v>66</v>
      </c>
      <c r="I493" s="50">
        <f>I494</f>
        <v>59254.1</v>
      </c>
      <c r="J493" s="50">
        <f>J494</f>
        <v>73</v>
      </c>
      <c r="K493" s="50">
        <f>K494</f>
        <v>73</v>
      </c>
    </row>
    <row r="494" spans="1:11" ht="47.25" customHeight="1" x14ac:dyDescent="0.25">
      <c r="A494" s="215"/>
      <c r="B494" s="215"/>
      <c r="C494" s="223"/>
      <c r="D494" s="224"/>
      <c r="E494" s="224"/>
      <c r="F494" s="225"/>
      <c r="G494" s="215"/>
      <c r="H494" s="57" t="s">
        <v>168</v>
      </c>
      <c r="I494" s="50">
        <f>D493*K494</f>
        <v>59254.1</v>
      </c>
      <c r="J494" s="50">
        <f>I494/D493</f>
        <v>73</v>
      </c>
      <c r="K494" s="50">
        <f>60+13</f>
        <v>73</v>
      </c>
    </row>
    <row r="495" spans="1:11" ht="15.75" customHeight="1" x14ac:dyDescent="0.25">
      <c r="A495" s="216">
        <f>A493+1</f>
        <v>33</v>
      </c>
      <c r="B495" s="216">
        <v>888</v>
      </c>
      <c r="C495" s="218" t="s">
        <v>598</v>
      </c>
      <c r="D495" s="220">
        <v>3557.4</v>
      </c>
      <c r="E495" s="216" t="s">
        <v>68</v>
      </c>
      <c r="F495" s="216">
        <v>9</v>
      </c>
      <c r="G495" s="105"/>
      <c r="H495" s="57" t="s">
        <v>66</v>
      </c>
      <c r="I495" s="50">
        <f>I496+I497</f>
        <v>64562</v>
      </c>
      <c r="J495" s="50">
        <f>J496+J497</f>
        <v>18.149999999999999</v>
      </c>
      <c r="K495" s="50">
        <f>K496+K497</f>
        <v>18.149999999999999</v>
      </c>
    </row>
    <row r="496" spans="1:11" ht="47.25" customHeight="1" x14ac:dyDescent="0.25">
      <c r="A496" s="217"/>
      <c r="B496" s="217"/>
      <c r="C496" s="219"/>
      <c r="D496" s="221"/>
      <c r="E496" s="217"/>
      <c r="F496" s="217"/>
      <c r="G496" s="102" t="s">
        <v>170</v>
      </c>
      <c r="H496" s="57" t="s">
        <v>168</v>
      </c>
      <c r="I496" s="50">
        <f>22681+9600</f>
        <v>32281</v>
      </c>
      <c r="J496" s="50">
        <f>I496/D495+0.01</f>
        <v>9.08</v>
      </c>
      <c r="K496" s="50">
        <f>32281/D495+0.01</f>
        <v>9.08</v>
      </c>
    </row>
    <row r="497" spans="1:11" ht="47.25" customHeight="1" x14ac:dyDescent="0.25">
      <c r="A497" s="217"/>
      <c r="B497" s="217"/>
      <c r="C497" s="219"/>
      <c r="D497" s="221"/>
      <c r="E497" s="217"/>
      <c r="F497" s="217"/>
      <c r="G497" s="102" t="s">
        <v>173</v>
      </c>
      <c r="H497" s="57" t="s">
        <v>168</v>
      </c>
      <c r="I497" s="50">
        <f>22681+9600</f>
        <v>32281</v>
      </c>
      <c r="J497" s="50">
        <f>I497/D495</f>
        <v>9.07</v>
      </c>
      <c r="K497" s="50">
        <f>32281/D495</f>
        <v>9.07</v>
      </c>
    </row>
    <row r="498" spans="1:11" x14ac:dyDescent="0.25">
      <c r="A498" s="215">
        <f>A495+1</f>
        <v>34</v>
      </c>
      <c r="B498" s="215">
        <v>1804</v>
      </c>
      <c r="C498" s="223" t="s">
        <v>494</v>
      </c>
      <c r="D498" s="224">
        <v>7304.76</v>
      </c>
      <c r="E498" s="224" t="s">
        <v>68</v>
      </c>
      <c r="F498" s="225">
        <v>10</v>
      </c>
      <c r="G498" s="105"/>
      <c r="H498" s="57" t="s">
        <v>66</v>
      </c>
      <c r="I498" s="50">
        <f>I499+I500+I501+I502+I503+I504+I505+I506+I507</f>
        <v>6936897.2400000002</v>
      </c>
      <c r="J498" s="50">
        <f t="shared" ref="J498:K498" si="15">J499+J500+J501+J502+J503+J504+J505+J506+J507</f>
        <v>949.64</v>
      </c>
      <c r="K498" s="50">
        <f t="shared" si="15"/>
        <v>1044.6600000000001</v>
      </c>
    </row>
    <row r="499" spans="1:11" ht="63" x14ac:dyDescent="0.25">
      <c r="A499" s="215"/>
      <c r="B499" s="215"/>
      <c r="C499" s="223"/>
      <c r="D499" s="224"/>
      <c r="E499" s="224"/>
      <c r="F499" s="225"/>
      <c r="G499" s="216" t="s">
        <v>170</v>
      </c>
      <c r="H499" s="57" t="s">
        <v>168</v>
      </c>
      <c r="I499" s="50">
        <v>22681</v>
      </c>
      <c r="J499" s="50">
        <f>I499/D498</f>
        <v>3.1</v>
      </c>
      <c r="K499" s="50">
        <f>32281/D498</f>
        <v>4.42</v>
      </c>
    </row>
    <row r="500" spans="1:11" x14ac:dyDescent="0.25">
      <c r="A500" s="215">
        <v>756</v>
      </c>
      <c r="B500" s="215"/>
      <c r="C500" s="223"/>
      <c r="D500" s="224"/>
      <c r="E500" s="224"/>
      <c r="F500" s="225"/>
      <c r="G500" s="217"/>
      <c r="H500" s="57" t="s">
        <v>171</v>
      </c>
      <c r="I500" s="50">
        <v>2241646.84</v>
      </c>
      <c r="J500" s="50">
        <f>I500/D498+0.01</f>
        <v>306.88</v>
      </c>
      <c r="K500" s="50">
        <f>2458756/D498</f>
        <v>336.6</v>
      </c>
    </row>
    <row r="501" spans="1:11" x14ac:dyDescent="0.25">
      <c r="A501" s="215">
        <v>757</v>
      </c>
      <c r="B501" s="215"/>
      <c r="C501" s="223"/>
      <c r="D501" s="224"/>
      <c r="E501" s="224"/>
      <c r="F501" s="225"/>
      <c r="G501" s="222"/>
      <c r="H501" s="57" t="s">
        <v>69</v>
      </c>
      <c r="I501" s="50">
        <f>I500*0.0214</f>
        <v>47971.24</v>
      </c>
      <c r="J501" s="50">
        <f>I501/D498</f>
        <v>6.57</v>
      </c>
      <c r="K501" s="50">
        <f>52617/D498</f>
        <v>7.2</v>
      </c>
    </row>
    <row r="502" spans="1:11" ht="63" x14ac:dyDescent="0.25">
      <c r="A502" s="215"/>
      <c r="B502" s="215"/>
      <c r="C502" s="223"/>
      <c r="D502" s="224"/>
      <c r="E502" s="224"/>
      <c r="F502" s="225"/>
      <c r="G502" s="216" t="s">
        <v>173</v>
      </c>
      <c r="H502" s="57" t="s">
        <v>168</v>
      </c>
      <c r="I502" s="50">
        <v>22681</v>
      </c>
      <c r="J502" s="50">
        <f>I502/D498</f>
        <v>3.1</v>
      </c>
      <c r="K502" s="50">
        <f>32281/D498</f>
        <v>4.42</v>
      </c>
    </row>
    <row r="503" spans="1:11" x14ac:dyDescent="0.25">
      <c r="A503" s="215"/>
      <c r="B503" s="215"/>
      <c r="C503" s="223"/>
      <c r="D503" s="224"/>
      <c r="E503" s="224"/>
      <c r="F503" s="225"/>
      <c r="G503" s="217"/>
      <c r="H503" s="57" t="s">
        <v>171</v>
      </c>
      <c r="I503" s="50">
        <v>2241646.84</v>
      </c>
      <c r="J503" s="50">
        <f>I503/D498+0.01</f>
        <v>306.88</v>
      </c>
      <c r="K503" s="50">
        <f>2458756/D498</f>
        <v>336.6</v>
      </c>
    </row>
    <row r="504" spans="1:11" x14ac:dyDescent="0.25">
      <c r="A504" s="215"/>
      <c r="B504" s="215"/>
      <c r="C504" s="223"/>
      <c r="D504" s="224"/>
      <c r="E504" s="224"/>
      <c r="F504" s="225"/>
      <c r="G504" s="222"/>
      <c r="H504" s="57" t="s">
        <v>69</v>
      </c>
      <c r="I504" s="50">
        <f>I503*0.0214</f>
        <v>47971.24</v>
      </c>
      <c r="J504" s="50">
        <f>I504/D498</f>
        <v>6.57</v>
      </c>
      <c r="K504" s="50">
        <f>52617/D498</f>
        <v>7.2</v>
      </c>
    </row>
    <row r="505" spans="1:11" ht="63" x14ac:dyDescent="0.25">
      <c r="A505" s="215"/>
      <c r="B505" s="215"/>
      <c r="C505" s="223"/>
      <c r="D505" s="224"/>
      <c r="E505" s="224"/>
      <c r="F505" s="225"/>
      <c r="G505" s="216" t="s">
        <v>174</v>
      </c>
      <c r="H505" s="57" t="s">
        <v>168</v>
      </c>
      <c r="I505" s="50">
        <v>22681</v>
      </c>
      <c r="J505" s="50">
        <f>I505/D498</f>
        <v>3.1</v>
      </c>
      <c r="K505" s="50">
        <f>32281/D498</f>
        <v>4.42</v>
      </c>
    </row>
    <row r="506" spans="1:11" x14ac:dyDescent="0.25">
      <c r="A506" s="215"/>
      <c r="B506" s="215"/>
      <c r="C506" s="223"/>
      <c r="D506" s="224"/>
      <c r="E506" s="224"/>
      <c r="F506" s="225"/>
      <c r="G506" s="217"/>
      <c r="H506" s="57" t="s">
        <v>171</v>
      </c>
      <c r="I506" s="50">
        <v>2241646.84</v>
      </c>
      <c r="J506" s="50">
        <f>I506/D498</f>
        <v>306.87</v>
      </c>
      <c r="K506" s="50">
        <f>2458756/D498</f>
        <v>336.6</v>
      </c>
    </row>
    <row r="507" spans="1:11" x14ac:dyDescent="0.25">
      <c r="A507" s="215"/>
      <c r="B507" s="215"/>
      <c r="C507" s="223"/>
      <c r="D507" s="224"/>
      <c r="E507" s="224"/>
      <c r="F507" s="225"/>
      <c r="G507" s="222"/>
      <c r="H507" s="57" t="s">
        <v>69</v>
      </c>
      <c r="I507" s="50">
        <f>I506*0.0214</f>
        <v>47971.24</v>
      </c>
      <c r="J507" s="50">
        <f>I507/D498</f>
        <v>6.57</v>
      </c>
      <c r="K507" s="50">
        <f>52617/D498</f>
        <v>7.2</v>
      </c>
    </row>
    <row r="508" spans="1:11" x14ac:dyDescent="0.25">
      <c r="A508" s="215">
        <f>A498+1</f>
        <v>35</v>
      </c>
      <c r="B508" s="215">
        <v>1687</v>
      </c>
      <c r="C508" s="223" t="s">
        <v>448</v>
      </c>
      <c r="D508" s="224">
        <v>9731</v>
      </c>
      <c r="E508" s="224" t="s">
        <v>64</v>
      </c>
      <c r="F508" s="225">
        <v>10</v>
      </c>
      <c r="G508" s="105"/>
      <c r="H508" s="57" t="s">
        <v>66</v>
      </c>
      <c r="I508" s="50">
        <f>I509+I510+I511+I512+I513+I514+I515+I516</f>
        <v>8380545.1900000004</v>
      </c>
      <c r="J508" s="50">
        <f>J509+J510+J511+J512+J513+J514+J515+J516</f>
        <v>861.22</v>
      </c>
      <c r="K508" s="50">
        <f>K509+K510+K511+K512+K513+K514+K515+K516</f>
        <v>941.16</v>
      </c>
    </row>
    <row r="509" spans="1:11" x14ac:dyDescent="0.25">
      <c r="A509" s="215">
        <v>756</v>
      </c>
      <c r="B509" s="215"/>
      <c r="C509" s="223"/>
      <c r="D509" s="224"/>
      <c r="E509" s="224"/>
      <c r="F509" s="225"/>
      <c r="G509" s="216" t="s">
        <v>170</v>
      </c>
      <c r="H509" s="57" t="s">
        <v>171</v>
      </c>
      <c r="I509" s="50">
        <v>2063235.58</v>
      </c>
      <c r="J509" s="50">
        <f>I509/D508</f>
        <v>212.03</v>
      </c>
      <c r="K509" s="50">
        <f>2241647/D508</f>
        <v>230.36</v>
      </c>
    </row>
    <row r="510" spans="1:11" x14ac:dyDescent="0.25">
      <c r="A510" s="215">
        <v>757</v>
      </c>
      <c r="B510" s="215"/>
      <c r="C510" s="223"/>
      <c r="D510" s="224"/>
      <c r="E510" s="224"/>
      <c r="F510" s="225"/>
      <c r="G510" s="222"/>
      <c r="H510" s="57" t="s">
        <v>69</v>
      </c>
      <c r="I510" s="50">
        <v>31900.720000000001</v>
      </c>
      <c r="J510" s="50">
        <f>I510/D508</f>
        <v>3.28</v>
      </c>
      <c r="K510" s="50">
        <f>47971/D508</f>
        <v>4.93</v>
      </c>
    </row>
    <row r="511" spans="1:11" x14ac:dyDescent="0.25">
      <c r="A511" s="215"/>
      <c r="B511" s="215"/>
      <c r="C511" s="223"/>
      <c r="D511" s="224"/>
      <c r="E511" s="224"/>
      <c r="F511" s="225"/>
      <c r="G511" s="216" t="s">
        <v>173</v>
      </c>
      <c r="H511" s="57" t="s">
        <v>171</v>
      </c>
      <c r="I511" s="50">
        <v>2063235.58</v>
      </c>
      <c r="J511" s="50">
        <f>I511/D508-0.01</f>
        <v>212.02</v>
      </c>
      <c r="K511" s="50">
        <f>2241647/D508</f>
        <v>230.36</v>
      </c>
    </row>
    <row r="512" spans="1:11" x14ac:dyDescent="0.25">
      <c r="A512" s="215"/>
      <c r="B512" s="215"/>
      <c r="C512" s="223"/>
      <c r="D512" s="224"/>
      <c r="E512" s="224"/>
      <c r="F512" s="225"/>
      <c r="G512" s="222"/>
      <c r="H512" s="57" t="s">
        <v>69</v>
      </c>
      <c r="I512" s="50">
        <v>31900.71</v>
      </c>
      <c r="J512" s="50">
        <f>I512/D508</f>
        <v>3.28</v>
      </c>
      <c r="K512" s="50">
        <f>47971/D508</f>
        <v>4.93</v>
      </c>
    </row>
    <row r="513" spans="1:11" x14ac:dyDescent="0.25">
      <c r="A513" s="215"/>
      <c r="B513" s="215"/>
      <c r="C513" s="223"/>
      <c r="D513" s="224"/>
      <c r="E513" s="224"/>
      <c r="F513" s="225"/>
      <c r="G513" s="216" t="s">
        <v>174</v>
      </c>
      <c r="H513" s="57" t="s">
        <v>171</v>
      </c>
      <c r="I513" s="50">
        <v>2063235.58</v>
      </c>
      <c r="J513" s="50">
        <f>I513/D508-0.01</f>
        <v>212.02</v>
      </c>
      <c r="K513" s="50">
        <f>2241647/D508</f>
        <v>230.36</v>
      </c>
    </row>
    <row r="514" spans="1:11" x14ac:dyDescent="0.25">
      <c r="A514" s="215"/>
      <c r="B514" s="215"/>
      <c r="C514" s="223"/>
      <c r="D514" s="224"/>
      <c r="E514" s="224"/>
      <c r="F514" s="225"/>
      <c r="G514" s="222"/>
      <c r="H514" s="57" t="s">
        <v>69</v>
      </c>
      <c r="I514" s="50">
        <v>31900.720000000001</v>
      </c>
      <c r="J514" s="50">
        <f>I514/D508</f>
        <v>3.28</v>
      </c>
      <c r="K514" s="50">
        <f>47971/D508</f>
        <v>4.93</v>
      </c>
    </row>
    <row r="515" spans="1:11" x14ac:dyDescent="0.25">
      <c r="A515" s="215"/>
      <c r="B515" s="215"/>
      <c r="C515" s="223"/>
      <c r="D515" s="224"/>
      <c r="E515" s="224"/>
      <c r="F515" s="225"/>
      <c r="G515" s="216" t="s">
        <v>175</v>
      </c>
      <c r="H515" s="57" t="s">
        <v>171</v>
      </c>
      <c r="I515" s="50">
        <v>2063235.59</v>
      </c>
      <c r="J515" s="50">
        <f>I515/D508</f>
        <v>212.03</v>
      </c>
      <c r="K515" s="50">
        <f>2241647/D508</f>
        <v>230.36</v>
      </c>
    </row>
    <row r="516" spans="1:11" x14ac:dyDescent="0.25">
      <c r="A516" s="215"/>
      <c r="B516" s="215"/>
      <c r="C516" s="223"/>
      <c r="D516" s="224"/>
      <c r="E516" s="224"/>
      <c r="F516" s="225"/>
      <c r="G516" s="222"/>
      <c r="H516" s="57" t="s">
        <v>69</v>
      </c>
      <c r="I516" s="50">
        <v>31900.71</v>
      </c>
      <c r="J516" s="50">
        <f>I516/D508</f>
        <v>3.28</v>
      </c>
      <c r="K516" s="50">
        <f>47971/D508</f>
        <v>4.93</v>
      </c>
    </row>
    <row r="517" spans="1:11" ht="15.75" customHeight="1" x14ac:dyDescent="0.25">
      <c r="A517" s="215">
        <f>A508+1</f>
        <v>36</v>
      </c>
      <c r="B517" s="215">
        <v>1408</v>
      </c>
      <c r="C517" s="223" t="s">
        <v>130</v>
      </c>
      <c r="D517" s="224">
        <v>3363.29</v>
      </c>
      <c r="E517" s="224" t="s">
        <v>68</v>
      </c>
      <c r="F517" s="225">
        <v>5</v>
      </c>
      <c r="G517" s="215" t="s">
        <v>65</v>
      </c>
      <c r="H517" s="57" t="s">
        <v>66</v>
      </c>
      <c r="I517" s="50">
        <f>I518+I519</f>
        <v>5195930.8499999996</v>
      </c>
      <c r="J517" s="50">
        <f>J518+J519</f>
        <v>1544.9</v>
      </c>
      <c r="K517" s="50">
        <f>K518+K519</f>
        <v>3878</v>
      </c>
    </row>
    <row r="518" spans="1:11" x14ac:dyDescent="0.25">
      <c r="A518" s="215">
        <v>75</v>
      </c>
      <c r="B518" s="215"/>
      <c r="C518" s="223"/>
      <c r="D518" s="224"/>
      <c r="E518" s="224"/>
      <c r="F518" s="225"/>
      <c r="G518" s="215"/>
      <c r="H518" s="57" t="s">
        <v>67</v>
      </c>
      <c r="I518" s="50">
        <v>5087067.5999999996</v>
      </c>
      <c r="J518" s="50">
        <f>I518/D517</f>
        <v>1512.53</v>
      </c>
      <c r="K518" s="50">
        <v>3797</v>
      </c>
    </row>
    <row r="519" spans="1:11" x14ac:dyDescent="0.25">
      <c r="A519" s="215"/>
      <c r="B519" s="215"/>
      <c r="C519" s="223"/>
      <c r="D519" s="224"/>
      <c r="E519" s="224"/>
      <c r="F519" s="225"/>
      <c r="G519" s="215"/>
      <c r="H519" s="57" t="s">
        <v>69</v>
      </c>
      <c r="I519" s="50">
        <v>108863.25</v>
      </c>
      <c r="J519" s="50">
        <f>I519/D517</f>
        <v>32.369999999999997</v>
      </c>
      <c r="K519" s="50">
        <v>81</v>
      </c>
    </row>
    <row r="520" spans="1:11" x14ac:dyDescent="0.25">
      <c r="A520" s="216">
        <f>A517+1</f>
        <v>37</v>
      </c>
      <c r="B520" s="216">
        <v>1410</v>
      </c>
      <c r="C520" s="218" t="s">
        <v>131</v>
      </c>
      <c r="D520" s="220">
        <v>1477.5</v>
      </c>
      <c r="E520" s="220" t="s">
        <v>68</v>
      </c>
      <c r="F520" s="228">
        <v>5</v>
      </c>
      <c r="G520" s="108"/>
      <c r="H520" s="57" t="s">
        <v>66</v>
      </c>
      <c r="I520" s="50">
        <f>I521+I522+I523+I524+I525+I526</f>
        <v>13870834.109999999</v>
      </c>
      <c r="J520" s="50">
        <f>J521+J522+J523+J524+J525+J526</f>
        <v>9388.0400000000009</v>
      </c>
      <c r="K520" s="50">
        <f>K521+K522+K523+K524+K525+K526</f>
        <v>12079</v>
      </c>
    </row>
    <row r="521" spans="1:11" x14ac:dyDescent="0.25">
      <c r="A521" s="217"/>
      <c r="B521" s="217"/>
      <c r="C521" s="219"/>
      <c r="D521" s="221"/>
      <c r="E521" s="221"/>
      <c r="F521" s="229"/>
      <c r="G521" s="216" t="s">
        <v>65</v>
      </c>
      <c r="H521" s="57" t="s">
        <v>67</v>
      </c>
      <c r="I521" s="50">
        <v>5630198.46</v>
      </c>
      <c r="J521" s="50">
        <f>I521/D520-0.01</f>
        <v>3810.62</v>
      </c>
      <c r="K521" s="50">
        <v>4355</v>
      </c>
    </row>
    <row r="522" spans="1:11" x14ac:dyDescent="0.25">
      <c r="A522" s="217"/>
      <c r="B522" s="217"/>
      <c r="C522" s="219"/>
      <c r="D522" s="221"/>
      <c r="E522" s="221"/>
      <c r="F522" s="229"/>
      <c r="G522" s="222"/>
      <c r="H522" s="57" t="s">
        <v>69</v>
      </c>
      <c r="I522" s="50">
        <v>120486.25</v>
      </c>
      <c r="J522" s="50">
        <f>I522/D520</f>
        <v>81.55</v>
      </c>
      <c r="K522" s="50">
        <v>93</v>
      </c>
    </row>
    <row r="523" spans="1:11" x14ac:dyDescent="0.25">
      <c r="A523" s="217"/>
      <c r="B523" s="217"/>
      <c r="C523" s="219"/>
      <c r="D523" s="221"/>
      <c r="E523" s="221"/>
      <c r="F523" s="229"/>
      <c r="G523" s="216" t="s">
        <v>75</v>
      </c>
      <c r="H523" s="57" t="s">
        <v>67</v>
      </c>
      <c r="I523" s="50">
        <v>2240444.0699999998</v>
      </c>
      <c r="J523" s="50">
        <f>I523/D520</f>
        <v>1516.38</v>
      </c>
      <c r="K523" s="50">
        <v>1733</v>
      </c>
    </row>
    <row r="524" spans="1:11" x14ac:dyDescent="0.25">
      <c r="A524" s="217"/>
      <c r="B524" s="217"/>
      <c r="C524" s="219"/>
      <c r="D524" s="221"/>
      <c r="E524" s="221"/>
      <c r="F524" s="229"/>
      <c r="G524" s="217"/>
      <c r="H524" s="57" t="s">
        <v>69</v>
      </c>
      <c r="I524" s="50">
        <v>47945.5</v>
      </c>
      <c r="J524" s="50">
        <f>I524/D520</f>
        <v>32.450000000000003</v>
      </c>
      <c r="K524" s="50">
        <v>37</v>
      </c>
    </row>
    <row r="525" spans="1:11" x14ac:dyDescent="0.25">
      <c r="A525" s="217"/>
      <c r="B525" s="217"/>
      <c r="C525" s="219"/>
      <c r="D525" s="221"/>
      <c r="E525" s="221"/>
      <c r="F525" s="229"/>
      <c r="G525" s="217"/>
      <c r="H525" s="57" t="s">
        <v>179</v>
      </c>
      <c r="I525" s="50">
        <v>5709574.9299999997</v>
      </c>
      <c r="J525" s="50">
        <f>I525/D520-0.01</f>
        <v>3864.34</v>
      </c>
      <c r="K525" s="50">
        <v>5738</v>
      </c>
    </row>
    <row r="526" spans="1:11" x14ac:dyDescent="0.25">
      <c r="A526" s="222"/>
      <c r="B526" s="222"/>
      <c r="C526" s="226"/>
      <c r="D526" s="227"/>
      <c r="E526" s="227"/>
      <c r="F526" s="230"/>
      <c r="G526" s="222"/>
      <c r="H526" s="57" t="s">
        <v>69</v>
      </c>
      <c r="I526" s="50">
        <v>122184.9</v>
      </c>
      <c r="J526" s="50">
        <f>I526/D520</f>
        <v>82.7</v>
      </c>
      <c r="K526" s="50">
        <v>123</v>
      </c>
    </row>
    <row r="527" spans="1:11" ht="15.75" customHeight="1" x14ac:dyDescent="0.25">
      <c r="A527" s="216">
        <f>A520+1</f>
        <v>38</v>
      </c>
      <c r="B527" s="216">
        <v>1938</v>
      </c>
      <c r="C527" s="218" t="s">
        <v>599</v>
      </c>
      <c r="D527" s="220">
        <v>1618</v>
      </c>
      <c r="E527" s="220" t="s">
        <v>68</v>
      </c>
      <c r="F527" s="228">
        <v>4</v>
      </c>
      <c r="G527" s="108"/>
      <c r="H527" s="57" t="s">
        <v>66</v>
      </c>
      <c r="I527" s="50">
        <f>I528+I529+I530+I531</f>
        <v>360814</v>
      </c>
      <c r="J527" s="50">
        <f>J528+J529+J530+J531</f>
        <v>223</v>
      </c>
      <c r="K527" s="50">
        <f>K528+K529+K530+K531</f>
        <v>223</v>
      </c>
    </row>
    <row r="528" spans="1:11" ht="47.25" customHeight="1" x14ac:dyDescent="0.25">
      <c r="A528" s="217"/>
      <c r="B528" s="217"/>
      <c r="C528" s="219"/>
      <c r="D528" s="217"/>
      <c r="E528" s="221"/>
      <c r="F528" s="229"/>
      <c r="G528" s="102" t="s">
        <v>70</v>
      </c>
      <c r="H528" s="57" t="s">
        <v>168</v>
      </c>
      <c r="I528" s="50">
        <f>D527*K528</f>
        <v>221666</v>
      </c>
      <c r="J528" s="50">
        <f>I528/D527</f>
        <v>137</v>
      </c>
      <c r="K528" s="50">
        <f>116+21</f>
        <v>137</v>
      </c>
    </row>
    <row r="529" spans="1:11" ht="47.25" customHeight="1" x14ac:dyDescent="0.25">
      <c r="A529" s="217"/>
      <c r="B529" s="217"/>
      <c r="C529" s="219"/>
      <c r="D529" s="217"/>
      <c r="E529" s="221"/>
      <c r="F529" s="229"/>
      <c r="G529" s="102" t="s">
        <v>71</v>
      </c>
      <c r="H529" s="57" t="s">
        <v>168</v>
      </c>
      <c r="I529" s="50">
        <f>D527*K529</f>
        <v>46922</v>
      </c>
      <c r="J529" s="50">
        <f>I529/D527</f>
        <v>29</v>
      </c>
      <c r="K529" s="50">
        <f>21+8</f>
        <v>29</v>
      </c>
    </row>
    <row r="530" spans="1:11" ht="47.25" customHeight="1" x14ac:dyDescent="0.25">
      <c r="A530" s="217"/>
      <c r="B530" s="217"/>
      <c r="C530" s="219"/>
      <c r="D530" s="217"/>
      <c r="E530" s="221"/>
      <c r="F530" s="229"/>
      <c r="G530" s="102" t="s">
        <v>72</v>
      </c>
      <c r="H530" s="57" t="s">
        <v>168</v>
      </c>
      <c r="I530" s="50">
        <f>D527*K530</f>
        <v>46922</v>
      </c>
      <c r="J530" s="50">
        <f>I530/D527</f>
        <v>29</v>
      </c>
      <c r="K530" s="50">
        <f>22+7</f>
        <v>29</v>
      </c>
    </row>
    <row r="531" spans="1:11" ht="47.25" customHeight="1" x14ac:dyDescent="0.25">
      <c r="A531" s="217"/>
      <c r="B531" s="217"/>
      <c r="C531" s="219"/>
      <c r="D531" s="217"/>
      <c r="E531" s="221"/>
      <c r="F531" s="229"/>
      <c r="G531" s="102" t="s">
        <v>78</v>
      </c>
      <c r="H531" s="57" t="s">
        <v>168</v>
      </c>
      <c r="I531" s="50">
        <f>D527*K531</f>
        <v>45304</v>
      </c>
      <c r="J531" s="50">
        <f>I531/D527</f>
        <v>28</v>
      </c>
      <c r="K531" s="50">
        <f>19+9</f>
        <v>28</v>
      </c>
    </row>
    <row r="532" spans="1:11" ht="15.75" customHeight="1" x14ac:dyDescent="0.25">
      <c r="A532" s="216">
        <f>A527+1</f>
        <v>39</v>
      </c>
      <c r="B532" s="216">
        <v>1021</v>
      </c>
      <c r="C532" s="218" t="s">
        <v>600</v>
      </c>
      <c r="D532" s="220">
        <v>8061.42</v>
      </c>
      <c r="E532" s="216" t="s">
        <v>68</v>
      </c>
      <c r="F532" s="216">
        <v>10</v>
      </c>
      <c r="G532" s="105"/>
      <c r="H532" s="57" t="s">
        <v>66</v>
      </c>
      <c r="I532" s="50">
        <f>I533+I534+I535+I536</f>
        <v>129124</v>
      </c>
      <c r="J532" s="50">
        <f t="shared" ref="J532:K532" si="16">J533+J534+J535+J536</f>
        <v>16.02</v>
      </c>
      <c r="K532" s="50">
        <f t="shared" si="16"/>
        <v>16.02</v>
      </c>
    </row>
    <row r="533" spans="1:11" ht="47.25" customHeight="1" x14ac:dyDescent="0.25">
      <c r="A533" s="217"/>
      <c r="B533" s="217"/>
      <c r="C533" s="219"/>
      <c r="D533" s="221"/>
      <c r="E533" s="217"/>
      <c r="F533" s="217"/>
      <c r="G533" s="102" t="s">
        <v>170</v>
      </c>
      <c r="H533" s="57" t="s">
        <v>168</v>
      </c>
      <c r="I533" s="50">
        <f>22681+9600</f>
        <v>32281</v>
      </c>
      <c r="J533" s="50">
        <f>I533/D532+0.01</f>
        <v>4.01</v>
      </c>
      <c r="K533" s="50">
        <f>32281/D532+0.01</f>
        <v>4.01</v>
      </c>
    </row>
    <row r="534" spans="1:11" ht="47.25" customHeight="1" x14ac:dyDescent="0.25">
      <c r="A534" s="217"/>
      <c r="B534" s="217"/>
      <c r="C534" s="219"/>
      <c r="D534" s="221"/>
      <c r="E534" s="217"/>
      <c r="F534" s="217"/>
      <c r="G534" s="102" t="s">
        <v>173</v>
      </c>
      <c r="H534" s="57" t="s">
        <v>168</v>
      </c>
      <c r="I534" s="50">
        <f>22681+9600</f>
        <v>32281</v>
      </c>
      <c r="J534" s="50">
        <f>I534/D532</f>
        <v>4</v>
      </c>
      <c r="K534" s="50">
        <f>32281/D532</f>
        <v>4</v>
      </c>
    </row>
    <row r="535" spans="1:11" ht="47.25" customHeight="1" x14ac:dyDescent="0.25">
      <c r="A535" s="217"/>
      <c r="B535" s="217"/>
      <c r="C535" s="219"/>
      <c r="D535" s="221"/>
      <c r="E535" s="217"/>
      <c r="F535" s="217"/>
      <c r="G535" s="102" t="s">
        <v>174</v>
      </c>
      <c r="H535" s="57" t="s">
        <v>168</v>
      </c>
      <c r="I535" s="50">
        <f>22681+9600</f>
        <v>32281</v>
      </c>
      <c r="J535" s="50">
        <f>I535/D532+0.01</f>
        <v>4.01</v>
      </c>
      <c r="K535" s="50">
        <f>32281/D532+0.01</f>
        <v>4.01</v>
      </c>
    </row>
    <row r="536" spans="1:11" ht="47.25" customHeight="1" x14ac:dyDescent="0.25">
      <c r="A536" s="217"/>
      <c r="B536" s="217"/>
      <c r="C536" s="219"/>
      <c r="D536" s="221"/>
      <c r="E536" s="217"/>
      <c r="F536" s="217"/>
      <c r="G536" s="102" t="s">
        <v>175</v>
      </c>
      <c r="H536" s="57" t="s">
        <v>168</v>
      </c>
      <c r="I536" s="50">
        <f>22681+9600</f>
        <v>32281</v>
      </c>
      <c r="J536" s="50">
        <f>I536/D532</f>
        <v>4</v>
      </c>
      <c r="K536" s="50">
        <f>32281/D532</f>
        <v>4</v>
      </c>
    </row>
    <row r="537" spans="1:11" ht="15.75" customHeight="1" x14ac:dyDescent="0.25">
      <c r="A537" s="216">
        <f>A532+1</f>
        <v>40</v>
      </c>
      <c r="B537" s="216">
        <v>1284</v>
      </c>
      <c r="C537" s="218" t="s">
        <v>601</v>
      </c>
      <c r="D537" s="220">
        <v>3691.9</v>
      </c>
      <c r="E537" s="216" t="s">
        <v>64</v>
      </c>
      <c r="F537" s="216">
        <v>10</v>
      </c>
      <c r="G537" s="105"/>
      <c r="H537" s="57" t="s">
        <v>66</v>
      </c>
      <c r="I537" s="50">
        <f>I538+I539</f>
        <v>64562</v>
      </c>
      <c r="J537" s="50">
        <f t="shared" ref="J537:K537" si="17">J538+J539</f>
        <v>17.489999999999998</v>
      </c>
      <c r="K537" s="50">
        <f t="shared" si="17"/>
        <v>17.489999999999998</v>
      </c>
    </row>
    <row r="538" spans="1:11" ht="47.25" customHeight="1" x14ac:dyDescent="0.25">
      <c r="A538" s="217"/>
      <c r="B538" s="217"/>
      <c r="C538" s="219"/>
      <c r="D538" s="221"/>
      <c r="E538" s="217"/>
      <c r="F538" s="217"/>
      <c r="G538" s="102" t="s">
        <v>170</v>
      </c>
      <c r="H538" s="57" t="s">
        <v>168</v>
      </c>
      <c r="I538" s="50">
        <f>22681+9600</f>
        <v>32281</v>
      </c>
      <c r="J538" s="50">
        <f>I538/D537+0.01</f>
        <v>8.75</v>
      </c>
      <c r="K538" s="50">
        <f>32281/D537+0.01</f>
        <v>8.75</v>
      </c>
    </row>
    <row r="539" spans="1:11" ht="47.25" customHeight="1" x14ac:dyDescent="0.25">
      <c r="A539" s="217"/>
      <c r="B539" s="217"/>
      <c r="C539" s="219"/>
      <c r="D539" s="221"/>
      <c r="E539" s="217"/>
      <c r="F539" s="217"/>
      <c r="G539" s="102" t="s">
        <v>173</v>
      </c>
      <c r="H539" s="57" t="s">
        <v>168</v>
      </c>
      <c r="I539" s="50">
        <f>22681+9600</f>
        <v>32281</v>
      </c>
      <c r="J539" s="50">
        <f>I539/D537</f>
        <v>8.74</v>
      </c>
      <c r="K539" s="50">
        <f>32281/D537</f>
        <v>8.74</v>
      </c>
    </row>
    <row r="540" spans="1:11" ht="15.75" customHeight="1" x14ac:dyDescent="0.25">
      <c r="A540" s="216">
        <f>A537+1</f>
        <v>41</v>
      </c>
      <c r="B540" s="216">
        <v>1292</v>
      </c>
      <c r="C540" s="218" t="s">
        <v>602</v>
      </c>
      <c r="D540" s="220">
        <v>9049.9</v>
      </c>
      <c r="E540" s="216" t="s">
        <v>64</v>
      </c>
      <c r="F540" s="216">
        <v>10</v>
      </c>
      <c r="G540" s="105"/>
      <c r="H540" s="57" t="s">
        <v>66</v>
      </c>
      <c r="I540" s="50">
        <f>I541</f>
        <v>32281</v>
      </c>
      <c r="J540" s="50">
        <f>J541</f>
        <v>3.57</v>
      </c>
      <c r="K540" s="50">
        <f>K541</f>
        <v>3.57</v>
      </c>
    </row>
    <row r="541" spans="1:11" ht="47.25" customHeight="1" x14ac:dyDescent="0.25">
      <c r="A541" s="217"/>
      <c r="B541" s="217"/>
      <c r="C541" s="219"/>
      <c r="D541" s="221"/>
      <c r="E541" s="217"/>
      <c r="F541" s="217"/>
      <c r="G541" s="102" t="s">
        <v>170</v>
      </c>
      <c r="H541" s="57" t="s">
        <v>168</v>
      </c>
      <c r="I541" s="50">
        <f>22681+9600</f>
        <v>32281</v>
      </c>
      <c r="J541" s="50">
        <f>I541/D540</f>
        <v>3.57</v>
      </c>
      <c r="K541" s="50">
        <f>32281/D540</f>
        <v>3.57</v>
      </c>
    </row>
    <row r="542" spans="1:11" x14ac:dyDescent="0.25">
      <c r="A542" s="215">
        <f>A540+1</f>
        <v>42</v>
      </c>
      <c r="B542" s="215">
        <v>1057</v>
      </c>
      <c r="C542" s="223" t="s">
        <v>555</v>
      </c>
      <c r="D542" s="224">
        <v>15850.4</v>
      </c>
      <c r="E542" s="224" t="s">
        <v>64</v>
      </c>
      <c r="F542" s="225">
        <v>10</v>
      </c>
      <c r="G542" s="105"/>
      <c r="H542" s="57" t="s">
        <v>66</v>
      </c>
      <c r="I542" s="50">
        <f>I543+I544+I545+I546+I547+I548+I549+I550+I551</f>
        <v>5170957.3899999997</v>
      </c>
      <c r="J542" s="50">
        <f>J543+J544+J545+J546+J547+J548+J549+J550+J551</f>
        <v>326.24</v>
      </c>
      <c r="K542" s="50">
        <f>K543+K544+K545+K546+K547+K548+K549+K550+K551</f>
        <v>439.47</v>
      </c>
    </row>
    <row r="543" spans="1:11" ht="63" x14ac:dyDescent="0.25">
      <c r="A543" s="215"/>
      <c r="B543" s="215"/>
      <c r="C543" s="223"/>
      <c r="D543" s="224"/>
      <c r="E543" s="224"/>
      <c r="F543" s="225"/>
      <c r="G543" s="216" t="s">
        <v>170</v>
      </c>
      <c r="H543" s="57" t="s">
        <v>168</v>
      </c>
      <c r="I543" s="50">
        <v>22681</v>
      </c>
      <c r="J543" s="50">
        <f>I543/D542</f>
        <v>1.43</v>
      </c>
      <c r="K543" s="50">
        <f>32281/D542</f>
        <v>2.04</v>
      </c>
    </row>
    <row r="544" spans="1:11" x14ac:dyDescent="0.25">
      <c r="A544" s="215">
        <v>756</v>
      </c>
      <c r="B544" s="215"/>
      <c r="C544" s="223"/>
      <c r="D544" s="224"/>
      <c r="E544" s="224"/>
      <c r="F544" s="225"/>
      <c r="G544" s="217"/>
      <c r="H544" s="57" t="s">
        <v>171</v>
      </c>
      <c r="I544" s="50">
        <v>1665333.34</v>
      </c>
      <c r="J544" s="50">
        <f>I544/D542</f>
        <v>105.07</v>
      </c>
      <c r="K544" s="50">
        <f>2241647/D542-0.01</f>
        <v>141.41999999999999</v>
      </c>
    </row>
    <row r="545" spans="1:11" x14ac:dyDescent="0.25">
      <c r="A545" s="215">
        <v>757</v>
      </c>
      <c r="B545" s="215"/>
      <c r="C545" s="223"/>
      <c r="D545" s="224"/>
      <c r="E545" s="224"/>
      <c r="F545" s="225"/>
      <c r="G545" s="222"/>
      <c r="H545" s="57" t="s">
        <v>69</v>
      </c>
      <c r="I545" s="50">
        <f>I544*0.0214</f>
        <v>35638.129999999997</v>
      </c>
      <c r="J545" s="50">
        <f>I545/D542</f>
        <v>2.25</v>
      </c>
      <c r="K545" s="50">
        <f>47971/D542</f>
        <v>3.03</v>
      </c>
    </row>
    <row r="546" spans="1:11" ht="63" x14ac:dyDescent="0.25">
      <c r="A546" s="215"/>
      <c r="B546" s="215"/>
      <c r="C546" s="223"/>
      <c r="D546" s="224"/>
      <c r="E546" s="224"/>
      <c r="F546" s="225"/>
      <c r="G546" s="216" t="s">
        <v>173</v>
      </c>
      <c r="H546" s="57" t="s">
        <v>168</v>
      </c>
      <c r="I546" s="50">
        <v>22681</v>
      </c>
      <c r="J546" s="50">
        <f>I546/D542</f>
        <v>1.43</v>
      </c>
      <c r="K546" s="50">
        <f>32281/D542</f>
        <v>2.04</v>
      </c>
    </row>
    <row r="547" spans="1:11" x14ac:dyDescent="0.25">
      <c r="A547" s="215"/>
      <c r="B547" s="215"/>
      <c r="C547" s="223"/>
      <c r="D547" s="224"/>
      <c r="E547" s="224"/>
      <c r="F547" s="225"/>
      <c r="G547" s="217"/>
      <c r="H547" s="57" t="s">
        <v>171</v>
      </c>
      <c r="I547" s="50">
        <v>1665333.33</v>
      </c>
      <c r="J547" s="50">
        <f>I547/D542</f>
        <v>105.07</v>
      </c>
      <c r="K547" s="50">
        <f>2241647/D542-0.01</f>
        <v>141.41999999999999</v>
      </c>
    </row>
    <row r="548" spans="1:11" x14ac:dyDescent="0.25">
      <c r="A548" s="215"/>
      <c r="B548" s="215"/>
      <c r="C548" s="223"/>
      <c r="D548" s="224"/>
      <c r="E548" s="224"/>
      <c r="F548" s="225"/>
      <c r="G548" s="222"/>
      <c r="H548" s="57" t="s">
        <v>69</v>
      </c>
      <c r="I548" s="50">
        <f>I547*0.0214</f>
        <v>35638.129999999997</v>
      </c>
      <c r="J548" s="50">
        <f>I548/D542</f>
        <v>2.25</v>
      </c>
      <c r="K548" s="50">
        <f>47971/D542</f>
        <v>3.03</v>
      </c>
    </row>
    <row r="549" spans="1:11" ht="63" x14ac:dyDescent="0.25">
      <c r="A549" s="215"/>
      <c r="B549" s="215"/>
      <c r="C549" s="223"/>
      <c r="D549" s="224"/>
      <c r="E549" s="224"/>
      <c r="F549" s="225"/>
      <c r="G549" s="216" t="s">
        <v>174</v>
      </c>
      <c r="H549" s="57" t="s">
        <v>168</v>
      </c>
      <c r="I549" s="50">
        <v>22681</v>
      </c>
      <c r="J549" s="50">
        <f>I549/D542</f>
        <v>1.43</v>
      </c>
      <c r="K549" s="50">
        <f>32281/D542</f>
        <v>2.04</v>
      </c>
    </row>
    <row r="550" spans="1:11" x14ac:dyDescent="0.25">
      <c r="A550" s="215"/>
      <c r="B550" s="215"/>
      <c r="C550" s="223"/>
      <c r="D550" s="224"/>
      <c r="E550" s="224"/>
      <c r="F550" s="225"/>
      <c r="G550" s="217"/>
      <c r="H550" s="57" t="s">
        <v>171</v>
      </c>
      <c r="I550" s="50">
        <v>1665333.33</v>
      </c>
      <c r="J550" s="50">
        <f>I550/D542-0.01</f>
        <v>105.06</v>
      </c>
      <c r="K550" s="50">
        <f>2241647/D542-0.01</f>
        <v>141.41999999999999</v>
      </c>
    </row>
    <row r="551" spans="1:11" x14ac:dyDescent="0.25">
      <c r="A551" s="215"/>
      <c r="B551" s="215"/>
      <c r="C551" s="223"/>
      <c r="D551" s="224"/>
      <c r="E551" s="224"/>
      <c r="F551" s="225"/>
      <c r="G551" s="222"/>
      <c r="H551" s="57" t="s">
        <v>69</v>
      </c>
      <c r="I551" s="50">
        <f>I550*0.0214</f>
        <v>35638.129999999997</v>
      </c>
      <c r="J551" s="50">
        <f>I551/D542</f>
        <v>2.25</v>
      </c>
      <c r="K551" s="50">
        <f>47971/D542</f>
        <v>3.03</v>
      </c>
    </row>
    <row r="552" spans="1:11" x14ac:dyDescent="0.25">
      <c r="A552" s="215">
        <f>A542+1</f>
        <v>43</v>
      </c>
      <c r="B552" s="215">
        <v>1605</v>
      </c>
      <c r="C552" s="223" t="s">
        <v>447</v>
      </c>
      <c r="D552" s="224">
        <v>4850.8999999999996</v>
      </c>
      <c r="E552" s="224" t="s">
        <v>64</v>
      </c>
      <c r="F552" s="225">
        <v>10</v>
      </c>
      <c r="G552" s="105"/>
      <c r="H552" s="57" t="s">
        <v>66</v>
      </c>
      <c r="I552" s="50">
        <f>I553+I554+I555+I556</f>
        <v>4189663.37</v>
      </c>
      <c r="J552" s="50">
        <f>J553+J554+J555+J556</f>
        <v>863.69</v>
      </c>
      <c r="K552" s="50">
        <f>K553+K554+K555+K556</f>
        <v>944</v>
      </c>
    </row>
    <row r="553" spans="1:11" x14ac:dyDescent="0.25">
      <c r="A553" s="215">
        <v>756</v>
      </c>
      <c r="B553" s="215"/>
      <c r="C553" s="223"/>
      <c r="D553" s="224"/>
      <c r="E553" s="224"/>
      <c r="F553" s="225"/>
      <c r="G553" s="216" t="s">
        <v>170</v>
      </c>
      <c r="H553" s="57" t="s">
        <v>171</v>
      </c>
      <c r="I553" s="50">
        <v>2062691.12</v>
      </c>
      <c r="J553" s="50">
        <f>I553/D552</f>
        <v>425.22</v>
      </c>
      <c r="K553" s="50">
        <f>2241647/D552</f>
        <v>462.11</v>
      </c>
    </row>
    <row r="554" spans="1:11" x14ac:dyDescent="0.25">
      <c r="A554" s="215">
        <v>757</v>
      </c>
      <c r="B554" s="215"/>
      <c r="C554" s="223"/>
      <c r="D554" s="224"/>
      <c r="E554" s="224"/>
      <c r="F554" s="225"/>
      <c r="G554" s="222"/>
      <c r="H554" s="57" t="s">
        <v>69</v>
      </c>
      <c r="I554" s="50">
        <v>32140.57</v>
      </c>
      <c r="J554" s="50">
        <f>I554/D552</f>
        <v>6.63</v>
      </c>
      <c r="K554" s="50">
        <f>47971/D552</f>
        <v>9.89</v>
      </c>
    </row>
    <row r="555" spans="1:11" x14ac:dyDescent="0.25">
      <c r="A555" s="215"/>
      <c r="B555" s="215"/>
      <c r="C555" s="223"/>
      <c r="D555" s="224"/>
      <c r="E555" s="224"/>
      <c r="F555" s="225"/>
      <c r="G555" s="216" t="s">
        <v>173</v>
      </c>
      <c r="H555" s="57" t="s">
        <v>171</v>
      </c>
      <c r="I555" s="50">
        <v>2062691.12</v>
      </c>
      <c r="J555" s="50">
        <f>I555/D552-0.01</f>
        <v>425.21</v>
      </c>
      <c r="K555" s="50">
        <f>2241647/D552</f>
        <v>462.11</v>
      </c>
    </row>
    <row r="556" spans="1:11" x14ac:dyDescent="0.25">
      <c r="A556" s="215"/>
      <c r="B556" s="215"/>
      <c r="C556" s="223"/>
      <c r="D556" s="224"/>
      <c r="E556" s="224"/>
      <c r="F556" s="225"/>
      <c r="G556" s="222"/>
      <c r="H556" s="57" t="s">
        <v>69</v>
      </c>
      <c r="I556" s="50">
        <v>32140.560000000001</v>
      </c>
      <c r="J556" s="50">
        <f>I556/D552</f>
        <v>6.63</v>
      </c>
      <c r="K556" s="50">
        <f>47971/D552</f>
        <v>9.89</v>
      </c>
    </row>
    <row r="557" spans="1:11" ht="15.75" customHeight="1" x14ac:dyDescent="0.25">
      <c r="A557" s="215">
        <f>A552+1</f>
        <v>44</v>
      </c>
      <c r="B557" s="215">
        <v>1445</v>
      </c>
      <c r="C557" s="223" t="s">
        <v>495</v>
      </c>
      <c r="D557" s="224">
        <v>1372.4</v>
      </c>
      <c r="E557" s="288" t="s">
        <v>68</v>
      </c>
      <c r="F557" s="288">
        <v>6</v>
      </c>
      <c r="G557" s="215" t="s">
        <v>65</v>
      </c>
      <c r="H557" s="57" t="s">
        <v>66</v>
      </c>
      <c r="I557" s="50">
        <f>I558+I559</f>
        <v>2010413.63</v>
      </c>
      <c r="J557" s="50">
        <f>J558+J559</f>
        <v>1464.89</v>
      </c>
      <c r="K557" s="50">
        <f>K558+K559</f>
        <v>3878</v>
      </c>
    </row>
    <row r="558" spans="1:11" x14ac:dyDescent="0.25">
      <c r="A558" s="215">
        <v>77</v>
      </c>
      <c r="B558" s="215"/>
      <c r="C558" s="223"/>
      <c r="D558" s="224"/>
      <c r="E558" s="288"/>
      <c r="F558" s="288"/>
      <c r="G558" s="215"/>
      <c r="H558" s="57" t="s">
        <v>67</v>
      </c>
      <c r="I558" s="50">
        <f>2786822.33*0.7</f>
        <v>1950775.63</v>
      </c>
      <c r="J558" s="50">
        <f>I558/D557</f>
        <v>1421.43</v>
      </c>
      <c r="K558" s="50">
        <v>3797</v>
      </c>
    </row>
    <row r="559" spans="1:11" x14ac:dyDescent="0.25">
      <c r="A559" s="215">
        <v>78</v>
      </c>
      <c r="B559" s="215"/>
      <c r="C559" s="223"/>
      <c r="D559" s="224"/>
      <c r="E559" s="288"/>
      <c r="F559" s="288"/>
      <c r="G559" s="215"/>
      <c r="H559" s="57" t="s">
        <v>69</v>
      </c>
      <c r="I559" s="50">
        <f>2786822.33*0.0214</f>
        <v>59638</v>
      </c>
      <c r="J559" s="50">
        <f>I559/D557</f>
        <v>43.46</v>
      </c>
      <c r="K559" s="50">
        <v>81</v>
      </c>
    </row>
    <row r="560" spans="1:11" x14ac:dyDescent="0.25">
      <c r="A560" s="215">
        <f>A557+1</f>
        <v>45</v>
      </c>
      <c r="B560" s="215">
        <v>1789</v>
      </c>
      <c r="C560" s="223" t="s">
        <v>132</v>
      </c>
      <c r="D560" s="224">
        <v>2815.6</v>
      </c>
      <c r="E560" s="224" t="s">
        <v>68</v>
      </c>
      <c r="F560" s="225">
        <v>5</v>
      </c>
      <c r="G560" s="215" t="s">
        <v>65</v>
      </c>
      <c r="H560" s="57" t="s">
        <v>66</v>
      </c>
      <c r="I560" s="50">
        <f>I561+I562</f>
        <v>7926224.3499999996</v>
      </c>
      <c r="J560" s="50">
        <f>J561+J562</f>
        <v>2815.11</v>
      </c>
      <c r="K560" s="50">
        <f>K561+K562</f>
        <v>3878</v>
      </c>
    </row>
    <row r="561" spans="1:11" x14ac:dyDescent="0.25">
      <c r="A561" s="215">
        <v>75</v>
      </c>
      <c r="B561" s="215"/>
      <c r="C561" s="223"/>
      <c r="D561" s="224"/>
      <c r="E561" s="224"/>
      <c r="F561" s="225"/>
      <c r="G561" s="215"/>
      <c r="H561" s="57" t="s">
        <v>67</v>
      </c>
      <c r="I561" s="50">
        <v>7760156.9900000002</v>
      </c>
      <c r="J561" s="50">
        <f>I561/D560</f>
        <v>2756.13</v>
      </c>
      <c r="K561" s="50">
        <v>3797</v>
      </c>
    </row>
    <row r="562" spans="1:11" x14ac:dyDescent="0.25">
      <c r="A562" s="215"/>
      <c r="B562" s="215"/>
      <c r="C562" s="223"/>
      <c r="D562" s="224"/>
      <c r="E562" s="224"/>
      <c r="F562" s="225"/>
      <c r="G562" s="215"/>
      <c r="H562" s="57" t="s">
        <v>69</v>
      </c>
      <c r="I562" s="50">
        <f>I561*0.0214</f>
        <v>166067.35999999999</v>
      </c>
      <c r="J562" s="50">
        <f>I562/D560</f>
        <v>58.98</v>
      </c>
      <c r="K562" s="50">
        <v>81</v>
      </c>
    </row>
    <row r="563" spans="1:11" x14ac:dyDescent="0.25">
      <c r="A563" s="215">
        <f>A560+1</f>
        <v>46</v>
      </c>
      <c r="B563" s="215">
        <v>1042</v>
      </c>
      <c r="C563" s="223" t="s">
        <v>133</v>
      </c>
      <c r="D563" s="224">
        <v>3945.3</v>
      </c>
      <c r="E563" s="224" t="s">
        <v>64</v>
      </c>
      <c r="F563" s="225">
        <v>5</v>
      </c>
      <c r="G563" s="215" t="s">
        <v>65</v>
      </c>
      <c r="H563" s="57" t="s">
        <v>66</v>
      </c>
      <c r="I563" s="50">
        <f>I564+I565</f>
        <v>5819937.8700000001</v>
      </c>
      <c r="J563" s="50">
        <f>J564+J565</f>
        <v>1475.16</v>
      </c>
      <c r="K563" s="50">
        <f>K564+K565</f>
        <v>3878</v>
      </c>
    </row>
    <row r="564" spans="1:11" x14ac:dyDescent="0.25">
      <c r="A564" s="215">
        <v>75</v>
      </c>
      <c r="B564" s="215"/>
      <c r="C564" s="223"/>
      <c r="D564" s="224"/>
      <c r="E564" s="224"/>
      <c r="F564" s="225"/>
      <c r="G564" s="215"/>
      <c r="H564" s="57" t="s">
        <v>67</v>
      </c>
      <c r="I564" s="50">
        <v>5698000.6600000001</v>
      </c>
      <c r="J564" s="50">
        <f>I564/D563</f>
        <v>1444.25</v>
      </c>
      <c r="K564" s="50">
        <v>3797</v>
      </c>
    </row>
    <row r="565" spans="1:11" x14ac:dyDescent="0.25">
      <c r="A565" s="215"/>
      <c r="B565" s="215"/>
      <c r="C565" s="223"/>
      <c r="D565" s="224"/>
      <c r="E565" s="224"/>
      <c r="F565" s="225"/>
      <c r="G565" s="215"/>
      <c r="H565" s="57" t="s">
        <v>69</v>
      </c>
      <c r="I565" s="50">
        <f>I564*0.0214</f>
        <v>121937.21</v>
      </c>
      <c r="J565" s="50">
        <f>I565/D563</f>
        <v>30.91</v>
      </c>
      <c r="K565" s="50">
        <v>81</v>
      </c>
    </row>
    <row r="566" spans="1:11" ht="15.75" customHeight="1" x14ac:dyDescent="0.25">
      <c r="A566" s="216">
        <f>A563+1</f>
        <v>47</v>
      </c>
      <c r="B566" s="216">
        <v>1818</v>
      </c>
      <c r="C566" s="218" t="s">
        <v>603</v>
      </c>
      <c r="D566" s="220">
        <v>1284.2</v>
      </c>
      <c r="E566" s="220" t="s">
        <v>68</v>
      </c>
      <c r="F566" s="228">
        <v>4</v>
      </c>
      <c r="G566" s="108"/>
      <c r="H566" s="57" t="s">
        <v>66</v>
      </c>
      <c r="I566" s="50">
        <f>I567+I568+I569+I570</f>
        <v>286376.59999999998</v>
      </c>
      <c r="J566" s="50">
        <f>J567+J568+J569+J570</f>
        <v>223</v>
      </c>
      <c r="K566" s="50">
        <f>K567+K568+K569+K570</f>
        <v>223</v>
      </c>
    </row>
    <row r="567" spans="1:11" ht="47.25" customHeight="1" x14ac:dyDescent="0.25">
      <c r="A567" s="217"/>
      <c r="B567" s="217"/>
      <c r="C567" s="219"/>
      <c r="D567" s="217"/>
      <c r="E567" s="221"/>
      <c r="F567" s="229"/>
      <c r="G567" s="102" t="s">
        <v>70</v>
      </c>
      <c r="H567" s="57" t="s">
        <v>168</v>
      </c>
      <c r="I567" s="50">
        <f>D566*K567</f>
        <v>175935.4</v>
      </c>
      <c r="J567" s="50">
        <f>I567/D566</f>
        <v>137</v>
      </c>
      <c r="K567" s="50">
        <f>116+21</f>
        <v>137</v>
      </c>
    </row>
    <row r="568" spans="1:11" ht="47.25" customHeight="1" x14ac:dyDescent="0.25">
      <c r="A568" s="217"/>
      <c r="B568" s="217"/>
      <c r="C568" s="219"/>
      <c r="D568" s="217"/>
      <c r="E568" s="221"/>
      <c r="F568" s="229"/>
      <c r="G568" s="102" t="s">
        <v>71</v>
      </c>
      <c r="H568" s="57" t="s">
        <v>168</v>
      </c>
      <c r="I568" s="50">
        <f>D566*K568</f>
        <v>37241.800000000003</v>
      </c>
      <c r="J568" s="50">
        <f>I568/D566</f>
        <v>29</v>
      </c>
      <c r="K568" s="50">
        <f>21+8</f>
        <v>29</v>
      </c>
    </row>
    <row r="569" spans="1:11" ht="47.25" customHeight="1" x14ac:dyDescent="0.25">
      <c r="A569" s="217"/>
      <c r="B569" s="217"/>
      <c r="C569" s="219"/>
      <c r="D569" s="217"/>
      <c r="E569" s="221"/>
      <c r="F569" s="229"/>
      <c r="G569" s="102" t="s">
        <v>72</v>
      </c>
      <c r="H569" s="57" t="s">
        <v>168</v>
      </c>
      <c r="I569" s="50">
        <f>D566*K569</f>
        <v>37241.800000000003</v>
      </c>
      <c r="J569" s="50">
        <f>I569/D566</f>
        <v>29</v>
      </c>
      <c r="K569" s="50">
        <f>22+7</f>
        <v>29</v>
      </c>
    </row>
    <row r="570" spans="1:11" ht="47.25" customHeight="1" x14ac:dyDescent="0.25">
      <c r="A570" s="217"/>
      <c r="B570" s="217"/>
      <c r="C570" s="219"/>
      <c r="D570" s="217"/>
      <c r="E570" s="221"/>
      <c r="F570" s="229"/>
      <c r="G570" s="102" t="s">
        <v>78</v>
      </c>
      <c r="H570" s="57" t="s">
        <v>168</v>
      </c>
      <c r="I570" s="50">
        <f>D566*K570</f>
        <v>35957.599999999999</v>
      </c>
      <c r="J570" s="50">
        <f>I570/D566</f>
        <v>28</v>
      </c>
      <c r="K570" s="50">
        <f>19+9</f>
        <v>28</v>
      </c>
    </row>
    <row r="571" spans="1:11" x14ac:dyDescent="0.25">
      <c r="A571" s="215">
        <f>A566+1</f>
        <v>48</v>
      </c>
      <c r="B571" s="215">
        <v>1271</v>
      </c>
      <c r="C571" s="223" t="s">
        <v>103</v>
      </c>
      <c r="D571" s="224">
        <v>5305.3</v>
      </c>
      <c r="E571" s="224" t="s">
        <v>68</v>
      </c>
      <c r="F571" s="225">
        <v>5</v>
      </c>
      <c r="G571" s="215" t="s">
        <v>65</v>
      </c>
      <c r="H571" s="57" t="s">
        <v>66</v>
      </c>
      <c r="I571" s="50">
        <f>I572+I573</f>
        <v>12980844.720000001</v>
      </c>
      <c r="J571" s="50">
        <f>J572+J573</f>
        <v>2446.77</v>
      </c>
      <c r="K571" s="50">
        <f>K572+K573</f>
        <v>3878</v>
      </c>
    </row>
    <row r="572" spans="1:11" x14ac:dyDescent="0.25">
      <c r="A572" s="215">
        <v>77</v>
      </c>
      <c r="B572" s="215"/>
      <c r="C572" s="223"/>
      <c r="D572" s="215"/>
      <c r="E572" s="224"/>
      <c r="F572" s="225"/>
      <c r="G572" s="215"/>
      <c r="H572" s="57" t="s">
        <v>67</v>
      </c>
      <c r="I572" s="50">
        <v>12708874.800000001</v>
      </c>
      <c r="J572" s="50">
        <f>I572/D571</f>
        <v>2395.5100000000002</v>
      </c>
      <c r="K572" s="50">
        <v>3797</v>
      </c>
    </row>
    <row r="573" spans="1:11" x14ac:dyDescent="0.25">
      <c r="A573" s="215"/>
      <c r="B573" s="215"/>
      <c r="C573" s="223"/>
      <c r="D573" s="215"/>
      <c r="E573" s="224"/>
      <c r="F573" s="225"/>
      <c r="G573" s="215"/>
      <c r="H573" s="57" t="s">
        <v>69</v>
      </c>
      <c r="I573" s="50">
        <v>271969.91999999998</v>
      </c>
      <c r="J573" s="50">
        <f>I573/D571</f>
        <v>51.26</v>
      </c>
      <c r="K573" s="50">
        <v>81</v>
      </c>
    </row>
    <row r="574" spans="1:11" x14ac:dyDescent="0.25">
      <c r="A574" s="215">
        <f>A571+1</f>
        <v>49</v>
      </c>
      <c r="B574" s="215">
        <v>1322</v>
      </c>
      <c r="C574" s="223" t="s">
        <v>135</v>
      </c>
      <c r="D574" s="224">
        <v>2419.6999999999998</v>
      </c>
      <c r="E574" s="224" t="s">
        <v>68</v>
      </c>
      <c r="F574" s="225">
        <v>5</v>
      </c>
      <c r="G574" s="215" t="s">
        <v>65</v>
      </c>
      <c r="H574" s="57" t="s">
        <v>66</v>
      </c>
      <c r="I574" s="50">
        <f>I575+I576</f>
        <v>6964368.9199999999</v>
      </c>
      <c r="J574" s="50">
        <f>J575+J576</f>
        <v>2878.2</v>
      </c>
      <c r="K574" s="50">
        <f>K575+K576</f>
        <v>3878</v>
      </c>
    </row>
    <row r="575" spans="1:11" x14ac:dyDescent="0.25">
      <c r="A575" s="215">
        <v>75</v>
      </c>
      <c r="B575" s="215"/>
      <c r="C575" s="223"/>
      <c r="D575" s="215"/>
      <c r="E575" s="224"/>
      <c r="F575" s="225"/>
      <c r="G575" s="215"/>
      <c r="H575" s="57" t="s">
        <v>67</v>
      </c>
      <c r="I575" s="50">
        <v>6818454</v>
      </c>
      <c r="J575" s="50">
        <f>I575/D574+0.01</f>
        <v>2817.9</v>
      </c>
      <c r="K575" s="50">
        <v>3797</v>
      </c>
    </row>
    <row r="576" spans="1:11" x14ac:dyDescent="0.25">
      <c r="A576" s="215"/>
      <c r="B576" s="215"/>
      <c r="C576" s="223"/>
      <c r="D576" s="215"/>
      <c r="E576" s="224"/>
      <c r="F576" s="225"/>
      <c r="G576" s="215"/>
      <c r="H576" s="57" t="s">
        <v>69</v>
      </c>
      <c r="I576" s="50">
        <v>145914.92000000001</v>
      </c>
      <c r="J576" s="50">
        <f>I576/D574</f>
        <v>60.3</v>
      </c>
      <c r="K576" s="50">
        <v>81</v>
      </c>
    </row>
    <row r="577" spans="1:11" x14ac:dyDescent="0.25">
      <c r="A577" s="215">
        <f>A574+1</f>
        <v>50</v>
      </c>
      <c r="B577" s="215">
        <v>1323</v>
      </c>
      <c r="C577" s="223" t="s">
        <v>136</v>
      </c>
      <c r="D577" s="224">
        <v>2542.4</v>
      </c>
      <c r="E577" s="224" t="s">
        <v>68</v>
      </c>
      <c r="F577" s="225">
        <v>5</v>
      </c>
      <c r="G577" s="215" t="s">
        <v>65</v>
      </c>
      <c r="H577" s="57" t="s">
        <v>66</v>
      </c>
      <c r="I577" s="50">
        <f>I578+I579</f>
        <v>7557784.9699999997</v>
      </c>
      <c r="J577" s="50">
        <f>J578+J579</f>
        <v>2972.7</v>
      </c>
      <c r="K577" s="50">
        <f>K578+K579</f>
        <v>3878</v>
      </c>
    </row>
    <row r="578" spans="1:11" x14ac:dyDescent="0.25">
      <c r="A578" s="215">
        <v>75</v>
      </c>
      <c r="B578" s="215"/>
      <c r="C578" s="223"/>
      <c r="D578" s="215"/>
      <c r="E578" s="224"/>
      <c r="F578" s="225"/>
      <c r="G578" s="215"/>
      <c r="H578" s="57" t="s">
        <v>67</v>
      </c>
      <c r="I578" s="50">
        <v>7399437.0199999996</v>
      </c>
      <c r="J578" s="50">
        <f>I578/D577+0.01</f>
        <v>2910.42</v>
      </c>
      <c r="K578" s="50">
        <v>3797</v>
      </c>
    </row>
    <row r="579" spans="1:11" x14ac:dyDescent="0.25">
      <c r="A579" s="215"/>
      <c r="B579" s="215"/>
      <c r="C579" s="223"/>
      <c r="D579" s="215"/>
      <c r="E579" s="224"/>
      <c r="F579" s="225"/>
      <c r="G579" s="215"/>
      <c r="H579" s="57" t="s">
        <v>69</v>
      </c>
      <c r="I579" s="50">
        <v>158347.95000000001</v>
      </c>
      <c r="J579" s="50">
        <f>I579/D577</f>
        <v>62.28</v>
      </c>
      <c r="K579" s="50">
        <v>81</v>
      </c>
    </row>
    <row r="580" spans="1:11" x14ac:dyDescent="0.25">
      <c r="A580" s="215">
        <f>A577+1</f>
        <v>51</v>
      </c>
      <c r="B580" s="215">
        <v>1484</v>
      </c>
      <c r="C580" s="223" t="s">
        <v>362</v>
      </c>
      <c r="D580" s="224">
        <v>4340.5</v>
      </c>
      <c r="E580" s="224" t="s">
        <v>64</v>
      </c>
      <c r="F580" s="225">
        <v>5</v>
      </c>
      <c r="G580" s="215" t="s">
        <v>65</v>
      </c>
      <c r="H580" s="57" t="s">
        <v>66</v>
      </c>
      <c r="I580" s="50">
        <f>I581+I582</f>
        <v>8539283.8399999999</v>
      </c>
      <c r="J580" s="50">
        <f>J581+J582</f>
        <v>1967.35</v>
      </c>
      <c r="K580" s="50">
        <f>K581+K582</f>
        <v>3878</v>
      </c>
    </row>
    <row r="581" spans="1:11" x14ac:dyDescent="0.25">
      <c r="A581" s="215">
        <v>76</v>
      </c>
      <c r="B581" s="215"/>
      <c r="C581" s="223"/>
      <c r="D581" s="224"/>
      <c r="E581" s="224"/>
      <c r="F581" s="225"/>
      <c r="G581" s="215"/>
      <c r="H581" s="57" t="s">
        <v>67</v>
      </c>
      <c r="I581" s="50">
        <f>(6821601+8768.18)*1.02*1.2</f>
        <v>8360371.8799999999</v>
      </c>
      <c r="J581" s="50">
        <f>I581/D580</f>
        <v>1926.13</v>
      </c>
      <c r="K581" s="50">
        <v>3797</v>
      </c>
    </row>
    <row r="582" spans="1:11" x14ac:dyDescent="0.25">
      <c r="A582" s="215"/>
      <c r="B582" s="215"/>
      <c r="C582" s="223"/>
      <c r="D582" s="224"/>
      <c r="E582" s="224"/>
      <c r="F582" s="225"/>
      <c r="G582" s="215"/>
      <c r="H582" s="57" t="s">
        <v>69</v>
      </c>
      <c r="I582" s="50">
        <f>I581*0.0214</f>
        <v>178911.96</v>
      </c>
      <c r="J582" s="50">
        <f>I582/D580</f>
        <v>41.22</v>
      </c>
      <c r="K582" s="50">
        <v>81</v>
      </c>
    </row>
    <row r="583" spans="1:11" ht="15.75" customHeight="1" x14ac:dyDescent="0.25">
      <c r="A583" s="216">
        <f>A580+1</f>
        <v>52</v>
      </c>
      <c r="B583" s="216">
        <v>3345</v>
      </c>
      <c r="C583" s="218" t="s">
        <v>604</v>
      </c>
      <c r="D583" s="220">
        <v>4732.1899999999996</v>
      </c>
      <c r="E583" s="216" t="s">
        <v>68</v>
      </c>
      <c r="F583" s="216">
        <v>9</v>
      </c>
      <c r="G583" s="105"/>
      <c r="H583" s="57" t="s">
        <v>66</v>
      </c>
      <c r="I583" s="50">
        <f>I584</f>
        <v>32281</v>
      </c>
      <c r="J583" s="50">
        <f>J584</f>
        <v>6.82</v>
      </c>
      <c r="K583" s="50">
        <f>K584</f>
        <v>6.82</v>
      </c>
    </row>
    <row r="584" spans="1:11" ht="47.25" customHeight="1" x14ac:dyDescent="0.25">
      <c r="A584" s="217"/>
      <c r="B584" s="217"/>
      <c r="C584" s="219"/>
      <c r="D584" s="221"/>
      <c r="E584" s="217"/>
      <c r="F584" s="217"/>
      <c r="G584" s="102" t="s">
        <v>170</v>
      </c>
      <c r="H584" s="57" t="s">
        <v>168</v>
      </c>
      <c r="I584" s="50">
        <f>22681+9600</f>
        <v>32281</v>
      </c>
      <c r="J584" s="50">
        <f>I584/D583</f>
        <v>6.82</v>
      </c>
      <c r="K584" s="50">
        <f>32281/D583</f>
        <v>6.82</v>
      </c>
    </row>
    <row r="585" spans="1:11" x14ac:dyDescent="0.25">
      <c r="A585" s="215">
        <f>A583+1</f>
        <v>53</v>
      </c>
      <c r="B585" s="215">
        <v>4242</v>
      </c>
      <c r="C585" s="223" t="s">
        <v>203</v>
      </c>
      <c r="D585" s="224">
        <v>8994.61</v>
      </c>
      <c r="E585" s="224" t="s">
        <v>64</v>
      </c>
      <c r="F585" s="225">
        <v>10</v>
      </c>
      <c r="G585" s="105"/>
      <c r="H585" s="57" t="s">
        <v>66</v>
      </c>
      <c r="I585" s="50">
        <f>SUM(I586:I589)</f>
        <v>4195085.97</v>
      </c>
      <c r="J585" s="50">
        <f>SUM(J586:J589)</f>
        <v>466.4</v>
      </c>
      <c r="K585" s="50">
        <f>SUM(K586:K589)</f>
        <v>509.1</v>
      </c>
    </row>
    <row r="586" spans="1:11" x14ac:dyDescent="0.25">
      <c r="A586" s="215">
        <v>756</v>
      </c>
      <c r="B586" s="215"/>
      <c r="C586" s="223"/>
      <c r="D586" s="224"/>
      <c r="E586" s="224"/>
      <c r="F586" s="225"/>
      <c r="G586" s="215" t="s">
        <v>170</v>
      </c>
      <c r="H586" s="57" t="s">
        <v>171</v>
      </c>
      <c r="I586" s="50">
        <v>2069033.64</v>
      </c>
      <c r="J586" s="50">
        <f>I586/D585-0.01</f>
        <v>230.02</v>
      </c>
      <c r="K586" s="50">
        <f>2241647/D585</f>
        <v>249.22</v>
      </c>
    </row>
    <row r="587" spans="1:11" x14ac:dyDescent="0.25">
      <c r="A587" s="215">
        <v>757</v>
      </c>
      <c r="B587" s="215"/>
      <c r="C587" s="223"/>
      <c r="D587" s="224"/>
      <c r="E587" s="224"/>
      <c r="F587" s="225"/>
      <c r="G587" s="215"/>
      <c r="H587" s="57" t="s">
        <v>69</v>
      </c>
      <c r="I587" s="50">
        <v>36386.160000000003</v>
      </c>
      <c r="J587" s="50">
        <f>I587/D585</f>
        <v>4.05</v>
      </c>
      <c r="K587" s="50">
        <f>47971/D585</f>
        <v>5.33</v>
      </c>
    </row>
    <row r="588" spans="1:11" x14ac:dyDescent="0.25">
      <c r="A588" s="215"/>
      <c r="B588" s="215"/>
      <c r="C588" s="223"/>
      <c r="D588" s="224"/>
      <c r="E588" s="224"/>
      <c r="F588" s="225"/>
      <c r="G588" s="215" t="s">
        <v>173</v>
      </c>
      <c r="H588" s="57" t="s">
        <v>171</v>
      </c>
      <c r="I588" s="50">
        <v>2053280.02</v>
      </c>
      <c r="J588" s="50">
        <f>I588/D585</f>
        <v>228.28</v>
      </c>
      <c r="K588" s="50">
        <f>2241647/D585</f>
        <v>249.22</v>
      </c>
    </row>
    <row r="589" spans="1:11" x14ac:dyDescent="0.25">
      <c r="A589" s="215"/>
      <c r="B589" s="215"/>
      <c r="C589" s="223"/>
      <c r="D589" s="224"/>
      <c r="E589" s="224"/>
      <c r="F589" s="225"/>
      <c r="G589" s="215"/>
      <c r="H589" s="57" t="s">
        <v>69</v>
      </c>
      <c r="I589" s="50">
        <v>36386.15</v>
      </c>
      <c r="J589" s="50">
        <f>I589/D585</f>
        <v>4.05</v>
      </c>
      <c r="K589" s="50">
        <f>47971/D585</f>
        <v>5.33</v>
      </c>
    </row>
    <row r="590" spans="1:11" x14ac:dyDescent="0.25">
      <c r="A590" s="215">
        <f>A585+1</f>
        <v>54</v>
      </c>
      <c r="B590" s="215">
        <v>3198</v>
      </c>
      <c r="C590" s="223" t="s">
        <v>138</v>
      </c>
      <c r="D590" s="224">
        <v>2619.1</v>
      </c>
      <c r="E590" s="224" t="s">
        <v>64</v>
      </c>
      <c r="F590" s="225">
        <v>5</v>
      </c>
      <c r="G590" s="215" t="s">
        <v>65</v>
      </c>
      <c r="H590" s="57" t="s">
        <v>66</v>
      </c>
      <c r="I590" s="50">
        <f>I591+I592</f>
        <v>7373396.2999999998</v>
      </c>
      <c r="J590" s="50">
        <f>J591+J592</f>
        <v>2815.24</v>
      </c>
      <c r="K590" s="50">
        <f>K591+K592</f>
        <v>3878</v>
      </c>
    </row>
    <row r="591" spans="1:11" x14ac:dyDescent="0.25">
      <c r="A591" s="215">
        <v>75</v>
      </c>
      <c r="B591" s="215"/>
      <c r="C591" s="223"/>
      <c r="D591" s="224"/>
      <c r="E591" s="224"/>
      <c r="F591" s="225"/>
      <c r="G591" s="215"/>
      <c r="H591" s="57" t="s">
        <v>67</v>
      </c>
      <c r="I591" s="50">
        <v>7218911.5899999999</v>
      </c>
      <c r="J591" s="50">
        <f>I591/D590</f>
        <v>2756.26</v>
      </c>
      <c r="K591" s="50">
        <v>3797</v>
      </c>
    </row>
    <row r="592" spans="1:11" x14ac:dyDescent="0.25">
      <c r="A592" s="215"/>
      <c r="B592" s="215"/>
      <c r="C592" s="223"/>
      <c r="D592" s="224"/>
      <c r="E592" s="224"/>
      <c r="F592" s="225"/>
      <c r="G592" s="215"/>
      <c r="H592" s="57" t="s">
        <v>69</v>
      </c>
      <c r="I592" s="50">
        <v>154484.71</v>
      </c>
      <c r="J592" s="50">
        <f>I592/D590</f>
        <v>58.98</v>
      </c>
      <c r="K592" s="50">
        <v>81</v>
      </c>
    </row>
    <row r="593" spans="1:11" x14ac:dyDescent="0.25">
      <c r="A593" s="215">
        <f>A590+1</f>
        <v>55</v>
      </c>
      <c r="B593" s="215">
        <v>3204</v>
      </c>
      <c r="C593" s="223" t="s">
        <v>363</v>
      </c>
      <c r="D593" s="224">
        <v>2626.3</v>
      </c>
      <c r="E593" s="224" t="s">
        <v>64</v>
      </c>
      <c r="F593" s="225">
        <v>5</v>
      </c>
      <c r="G593" s="215" t="s">
        <v>65</v>
      </c>
      <c r="H593" s="57" t="s">
        <v>66</v>
      </c>
      <c r="I593" s="50">
        <f>I594+I595</f>
        <v>6844077</v>
      </c>
      <c r="J593" s="50">
        <f>J594+J595</f>
        <v>2605.98</v>
      </c>
      <c r="K593" s="50">
        <f>K594+K595</f>
        <v>3878</v>
      </c>
    </row>
    <row r="594" spans="1:11" x14ac:dyDescent="0.25">
      <c r="A594" s="215">
        <v>75</v>
      </c>
      <c r="B594" s="215"/>
      <c r="C594" s="223"/>
      <c r="D594" s="224"/>
      <c r="E594" s="224"/>
      <c r="F594" s="225"/>
      <c r="G594" s="215"/>
      <c r="H594" s="57" t="s">
        <v>67</v>
      </c>
      <c r="I594" s="50">
        <v>6700682.4000000004</v>
      </c>
      <c r="J594" s="50">
        <f>I594/D593</f>
        <v>2551.38</v>
      </c>
      <c r="K594" s="50">
        <v>3797</v>
      </c>
    </row>
    <row r="595" spans="1:11" x14ac:dyDescent="0.25">
      <c r="A595" s="215"/>
      <c r="B595" s="215"/>
      <c r="C595" s="223"/>
      <c r="D595" s="224"/>
      <c r="E595" s="224"/>
      <c r="F595" s="225"/>
      <c r="G595" s="215"/>
      <c r="H595" s="57" t="s">
        <v>69</v>
      </c>
      <c r="I595" s="50">
        <v>143394.6</v>
      </c>
      <c r="J595" s="50">
        <f>I595/D593</f>
        <v>54.6</v>
      </c>
      <c r="K595" s="50">
        <v>81</v>
      </c>
    </row>
    <row r="596" spans="1:11" ht="15.75" customHeight="1" x14ac:dyDescent="0.25">
      <c r="A596" s="215">
        <f>A593+1</f>
        <v>56</v>
      </c>
      <c r="B596" s="215">
        <v>4069</v>
      </c>
      <c r="C596" s="223" t="s">
        <v>278</v>
      </c>
      <c r="D596" s="224">
        <v>10295.969999999999</v>
      </c>
      <c r="E596" s="224" t="s">
        <v>64</v>
      </c>
      <c r="F596" s="225">
        <v>10</v>
      </c>
      <c r="G596" s="215" t="s">
        <v>65</v>
      </c>
      <c r="H596" s="57" t="s">
        <v>66</v>
      </c>
      <c r="I596" s="50">
        <f>I597+I598</f>
        <v>14705145.220000001</v>
      </c>
      <c r="J596" s="50">
        <f>J597+J598</f>
        <v>1428.24</v>
      </c>
      <c r="K596" s="50">
        <f>K597+K598</f>
        <v>2492</v>
      </c>
    </row>
    <row r="597" spans="1:11" x14ac:dyDescent="0.25">
      <c r="A597" s="215">
        <v>77</v>
      </c>
      <c r="B597" s="215"/>
      <c r="C597" s="223"/>
      <c r="D597" s="215"/>
      <c r="E597" s="224"/>
      <c r="F597" s="225"/>
      <c r="G597" s="215"/>
      <c r="H597" s="57" t="s">
        <v>67</v>
      </c>
      <c r="I597" s="50">
        <v>14397048.380000001</v>
      </c>
      <c r="J597" s="50">
        <f>I597/D596</f>
        <v>1398.32</v>
      </c>
      <c r="K597" s="50">
        <v>2440</v>
      </c>
    </row>
    <row r="598" spans="1:11" x14ac:dyDescent="0.25">
      <c r="A598" s="215"/>
      <c r="B598" s="215"/>
      <c r="C598" s="223"/>
      <c r="D598" s="215"/>
      <c r="E598" s="224"/>
      <c r="F598" s="225"/>
      <c r="G598" s="215"/>
      <c r="H598" s="57" t="s">
        <v>69</v>
      </c>
      <c r="I598" s="50">
        <v>308096.84000000003</v>
      </c>
      <c r="J598" s="50">
        <f>I598/D596</f>
        <v>29.92</v>
      </c>
      <c r="K598" s="50">
        <v>52</v>
      </c>
    </row>
    <row r="599" spans="1:11" x14ac:dyDescent="0.25">
      <c r="A599" s="215">
        <f>A596+1</f>
        <v>57</v>
      </c>
      <c r="B599" s="215">
        <v>3120</v>
      </c>
      <c r="C599" s="223" t="s">
        <v>247</v>
      </c>
      <c r="D599" s="224">
        <v>2323</v>
      </c>
      <c r="E599" s="224" t="s">
        <v>68</v>
      </c>
      <c r="F599" s="225">
        <v>5</v>
      </c>
      <c r="G599" s="215" t="s">
        <v>65</v>
      </c>
      <c r="H599" s="57" t="s">
        <v>66</v>
      </c>
      <c r="I599" s="50">
        <f>I600+I601</f>
        <v>6216049.4000000004</v>
      </c>
      <c r="J599" s="50">
        <f>J600+J601</f>
        <v>2675.87</v>
      </c>
      <c r="K599" s="50">
        <f>K600+K601</f>
        <v>3878</v>
      </c>
    </row>
    <row r="600" spans="1:11" x14ac:dyDescent="0.25">
      <c r="A600" s="215">
        <v>75</v>
      </c>
      <c r="B600" s="215"/>
      <c r="C600" s="223"/>
      <c r="D600" s="224"/>
      <c r="E600" s="224"/>
      <c r="F600" s="225"/>
      <c r="G600" s="215"/>
      <c r="H600" s="57" t="s">
        <v>67</v>
      </c>
      <c r="I600" s="50">
        <v>6085813</v>
      </c>
      <c r="J600" s="50">
        <f>I600/D599</f>
        <v>2619.81</v>
      </c>
      <c r="K600" s="50">
        <v>3797</v>
      </c>
    </row>
    <row r="601" spans="1:11" x14ac:dyDescent="0.25">
      <c r="A601" s="215"/>
      <c r="B601" s="215"/>
      <c r="C601" s="223"/>
      <c r="D601" s="224"/>
      <c r="E601" s="224"/>
      <c r="F601" s="225"/>
      <c r="G601" s="215"/>
      <c r="H601" s="57" t="s">
        <v>69</v>
      </c>
      <c r="I601" s="50">
        <v>130236.4</v>
      </c>
      <c r="J601" s="50">
        <f>I601/D599</f>
        <v>56.06</v>
      </c>
      <c r="K601" s="50">
        <v>81</v>
      </c>
    </row>
    <row r="602" spans="1:11" x14ac:dyDescent="0.25">
      <c r="A602" s="215">
        <f>A599+1</f>
        <v>58</v>
      </c>
      <c r="B602" s="215">
        <v>3445</v>
      </c>
      <c r="C602" s="223" t="s">
        <v>248</v>
      </c>
      <c r="D602" s="224">
        <v>5942.4</v>
      </c>
      <c r="E602" s="224" t="s">
        <v>68</v>
      </c>
      <c r="F602" s="225">
        <v>5</v>
      </c>
      <c r="G602" s="215" t="s">
        <v>65</v>
      </c>
      <c r="H602" s="57" t="s">
        <v>66</v>
      </c>
      <c r="I602" s="50">
        <f>I603+I604</f>
        <v>17811511.719999999</v>
      </c>
      <c r="J602" s="50">
        <f>J603+J604</f>
        <v>2997.36</v>
      </c>
      <c r="K602" s="50">
        <f>K603+K604</f>
        <v>3878</v>
      </c>
    </row>
    <row r="603" spans="1:11" x14ac:dyDescent="0.25">
      <c r="A603" s="215">
        <v>75</v>
      </c>
      <c r="B603" s="215"/>
      <c r="C603" s="223"/>
      <c r="D603" s="224"/>
      <c r="E603" s="224"/>
      <c r="F603" s="225"/>
      <c r="G603" s="215"/>
      <c r="H603" s="57" t="s">
        <v>67</v>
      </c>
      <c r="I603" s="50">
        <v>17438331.43</v>
      </c>
      <c r="J603" s="50">
        <f>I603/D602</f>
        <v>2934.56</v>
      </c>
      <c r="K603" s="50">
        <v>3797</v>
      </c>
    </row>
    <row r="604" spans="1:11" x14ac:dyDescent="0.25">
      <c r="A604" s="215"/>
      <c r="B604" s="215"/>
      <c r="C604" s="223"/>
      <c r="D604" s="224"/>
      <c r="E604" s="224"/>
      <c r="F604" s="225"/>
      <c r="G604" s="215"/>
      <c r="H604" s="57" t="s">
        <v>69</v>
      </c>
      <c r="I604" s="50">
        <v>373180.29</v>
      </c>
      <c r="J604" s="50">
        <f>I604/D602</f>
        <v>62.8</v>
      </c>
      <c r="K604" s="50">
        <v>81</v>
      </c>
    </row>
    <row r="605" spans="1:11" ht="15.75" customHeight="1" x14ac:dyDescent="0.25">
      <c r="A605" s="216">
        <f>A602+1</f>
        <v>59</v>
      </c>
      <c r="B605" s="216">
        <v>3304</v>
      </c>
      <c r="C605" s="218" t="s">
        <v>249</v>
      </c>
      <c r="D605" s="220">
        <v>4426.3999999999996</v>
      </c>
      <c r="E605" s="216" t="s">
        <v>68</v>
      </c>
      <c r="F605" s="216">
        <v>10</v>
      </c>
      <c r="G605" s="105"/>
      <c r="H605" s="57" t="s">
        <v>66</v>
      </c>
      <c r="I605" s="50">
        <f>I606+I607</f>
        <v>64562</v>
      </c>
      <c r="J605" s="50">
        <f t="shared" ref="J605:K605" si="18">J606+J607</f>
        <v>14.59</v>
      </c>
      <c r="K605" s="50">
        <f t="shared" si="18"/>
        <v>14.59</v>
      </c>
    </row>
    <row r="606" spans="1:11" ht="47.25" customHeight="1" x14ac:dyDescent="0.25">
      <c r="A606" s="217"/>
      <c r="B606" s="217"/>
      <c r="C606" s="219"/>
      <c r="D606" s="221"/>
      <c r="E606" s="217"/>
      <c r="F606" s="217"/>
      <c r="G606" s="102" t="s">
        <v>170</v>
      </c>
      <c r="H606" s="57" t="s">
        <v>168</v>
      </c>
      <c r="I606" s="50">
        <f>22681+9600</f>
        <v>32281</v>
      </c>
      <c r="J606" s="50">
        <f>I606/D605+0.01</f>
        <v>7.3</v>
      </c>
      <c r="K606" s="50">
        <f>32281/D605+0.01</f>
        <v>7.3</v>
      </c>
    </row>
    <row r="607" spans="1:11" ht="47.25" customHeight="1" x14ac:dyDescent="0.25">
      <c r="A607" s="217"/>
      <c r="B607" s="217"/>
      <c r="C607" s="219"/>
      <c r="D607" s="221"/>
      <c r="E607" s="217"/>
      <c r="F607" s="217"/>
      <c r="G607" s="102" t="s">
        <v>173</v>
      </c>
      <c r="H607" s="57" t="s">
        <v>168</v>
      </c>
      <c r="I607" s="50">
        <f>22681+9600</f>
        <v>32281</v>
      </c>
      <c r="J607" s="50">
        <f>I607/D605</f>
        <v>7.29</v>
      </c>
      <c r="K607" s="50">
        <f>32281/D605</f>
        <v>7.29</v>
      </c>
    </row>
    <row r="608" spans="1:11" x14ac:dyDescent="0.25">
      <c r="A608" s="215">
        <f>A605+1</f>
        <v>60</v>
      </c>
      <c r="B608" s="215">
        <v>4054</v>
      </c>
      <c r="C608" s="223" t="s">
        <v>250</v>
      </c>
      <c r="D608" s="224">
        <v>2911</v>
      </c>
      <c r="E608" s="224" t="s">
        <v>64</v>
      </c>
      <c r="F608" s="225">
        <v>5</v>
      </c>
      <c r="G608" s="215" t="s">
        <v>65</v>
      </c>
      <c r="H608" s="57" t="s">
        <v>66</v>
      </c>
      <c r="I608" s="50">
        <f>I609+I610</f>
        <v>7885398.7400000002</v>
      </c>
      <c r="J608" s="50">
        <f>J609+J610</f>
        <v>2708.83</v>
      </c>
      <c r="K608" s="50">
        <f>K609+K610</f>
        <v>3878</v>
      </c>
    </row>
    <row r="609" spans="1:11" x14ac:dyDescent="0.25">
      <c r="A609" s="215"/>
      <c r="B609" s="215"/>
      <c r="C609" s="223"/>
      <c r="D609" s="224"/>
      <c r="E609" s="224"/>
      <c r="F609" s="225"/>
      <c r="G609" s="215"/>
      <c r="H609" s="57" t="s">
        <v>67</v>
      </c>
      <c r="I609" s="50">
        <v>7720186.7400000002</v>
      </c>
      <c r="J609" s="50">
        <f>I609/D608+0.01</f>
        <v>2652.08</v>
      </c>
      <c r="K609" s="50">
        <v>3797</v>
      </c>
    </row>
    <row r="610" spans="1:11" ht="16.5" customHeight="1" x14ac:dyDescent="0.25">
      <c r="A610" s="215">
        <v>75</v>
      </c>
      <c r="B610" s="215"/>
      <c r="C610" s="223"/>
      <c r="D610" s="224"/>
      <c r="E610" s="224"/>
      <c r="F610" s="225"/>
      <c r="G610" s="215"/>
      <c r="H610" s="57" t="s">
        <v>69</v>
      </c>
      <c r="I610" s="50">
        <v>165212</v>
      </c>
      <c r="J610" s="50">
        <f>I610/D608</f>
        <v>56.75</v>
      </c>
      <c r="K610" s="50">
        <v>81</v>
      </c>
    </row>
    <row r="611" spans="1:11" ht="15.75" customHeight="1" x14ac:dyDescent="0.25">
      <c r="A611" s="216">
        <f>A608+1</f>
        <v>61</v>
      </c>
      <c r="B611" s="216">
        <v>3877</v>
      </c>
      <c r="C611" s="218" t="s">
        <v>605</v>
      </c>
      <c r="D611" s="220">
        <v>14684.6</v>
      </c>
      <c r="E611" s="216" t="s">
        <v>68</v>
      </c>
      <c r="F611" s="216">
        <v>10</v>
      </c>
      <c r="G611" s="105"/>
      <c r="H611" s="57" t="s">
        <v>66</v>
      </c>
      <c r="I611" s="50">
        <f>I612+I613</f>
        <v>64562</v>
      </c>
      <c r="J611" s="50">
        <f t="shared" ref="J611:K611" si="19">J612+J613</f>
        <v>4.4000000000000004</v>
      </c>
      <c r="K611" s="50">
        <f t="shared" si="19"/>
        <v>4.4000000000000004</v>
      </c>
    </row>
    <row r="612" spans="1:11" ht="47.25" customHeight="1" x14ac:dyDescent="0.25">
      <c r="A612" s="217"/>
      <c r="B612" s="217"/>
      <c r="C612" s="219"/>
      <c r="D612" s="221"/>
      <c r="E612" s="217"/>
      <c r="F612" s="217"/>
      <c r="G612" s="102" t="s">
        <v>172</v>
      </c>
      <c r="H612" s="57" t="s">
        <v>168</v>
      </c>
      <c r="I612" s="50">
        <f>22681+9600</f>
        <v>32281</v>
      </c>
      <c r="J612" s="50">
        <f>I612/D611</f>
        <v>2.2000000000000002</v>
      </c>
      <c r="K612" s="50">
        <f>32281/D611</f>
        <v>2.2000000000000002</v>
      </c>
    </row>
    <row r="613" spans="1:11" ht="47.25" customHeight="1" x14ac:dyDescent="0.25">
      <c r="A613" s="217"/>
      <c r="B613" s="217"/>
      <c r="C613" s="219"/>
      <c r="D613" s="221"/>
      <c r="E613" s="217"/>
      <c r="F613" s="217"/>
      <c r="G613" s="102" t="s">
        <v>444</v>
      </c>
      <c r="H613" s="57" t="s">
        <v>168</v>
      </c>
      <c r="I613" s="50">
        <f>22681+9600</f>
        <v>32281</v>
      </c>
      <c r="J613" s="50">
        <f>I613/D611</f>
        <v>2.2000000000000002</v>
      </c>
      <c r="K613" s="50">
        <f>32281/D611</f>
        <v>2.2000000000000002</v>
      </c>
    </row>
    <row r="614" spans="1:11" x14ac:dyDescent="0.25">
      <c r="A614" s="215">
        <f>A611+1</f>
        <v>62</v>
      </c>
      <c r="B614" s="215">
        <v>3082</v>
      </c>
      <c r="C614" s="223" t="s">
        <v>364</v>
      </c>
      <c r="D614" s="224">
        <v>8596.6</v>
      </c>
      <c r="E614" s="224" t="s">
        <v>64</v>
      </c>
      <c r="F614" s="225">
        <v>9</v>
      </c>
      <c r="G614" s="105"/>
      <c r="H614" s="57" t="s">
        <v>66</v>
      </c>
      <c r="I614" s="50">
        <f>I615+I616+I617+I618+I619+I620+I621+I622+I623+I624+I625+I626+I627+I628+I629</f>
        <v>11102394.470000001</v>
      </c>
      <c r="J614" s="50">
        <f>J615+J616+J617+J618+J619+J620+J621+J622+J623+J624+J625+J626+J627+J628+J629</f>
        <v>1291.49</v>
      </c>
      <c r="K614" s="50">
        <f>K615+K616+K617+K618+K619+K620+K621+K622+K623+K624+K625+K626+K627+K628+K629</f>
        <v>1350.48</v>
      </c>
    </row>
    <row r="615" spans="1:11" ht="63" x14ac:dyDescent="0.25">
      <c r="A615" s="215"/>
      <c r="B615" s="215"/>
      <c r="C615" s="223"/>
      <c r="D615" s="224"/>
      <c r="E615" s="224"/>
      <c r="F615" s="225"/>
      <c r="G615" s="216" t="s">
        <v>175</v>
      </c>
      <c r="H615" s="57" t="s">
        <v>168</v>
      </c>
      <c r="I615" s="50">
        <v>0</v>
      </c>
      <c r="J615" s="50">
        <f>I615/D614</f>
        <v>0</v>
      </c>
      <c r="K615" s="50">
        <f>32281/D614</f>
        <v>3.76</v>
      </c>
    </row>
    <row r="616" spans="1:11" x14ac:dyDescent="0.25">
      <c r="A616" s="215">
        <v>756</v>
      </c>
      <c r="B616" s="215"/>
      <c r="C616" s="223"/>
      <c r="D616" s="224"/>
      <c r="E616" s="224"/>
      <c r="F616" s="225"/>
      <c r="G616" s="217"/>
      <c r="H616" s="57" t="s">
        <v>171</v>
      </c>
      <c r="I616" s="50">
        <v>2172244.2000000002</v>
      </c>
      <c r="J616" s="50">
        <f>I616/D614+0.01</f>
        <v>252.7</v>
      </c>
      <c r="K616" s="50">
        <f>2241647/D614</f>
        <v>260.76</v>
      </c>
    </row>
    <row r="617" spans="1:11" x14ac:dyDescent="0.25">
      <c r="A617" s="215">
        <v>757</v>
      </c>
      <c r="B617" s="215"/>
      <c r="C617" s="223"/>
      <c r="D617" s="224"/>
      <c r="E617" s="224"/>
      <c r="F617" s="225"/>
      <c r="G617" s="222"/>
      <c r="H617" s="57" t="s">
        <v>69</v>
      </c>
      <c r="I617" s="50">
        <v>36386.160000000003</v>
      </c>
      <c r="J617" s="50">
        <f>I617/D614</f>
        <v>4.2300000000000004</v>
      </c>
      <c r="K617" s="50">
        <f>47971/D614</f>
        <v>5.58</v>
      </c>
    </row>
    <row r="618" spans="1:11" ht="63" x14ac:dyDescent="0.25">
      <c r="A618" s="215"/>
      <c r="B618" s="215"/>
      <c r="C618" s="223"/>
      <c r="D618" s="224"/>
      <c r="E618" s="224"/>
      <c r="F618" s="225"/>
      <c r="G618" s="216" t="s">
        <v>172</v>
      </c>
      <c r="H618" s="57" t="s">
        <v>168</v>
      </c>
      <c r="I618" s="50">
        <v>0</v>
      </c>
      <c r="J618" s="50">
        <f>I618/D614</f>
        <v>0</v>
      </c>
      <c r="K618" s="50">
        <f>32281/D614</f>
        <v>3.76</v>
      </c>
    </row>
    <row r="619" spans="1:11" x14ac:dyDescent="0.25">
      <c r="A619" s="215"/>
      <c r="B619" s="215"/>
      <c r="C619" s="223"/>
      <c r="D619" s="224"/>
      <c r="E619" s="224"/>
      <c r="F619" s="225"/>
      <c r="G619" s="217"/>
      <c r="H619" s="57" t="s">
        <v>171</v>
      </c>
      <c r="I619" s="50">
        <v>2186738.17</v>
      </c>
      <c r="J619" s="50">
        <f>I619/D614</f>
        <v>254.37</v>
      </c>
      <c r="K619" s="50">
        <f>2241647/D614-0.01</f>
        <v>260.75</v>
      </c>
    </row>
    <row r="620" spans="1:11" x14ac:dyDescent="0.25">
      <c r="A620" s="215"/>
      <c r="B620" s="215"/>
      <c r="C620" s="223"/>
      <c r="D620" s="224"/>
      <c r="E620" s="224"/>
      <c r="F620" s="225"/>
      <c r="G620" s="222"/>
      <c r="H620" s="57" t="s">
        <v>69</v>
      </c>
      <c r="I620" s="50">
        <v>36386.15</v>
      </c>
      <c r="J620" s="50">
        <f>I620/D614</f>
        <v>4.2300000000000004</v>
      </c>
      <c r="K620" s="50">
        <f>47971/D614</f>
        <v>5.58</v>
      </c>
    </row>
    <row r="621" spans="1:11" ht="63" x14ac:dyDescent="0.25">
      <c r="A621" s="215"/>
      <c r="B621" s="215"/>
      <c r="C621" s="223"/>
      <c r="D621" s="224"/>
      <c r="E621" s="224"/>
      <c r="F621" s="225"/>
      <c r="G621" s="216" t="s">
        <v>444</v>
      </c>
      <c r="H621" s="57" t="s">
        <v>168</v>
      </c>
      <c r="I621" s="50">
        <v>0</v>
      </c>
      <c r="J621" s="50">
        <f>I621/D614</f>
        <v>0</v>
      </c>
      <c r="K621" s="50">
        <f>32281/D614</f>
        <v>3.76</v>
      </c>
    </row>
    <row r="622" spans="1:11" x14ac:dyDescent="0.25">
      <c r="A622" s="215"/>
      <c r="B622" s="215"/>
      <c r="C622" s="223"/>
      <c r="D622" s="224"/>
      <c r="E622" s="224"/>
      <c r="F622" s="225"/>
      <c r="G622" s="217"/>
      <c r="H622" s="57" t="s">
        <v>171</v>
      </c>
      <c r="I622" s="50">
        <v>2172244.2000000002</v>
      </c>
      <c r="J622" s="50">
        <f>I622/D614</f>
        <v>252.69</v>
      </c>
      <c r="K622" s="50">
        <f>2241647/D614</f>
        <v>260.76</v>
      </c>
    </row>
    <row r="623" spans="1:11" x14ac:dyDescent="0.25">
      <c r="A623" s="215"/>
      <c r="B623" s="215"/>
      <c r="C623" s="223"/>
      <c r="D623" s="224"/>
      <c r="E623" s="224"/>
      <c r="F623" s="225"/>
      <c r="G623" s="222"/>
      <c r="H623" s="57" t="s">
        <v>69</v>
      </c>
      <c r="I623" s="50">
        <v>36386.160000000003</v>
      </c>
      <c r="J623" s="50">
        <f>I623/D614</f>
        <v>4.2300000000000004</v>
      </c>
      <c r="K623" s="50">
        <f>47971/D614</f>
        <v>5.58</v>
      </c>
    </row>
    <row r="624" spans="1:11" ht="63" x14ac:dyDescent="0.25">
      <c r="A624" s="215"/>
      <c r="B624" s="215"/>
      <c r="C624" s="223"/>
      <c r="D624" s="224"/>
      <c r="E624" s="224"/>
      <c r="F624" s="225"/>
      <c r="G624" s="216" t="s">
        <v>453</v>
      </c>
      <c r="H624" s="57" t="s">
        <v>168</v>
      </c>
      <c r="I624" s="50">
        <v>0</v>
      </c>
      <c r="J624" s="50">
        <f>I624/D614</f>
        <v>0</v>
      </c>
      <c r="K624" s="50">
        <f>32281/D614</f>
        <v>3.76</v>
      </c>
    </row>
    <row r="625" spans="1:11" x14ac:dyDescent="0.25">
      <c r="A625" s="215"/>
      <c r="B625" s="215"/>
      <c r="C625" s="223"/>
      <c r="D625" s="224"/>
      <c r="E625" s="224"/>
      <c r="F625" s="225"/>
      <c r="G625" s="217"/>
      <c r="H625" s="57" t="s">
        <v>171</v>
      </c>
      <c r="I625" s="50">
        <v>2186738.17</v>
      </c>
      <c r="J625" s="50">
        <f>I625/D614</f>
        <v>254.37</v>
      </c>
      <c r="K625" s="50">
        <f>2241647/D614-0.01</f>
        <v>260.75</v>
      </c>
    </row>
    <row r="626" spans="1:11" x14ac:dyDescent="0.25">
      <c r="A626" s="215"/>
      <c r="B626" s="215"/>
      <c r="C626" s="223"/>
      <c r="D626" s="224"/>
      <c r="E626" s="224"/>
      <c r="F626" s="225"/>
      <c r="G626" s="222"/>
      <c r="H626" s="57" t="s">
        <v>69</v>
      </c>
      <c r="I626" s="50">
        <v>36386.15</v>
      </c>
      <c r="J626" s="50">
        <f>I626/D614</f>
        <v>4.2300000000000004</v>
      </c>
      <c r="K626" s="50">
        <f>47971/D614</f>
        <v>5.58</v>
      </c>
    </row>
    <row r="627" spans="1:11" ht="63" x14ac:dyDescent="0.25">
      <c r="A627" s="215"/>
      <c r="B627" s="215"/>
      <c r="C627" s="223"/>
      <c r="D627" s="224"/>
      <c r="E627" s="224"/>
      <c r="F627" s="225"/>
      <c r="G627" s="216" t="s">
        <v>461</v>
      </c>
      <c r="H627" s="57" t="s">
        <v>168</v>
      </c>
      <c r="I627" s="50">
        <v>0</v>
      </c>
      <c r="J627" s="50">
        <f>I627/D614</f>
        <v>0</v>
      </c>
      <c r="K627" s="50">
        <f>32281/D614</f>
        <v>3.76</v>
      </c>
    </row>
    <row r="628" spans="1:11" x14ac:dyDescent="0.25">
      <c r="A628" s="215"/>
      <c r="B628" s="215"/>
      <c r="C628" s="223"/>
      <c r="D628" s="224"/>
      <c r="E628" s="224"/>
      <c r="F628" s="225"/>
      <c r="G628" s="217"/>
      <c r="H628" s="57" t="s">
        <v>171</v>
      </c>
      <c r="I628" s="50">
        <v>2202498.96</v>
      </c>
      <c r="J628" s="50">
        <f>I628/D614</f>
        <v>256.20999999999998</v>
      </c>
      <c r="K628" s="50">
        <f>2241647/D614</f>
        <v>260.76</v>
      </c>
    </row>
    <row r="629" spans="1:11" x14ac:dyDescent="0.25">
      <c r="A629" s="215"/>
      <c r="B629" s="215"/>
      <c r="C629" s="223"/>
      <c r="D629" s="224"/>
      <c r="E629" s="224"/>
      <c r="F629" s="225"/>
      <c r="G629" s="222"/>
      <c r="H629" s="57" t="s">
        <v>69</v>
      </c>
      <c r="I629" s="50">
        <v>36386.15</v>
      </c>
      <c r="J629" s="50">
        <f>I629/D614</f>
        <v>4.2300000000000004</v>
      </c>
      <c r="K629" s="50">
        <f>47971/D614</f>
        <v>5.58</v>
      </c>
    </row>
    <row r="630" spans="1:11" ht="15.75" customHeight="1" x14ac:dyDescent="0.25">
      <c r="A630" s="215">
        <f>A614+1</f>
        <v>63</v>
      </c>
      <c r="B630" s="215">
        <v>3359</v>
      </c>
      <c r="C630" s="223" t="s">
        <v>139</v>
      </c>
      <c r="D630" s="224">
        <v>3598</v>
      </c>
      <c r="E630" s="224" t="s">
        <v>68</v>
      </c>
      <c r="F630" s="225">
        <v>5</v>
      </c>
      <c r="G630" s="215" t="s">
        <v>65</v>
      </c>
      <c r="H630" s="57" t="s">
        <v>66</v>
      </c>
      <c r="I630" s="50">
        <f>I631+I632</f>
        <v>5690870.1100000003</v>
      </c>
      <c r="J630" s="50">
        <f>J631+J632</f>
        <v>1581.68</v>
      </c>
      <c r="K630" s="50">
        <f>K631+K632</f>
        <v>3878</v>
      </c>
    </row>
    <row r="631" spans="1:11" x14ac:dyDescent="0.25">
      <c r="A631" s="215">
        <v>75</v>
      </c>
      <c r="B631" s="215"/>
      <c r="C631" s="223"/>
      <c r="D631" s="224"/>
      <c r="E631" s="224"/>
      <c r="F631" s="225"/>
      <c r="G631" s="215"/>
      <c r="H631" s="57" t="s">
        <v>67</v>
      </c>
      <c r="I631" s="50">
        <v>5571637.0800000001</v>
      </c>
      <c r="J631" s="50">
        <f>I631/D630</f>
        <v>1548.54</v>
      </c>
      <c r="K631" s="50">
        <v>3797</v>
      </c>
    </row>
    <row r="632" spans="1:11" x14ac:dyDescent="0.25">
      <c r="A632" s="215"/>
      <c r="B632" s="215"/>
      <c r="C632" s="223"/>
      <c r="D632" s="224"/>
      <c r="E632" s="224"/>
      <c r="F632" s="225"/>
      <c r="G632" s="215"/>
      <c r="H632" s="57" t="s">
        <v>69</v>
      </c>
      <c r="I632" s="50">
        <v>119233.03</v>
      </c>
      <c r="J632" s="50">
        <f>I632/D630</f>
        <v>33.14</v>
      </c>
      <c r="K632" s="50">
        <v>81</v>
      </c>
    </row>
    <row r="633" spans="1:11" x14ac:dyDescent="0.25">
      <c r="A633" s="215">
        <f>A630+1</f>
        <v>64</v>
      </c>
      <c r="B633" s="215">
        <v>3278</v>
      </c>
      <c r="C633" s="223" t="s">
        <v>106</v>
      </c>
      <c r="D633" s="224">
        <v>4404.5</v>
      </c>
      <c r="E633" s="224" t="s">
        <v>64</v>
      </c>
      <c r="F633" s="225">
        <v>5</v>
      </c>
      <c r="G633" s="215" t="s">
        <v>65</v>
      </c>
      <c r="H633" s="57" t="s">
        <v>66</v>
      </c>
      <c r="I633" s="50">
        <f>I634+I635</f>
        <v>12833637.279999999</v>
      </c>
      <c r="J633" s="50">
        <f>J634+J635</f>
        <v>2913.76</v>
      </c>
      <c r="K633" s="50">
        <f>K634+K635</f>
        <v>3878</v>
      </c>
    </row>
    <row r="634" spans="1:11" x14ac:dyDescent="0.25">
      <c r="A634" s="215">
        <v>75</v>
      </c>
      <c r="B634" s="215"/>
      <c r="C634" s="223"/>
      <c r="D634" s="224"/>
      <c r="E634" s="224"/>
      <c r="F634" s="225"/>
      <c r="G634" s="215"/>
      <c r="H634" s="57" t="s">
        <v>67</v>
      </c>
      <c r="I634" s="50">
        <v>12564751.6</v>
      </c>
      <c r="J634" s="50">
        <f>I634/D633</f>
        <v>2852.71</v>
      </c>
      <c r="K634" s="50">
        <v>3797</v>
      </c>
    </row>
    <row r="635" spans="1:11" x14ac:dyDescent="0.25">
      <c r="A635" s="215"/>
      <c r="B635" s="215"/>
      <c r="C635" s="223"/>
      <c r="D635" s="224"/>
      <c r="E635" s="224"/>
      <c r="F635" s="225"/>
      <c r="G635" s="215"/>
      <c r="H635" s="57" t="s">
        <v>69</v>
      </c>
      <c r="I635" s="50">
        <v>268885.68</v>
      </c>
      <c r="J635" s="50">
        <f>I635/D633</f>
        <v>61.05</v>
      </c>
      <c r="K635" s="50">
        <v>81</v>
      </c>
    </row>
    <row r="636" spans="1:11" x14ac:dyDescent="0.25">
      <c r="A636" s="215">
        <f>A633+1</f>
        <v>65</v>
      </c>
      <c r="B636" s="215">
        <v>3280</v>
      </c>
      <c r="C636" s="223" t="s">
        <v>108</v>
      </c>
      <c r="D636" s="224">
        <v>4328.8</v>
      </c>
      <c r="E636" s="224" t="s">
        <v>64</v>
      </c>
      <c r="F636" s="225">
        <v>5</v>
      </c>
      <c r="G636" s="215" t="s">
        <v>65</v>
      </c>
      <c r="H636" s="57" t="s">
        <v>66</v>
      </c>
      <c r="I636" s="50">
        <f>I637+I638</f>
        <v>12117854.289999999</v>
      </c>
      <c r="J636" s="50">
        <f>J637+J638</f>
        <v>2799.36</v>
      </c>
      <c r="K636" s="50">
        <f>K637+K638</f>
        <v>3878</v>
      </c>
    </row>
    <row r="637" spans="1:11" x14ac:dyDescent="0.25">
      <c r="A637" s="215">
        <v>75</v>
      </c>
      <c r="B637" s="215"/>
      <c r="C637" s="223"/>
      <c r="D637" s="224"/>
      <c r="E637" s="224"/>
      <c r="F637" s="225"/>
      <c r="G637" s="215"/>
      <c r="H637" s="57" t="s">
        <v>67</v>
      </c>
      <c r="I637" s="50">
        <v>11863965.43</v>
      </c>
      <c r="J637" s="50">
        <f>I637/D636</f>
        <v>2740.71</v>
      </c>
      <c r="K637" s="50">
        <v>3797</v>
      </c>
    </row>
    <row r="638" spans="1:11" x14ac:dyDescent="0.25">
      <c r="A638" s="215"/>
      <c r="B638" s="215"/>
      <c r="C638" s="223"/>
      <c r="D638" s="224"/>
      <c r="E638" s="224"/>
      <c r="F638" s="225"/>
      <c r="G638" s="215"/>
      <c r="H638" s="57" t="s">
        <v>69</v>
      </c>
      <c r="I638" s="50">
        <v>253888.86</v>
      </c>
      <c r="J638" s="50">
        <f>I638/D636</f>
        <v>58.65</v>
      </c>
      <c r="K638" s="50">
        <v>81</v>
      </c>
    </row>
    <row r="639" spans="1:11" x14ac:dyDescent="0.25">
      <c r="A639" s="215">
        <f>A636+1</f>
        <v>66</v>
      </c>
      <c r="B639" s="215">
        <v>3284</v>
      </c>
      <c r="C639" s="223" t="s">
        <v>140</v>
      </c>
      <c r="D639" s="224">
        <v>3631.8</v>
      </c>
      <c r="E639" s="224" t="s">
        <v>64</v>
      </c>
      <c r="F639" s="225">
        <v>5</v>
      </c>
      <c r="G639" s="215" t="s">
        <v>65</v>
      </c>
      <c r="H639" s="57" t="s">
        <v>66</v>
      </c>
      <c r="I639" s="50">
        <f>I640+I641</f>
        <v>9534896.9600000009</v>
      </c>
      <c r="J639" s="50">
        <f>J640+J641</f>
        <v>2625.39</v>
      </c>
      <c r="K639" s="50">
        <f>K640+K641</f>
        <v>3878</v>
      </c>
    </row>
    <row r="640" spans="1:11" x14ac:dyDescent="0.25">
      <c r="A640" s="215">
        <v>75</v>
      </c>
      <c r="B640" s="215"/>
      <c r="C640" s="223"/>
      <c r="D640" s="224"/>
      <c r="E640" s="224"/>
      <c r="F640" s="225"/>
      <c r="G640" s="215"/>
      <c r="H640" s="57" t="s">
        <v>67</v>
      </c>
      <c r="I640" s="50">
        <v>9335125.2799999993</v>
      </c>
      <c r="J640" s="50">
        <f>I640/D639-0.01</f>
        <v>2570.38</v>
      </c>
      <c r="K640" s="50">
        <v>3797</v>
      </c>
    </row>
    <row r="641" spans="1:11" x14ac:dyDescent="0.25">
      <c r="A641" s="215"/>
      <c r="B641" s="215"/>
      <c r="C641" s="223"/>
      <c r="D641" s="224"/>
      <c r="E641" s="224"/>
      <c r="F641" s="225"/>
      <c r="G641" s="215"/>
      <c r="H641" s="57" t="s">
        <v>69</v>
      </c>
      <c r="I641" s="50">
        <v>199771.68</v>
      </c>
      <c r="J641" s="50">
        <f>I641/D639</f>
        <v>55.01</v>
      </c>
      <c r="K641" s="50">
        <v>81</v>
      </c>
    </row>
    <row r="642" spans="1:11" ht="15.75" customHeight="1" x14ac:dyDescent="0.25">
      <c r="A642" s="215">
        <f>A639+1</f>
        <v>67</v>
      </c>
      <c r="B642" s="216">
        <v>4052</v>
      </c>
      <c r="C642" s="218" t="s">
        <v>545</v>
      </c>
      <c r="D642" s="220">
        <v>3622.5</v>
      </c>
      <c r="E642" s="259" t="s">
        <v>64</v>
      </c>
      <c r="F642" s="259">
        <v>5</v>
      </c>
      <c r="G642" s="216" t="s">
        <v>65</v>
      </c>
      <c r="H642" s="57" t="s">
        <v>66</v>
      </c>
      <c r="I642" s="50">
        <f>I643+I644</f>
        <v>6291826.5499999998</v>
      </c>
      <c r="J642" s="50">
        <f>J643+J644</f>
        <v>1736.87</v>
      </c>
      <c r="K642" s="50">
        <f>K643+K644</f>
        <v>3878</v>
      </c>
    </row>
    <row r="643" spans="1:11" x14ac:dyDescent="0.25">
      <c r="A643" s="217"/>
      <c r="B643" s="217"/>
      <c r="C643" s="219"/>
      <c r="D643" s="221"/>
      <c r="E643" s="260"/>
      <c r="F643" s="260"/>
      <c r="G643" s="217"/>
      <c r="H643" s="57" t="s">
        <v>67</v>
      </c>
      <c r="I643" s="50">
        <v>6098298.2699999996</v>
      </c>
      <c r="J643" s="50">
        <f>I643/D642</f>
        <v>1683.45</v>
      </c>
      <c r="K643" s="50">
        <v>3797</v>
      </c>
    </row>
    <row r="644" spans="1:11" x14ac:dyDescent="0.25">
      <c r="A644" s="222"/>
      <c r="B644" s="222"/>
      <c r="C644" s="226"/>
      <c r="D644" s="227"/>
      <c r="E644" s="261"/>
      <c r="F644" s="261"/>
      <c r="G644" s="222"/>
      <c r="H644" s="57" t="s">
        <v>69</v>
      </c>
      <c r="I644" s="50">
        <v>193528.28</v>
      </c>
      <c r="J644" s="50">
        <f>I644/D642</f>
        <v>53.42</v>
      </c>
      <c r="K644" s="50">
        <v>81</v>
      </c>
    </row>
    <row r="645" spans="1:11" ht="15.75" customHeight="1" x14ac:dyDescent="0.25">
      <c r="A645" s="215">
        <f>A642+1</f>
        <v>68</v>
      </c>
      <c r="B645" s="215">
        <v>3286</v>
      </c>
      <c r="C645" s="223" t="s">
        <v>141</v>
      </c>
      <c r="D645" s="224">
        <v>3572.1</v>
      </c>
      <c r="E645" s="224" t="s">
        <v>64</v>
      </c>
      <c r="F645" s="225">
        <v>5</v>
      </c>
      <c r="G645" s="215" t="s">
        <v>65</v>
      </c>
      <c r="H645" s="57" t="s">
        <v>66</v>
      </c>
      <c r="I645" s="50">
        <f>I646+I647</f>
        <v>8985458.7400000002</v>
      </c>
      <c r="J645" s="50">
        <f>J646+J647</f>
        <v>2515.46</v>
      </c>
      <c r="K645" s="50">
        <f>K646+K647</f>
        <v>3878</v>
      </c>
    </row>
    <row r="646" spans="1:11" x14ac:dyDescent="0.25">
      <c r="A646" s="215">
        <v>75</v>
      </c>
      <c r="B646" s="215"/>
      <c r="C646" s="223"/>
      <c r="D646" s="224"/>
      <c r="E646" s="224"/>
      <c r="F646" s="225"/>
      <c r="G646" s="215"/>
      <c r="H646" s="57" t="s">
        <v>67</v>
      </c>
      <c r="I646" s="50">
        <v>8797198.6899999995</v>
      </c>
      <c r="J646" s="50">
        <f>I646/D645+0.01</f>
        <v>2462.7600000000002</v>
      </c>
      <c r="K646" s="50">
        <v>3797</v>
      </c>
    </row>
    <row r="647" spans="1:11" x14ac:dyDescent="0.25">
      <c r="A647" s="215"/>
      <c r="B647" s="215"/>
      <c r="C647" s="223"/>
      <c r="D647" s="224"/>
      <c r="E647" s="224"/>
      <c r="F647" s="225"/>
      <c r="G647" s="215"/>
      <c r="H647" s="57" t="s">
        <v>69</v>
      </c>
      <c r="I647" s="50">
        <v>188260.05</v>
      </c>
      <c r="J647" s="50">
        <f>I647/D645</f>
        <v>52.7</v>
      </c>
      <c r="K647" s="50">
        <v>81</v>
      </c>
    </row>
    <row r="648" spans="1:11" ht="15.75" customHeight="1" x14ac:dyDescent="0.25">
      <c r="A648" s="216">
        <f>A645+1</f>
        <v>69</v>
      </c>
      <c r="B648" s="216">
        <v>4060</v>
      </c>
      <c r="C648" s="218" t="s">
        <v>606</v>
      </c>
      <c r="D648" s="220">
        <v>11300</v>
      </c>
      <c r="E648" s="216" t="s">
        <v>64</v>
      </c>
      <c r="F648" s="216">
        <v>10</v>
      </c>
      <c r="G648" s="105"/>
      <c r="H648" s="57" t="s">
        <v>66</v>
      </c>
      <c r="I648" s="50">
        <f>I649+I650+I651+I652+I653+I654+I655+I656+I657</f>
        <v>6896885.8499999996</v>
      </c>
      <c r="J648" s="50">
        <f>J649+J650+J651+J652+J653+J654+J655+J656+J657</f>
        <v>610.34</v>
      </c>
      <c r="K648" s="50">
        <f>K649+K650+K651+K652+K653+K654+K655+K656+K657</f>
        <v>616.47</v>
      </c>
    </row>
    <row r="649" spans="1:11" ht="47.25" customHeight="1" x14ac:dyDescent="0.25">
      <c r="A649" s="217"/>
      <c r="B649" s="217"/>
      <c r="C649" s="219"/>
      <c r="D649" s="221"/>
      <c r="E649" s="217"/>
      <c r="F649" s="217"/>
      <c r="G649" s="216" t="s">
        <v>174</v>
      </c>
      <c r="H649" s="57" t="s">
        <v>168</v>
      </c>
      <c r="I649" s="50">
        <f>22681+9600</f>
        <v>32281</v>
      </c>
      <c r="J649" s="50">
        <f>I649/D648</f>
        <v>2.86</v>
      </c>
      <c r="K649" s="50">
        <f>32281/D648</f>
        <v>2.86</v>
      </c>
    </row>
    <row r="650" spans="1:11" ht="15.75" customHeight="1" x14ac:dyDescent="0.25">
      <c r="A650" s="217"/>
      <c r="B650" s="217"/>
      <c r="C650" s="219"/>
      <c r="D650" s="221"/>
      <c r="E650" s="217"/>
      <c r="F650" s="217"/>
      <c r="G650" s="217"/>
      <c r="H650" s="57" t="s">
        <v>171</v>
      </c>
      <c r="I650" s="50">
        <v>2218709.9500000002</v>
      </c>
      <c r="J650" s="50">
        <f>I650/D648-0.01</f>
        <v>196.34</v>
      </c>
      <c r="K650" s="50">
        <f>2241647/D648</f>
        <v>198.38</v>
      </c>
    </row>
    <row r="651" spans="1:11" ht="15.75" customHeight="1" x14ac:dyDescent="0.25">
      <c r="A651" s="217"/>
      <c r="B651" s="217"/>
      <c r="C651" s="219"/>
      <c r="D651" s="221"/>
      <c r="E651" s="217"/>
      <c r="F651" s="217"/>
      <c r="G651" s="222"/>
      <c r="H651" s="57" t="s">
        <v>69</v>
      </c>
      <c r="I651" s="50">
        <v>47971</v>
      </c>
      <c r="J651" s="50">
        <f>I651/D648</f>
        <v>4.25</v>
      </c>
      <c r="K651" s="50">
        <f>47971/D648</f>
        <v>4.25</v>
      </c>
    </row>
    <row r="652" spans="1:11" ht="47.25" customHeight="1" x14ac:dyDescent="0.25">
      <c r="A652" s="217"/>
      <c r="B652" s="217"/>
      <c r="C652" s="219"/>
      <c r="D652" s="221"/>
      <c r="E652" s="217"/>
      <c r="F652" s="217"/>
      <c r="G652" s="216" t="s">
        <v>175</v>
      </c>
      <c r="H652" s="57" t="s">
        <v>168</v>
      </c>
      <c r="I652" s="50">
        <f>22681+9600</f>
        <v>32281</v>
      </c>
      <c r="J652" s="50">
        <f>I652/D648</f>
        <v>2.86</v>
      </c>
      <c r="K652" s="50">
        <f>32281/D648</f>
        <v>2.86</v>
      </c>
    </row>
    <row r="653" spans="1:11" ht="15.75" customHeight="1" x14ac:dyDescent="0.25">
      <c r="A653" s="217"/>
      <c r="B653" s="217"/>
      <c r="C653" s="219"/>
      <c r="D653" s="221"/>
      <c r="E653" s="217"/>
      <c r="F653" s="217"/>
      <c r="G653" s="217"/>
      <c r="H653" s="57" t="s">
        <v>171</v>
      </c>
      <c r="I653" s="50">
        <v>2218709.9500000002</v>
      </c>
      <c r="J653" s="50">
        <f>I653/D648-0.02</f>
        <v>196.33</v>
      </c>
      <c r="K653" s="50">
        <f>2241647/D648</f>
        <v>198.38</v>
      </c>
    </row>
    <row r="654" spans="1:11" ht="15.75" customHeight="1" x14ac:dyDescent="0.25">
      <c r="A654" s="217"/>
      <c r="B654" s="217"/>
      <c r="C654" s="219"/>
      <c r="D654" s="221"/>
      <c r="E654" s="217"/>
      <c r="F654" s="217"/>
      <c r="G654" s="222"/>
      <c r="H654" s="57" t="s">
        <v>69</v>
      </c>
      <c r="I654" s="50">
        <v>47971</v>
      </c>
      <c r="J654" s="50">
        <f>I654/D648</f>
        <v>4.25</v>
      </c>
      <c r="K654" s="50">
        <f>47971/D648</f>
        <v>4.25</v>
      </c>
    </row>
    <row r="655" spans="1:11" ht="47.25" customHeight="1" x14ac:dyDescent="0.25">
      <c r="A655" s="217"/>
      <c r="B655" s="217"/>
      <c r="C655" s="219"/>
      <c r="D655" s="221"/>
      <c r="E655" s="217"/>
      <c r="F655" s="217"/>
      <c r="G655" s="216" t="s">
        <v>172</v>
      </c>
      <c r="H655" s="57" t="s">
        <v>168</v>
      </c>
      <c r="I655" s="50">
        <f>22681+9600</f>
        <v>32281</v>
      </c>
      <c r="J655" s="50">
        <f>I655/D648</f>
        <v>2.86</v>
      </c>
      <c r="K655" s="50">
        <f>32281/D648</f>
        <v>2.86</v>
      </c>
    </row>
    <row r="656" spans="1:11" ht="15.75" customHeight="1" x14ac:dyDescent="0.25">
      <c r="A656" s="217"/>
      <c r="B656" s="217"/>
      <c r="C656" s="219"/>
      <c r="D656" s="221"/>
      <c r="E656" s="217"/>
      <c r="F656" s="217"/>
      <c r="G656" s="217"/>
      <c r="H656" s="57" t="s">
        <v>171</v>
      </c>
      <c r="I656" s="50">
        <v>2218709.9500000002</v>
      </c>
      <c r="J656" s="50">
        <f>I656/D648-0.01</f>
        <v>196.34</v>
      </c>
      <c r="K656" s="50">
        <f>2241647/D648</f>
        <v>198.38</v>
      </c>
    </row>
    <row r="657" spans="1:11" ht="15.75" customHeight="1" x14ac:dyDescent="0.25">
      <c r="A657" s="217"/>
      <c r="B657" s="217"/>
      <c r="C657" s="219"/>
      <c r="D657" s="221"/>
      <c r="E657" s="217"/>
      <c r="F657" s="217"/>
      <c r="G657" s="222"/>
      <c r="H657" s="57" t="s">
        <v>69</v>
      </c>
      <c r="I657" s="50">
        <v>47971</v>
      </c>
      <c r="J657" s="50">
        <f>I657/D648</f>
        <v>4.25</v>
      </c>
      <c r="K657" s="50">
        <f>47971/D648</f>
        <v>4.25</v>
      </c>
    </row>
    <row r="658" spans="1:11" ht="15.75" customHeight="1" x14ac:dyDescent="0.25">
      <c r="A658" s="216">
        <f>A648+1</f>
        <v>70</v>
      </c>
      <c r="B658" s="216">
        <v>4061</v>
      </c>
      <c r="C658" s="218" t="s">
        <v>607</v>
      </c>
      <c r="D658" s="220">
        <v>7554</v>
      </c>
      <c r="E658" s="216" t="s">
        <v>64</v>
      </c>
      <c r="F658" s="216">
        <v>10</v>
      </c>
      <c r="G658" s="105"/>
      <c r="H658" s="57" t="s">
        <v>66</v>
      </c>
      <c r="I658" s="50">
        <f>I659+I660+I661+I662</f>
        <v>129124</v>
      </c>
      <c r="J658" s="50">
        <f>J659+J660+J661+J662</f>
        <v>17.09</v>
      </c>
      <c r="K658" s="50">
        <f>K659+K660+K661+K662</f>
        <v>17.09</v>
      </c>
    </row>
    <row r="659" spans="1:11" ht="47.25" customHeight="1" x14ac:dyDescent="0.25">
      <c r="A659" s="217"/>
      <c r="B659" s="217"/>
      <c r="C659" s="219"/>
      <c r="D659" s="221"/>
      <c r="E659" s="217"/>
      <c r="F659" s="217"/>
      <c r="G659" s="102" t="s">
        <v>170</v>
      </c>
      <c r="H659" s="57" t="s">
        <v>168</v>
      </c>
      <c r="I659" s="50">
        <f>22681+9600</f>
        <v>32281</v>
      </c>
      <c r="J659" s="50">
        <f>I659/D658</f>
        <v>4.2699999999999996</v>
      </c>
      <c r="K659" s="50">
        <f>32281/D658</f>
        <v>4.2699999999999996</v>
      </c>
    </row>
    <row r="660" spans="1:11" ht="47.25" customHeight="1" x14ac:dyDescent="0.25">
      <c r="A660" s="217"/>
      <c r="B660" s="217"/>
      <c r="C660" s="219"/>
      <c r="D660" s="221"/>
      <c r="E660" s="217"/>
      <c r="F660" s="217"/>
      <c r="G660" s="102" t="s">
        <v>173</v>
      </c>
      <c r="H660" s="57" t="s">
        <v>168</v>
      </c>
      <c r="I660" s="50">
        <f>22681+9600</f>
        <v>32281</v>
      </c>
      <c r="J660" s="50">
        <f>I660/D658+0.01</f>
        <v>4.28</v>
      </c>
      <c r="K660" s="50">
        <f>32281/D658+0.01</f>
        <v>4.28</v>
      </c>
    </row>
    <row r="661" spans="1:11" ht="47.25" customHeight="1" x14ac:dyDescent="0.25">
      <c r="A661" s="217"/>
      <c r="B661" s="217"/>
      <c r="C661" s="219"/>
      <c r="D661" s="221"/>
      <c r="E661" s="217"/>
      <c r="F661" s="217"/>
      <c r="G661" s="102" t="s">
        <v>174</v>
      </c>
      <c r="H661" s="57" t="s">
        <v>168</v>
      </c>
      <c r="I661" s="50">
        <f>22681+9600</f>
        <v>32281</v>
      </c>
      <c r="J661" s="50">
        <f>I661/D658</f>
        <v>4.2699999999999996</v>
      </c>
      <c r="K661" s="50">
        <f>32281/D658</f>
        <v>4.2699999999999996</v>
      </c>
    </row>
    <row r="662" spans="1:11" ht="47.25" customHeight="1" x14ac:dyDescent="0.25">
      <c r="A662" s="217"/>
      <c r="B662" s="217"/>
      <c r="C662" s="219"/>
      <c r="D662" s="221"/>
      <c r="E662" s="217"/>
      <c r="F662" s="217"/>
      <c r="G662" s="102" t="s">
        <v>175</v>
      </c>
      <c r="H662" s="57" t="s">
        <v>168</v>
      </c>
      <c r="I662" s="50">
        <f>22681+9600</f>
        <v>32281</v>
      </c>
      <c r="J662" s="50">
        <f>I662/D658</f>
        <v>4.2699999999999996</v>
      </c>
      <c r="K662" s="50">
        <f>32281/D658</f>
        <v>4.2699999999999996</v>
      </c>
    </row>
    <row r="663" spans="1:11" x14ac:dyDescent="0.25">
      <c r="A663" s="215">
        <f>A658+1</f>
        <v>71</v>
      </c>
      <c r="B663" s="215">
        <v>8191</v>
      </c>
      <c r="C663" s="223" t="s">
        <v>459</v>
      </c>
      <c r="D663" s="224">
        <v>7694.91</v>
      </c>
      <c r="E663" s="224" t="s">
        <v>64</v>
      </c>
      <c r="F663" s="225">
        <v>10</v>
      </c>
      <c r="G663" s="105"/>
      <c r="H663" s="57" t="s">
        <v>66</v>
      </c>
      <c r="I663" s="50">
        <f>I664+I665+I666+I667+I668+I669+I670+I671</f>
        <v>7185883.9299999997</v>
      </c>
      <c r="J663" s="50">
        <f>J664+J665+J666+J667+J668+J669+J670+J671</f>
        <v>933.85</v>
      </c>
      <c r="K663" s="50">
        <f>K664+K665+K666+K667+K668+K669+K670+K671</f>
        <v>1190.2</v>
      </c>
    </row>
    <row r="664" spans="1:11" x14ac:dyDescent="0.25">
      <c r="A664" s="215">
        <v>756</v>
      </c>
      <c r="B664" s="215"/>
      <c r="C664" s="223"/>
      <c r="D664" s="224"/>
      <c r="E664" s="224"/>
      <c r="F664" s="225"/>
      <c r="G664" s="216" t="s">
        <v>170</v>
      </c>
      <c r="H664" s="57" t="s">
        <v>171</v>
      </c>
      <c r="I664" s="50">
        <v>1769656.14</v>
      </c>
      <c r="J664" s="50">
        <f>I664/D663+0.01</f>
        <v>229.99</v>
      </c>
      <c r="K664" s="50">
        <f>2241647/D663</f>
        <v>291.32</v>
      </c>
    </row>
    <row r="665" spans="1:11" x14ac:dyDescent="0.25">
      <c r="A665" s="215">
        <v>757</v>
      </c>
      <c r="B665" s="215"/>
      <c r="C665" s="223"/>
      <c r="D665" s="224"/>
      <c r="E665" s="224"/>
      <c r="F665" s="225"/>
      <c r="G665" s="222"/>
      <c r="H665" s="57" t="s">
        <v>69</v>
      </c>
      <c r="I665" s="50">
        <v>31660.86</v>
      </c>
      <c r="J665" s="50">
        <f>I665/D663</f>
        <v>4.1100000000000003</v>
      </c>
      <c r="K665" s="50">
        <f>47971/D663</f>
        <v>6.23</v>
      </c>
    </row>
    <row r="666" spans="1:11" x14ac:dyDescent="0.25">
      <c r="A666" s="215"/>
      <c r="B666" s="215"/>
      <c r="C666" s="223"/>
      <c r="D666" s="224"/>
      <c r="E666" s="224"/>
      <c r="F666" s="225"/>
      <c r="G666" s="216" t="s">
        <v>173</v>
      </c>
      <c r="H666" s="57" t="s">
        <v>171</v>
      </c>
      <c r="I666" s="50">
        <v>1759964.1</v>
      </c>
      <c r="J666" s="50">
        <f>I666/D663</f>
        <v>228.72</v>
      </c>
      <c r="K666" s="50">
        <f>2241647/D663</f>
        <v>291.32</v>
      </c>
    </row>
    <row r="667" spans="1:11" x14ac:dyDescent="0.25">
      <c r="A667" s="215"/>
      <c r="B667" s="215"/>
      <c r="C667" s="223"/>
      <c r="D667" s="224"/>
      <c r="E667" s="224"/>
      <c r="F667" s="225"/>
      <c r="G667" s="222"/>
      <c r="H667" s="57" t="s">
        <v>69</v>
      </c>
      <c r="I667" s="50">
        <v>31660.86</v>
      </c>
      <c r="J667" s="50">
        <f>I667/D663</f>
        <v>4.1100000000000003</v>
      </c>
      <c r="K667" s="50">
        <f>47971/D663</f>
        <v>6.23</v>
      </c>
    </row>
    <row r="668" spans="1:11" x14ac:dyDescent="0.25">
      <c r="A668" s="215"/>
      <c r="B668" s="215"/>
      <c r="C668" s="223"/>
      <c r="D668" s="224"/>
      <c r="E668" s="224"/>
      <c r="F668" s="225"/>
      <c r="G668" s="216" t="s">
        <v>174</v>
      </c>
      <c r="H668" s="57" t="s">
        <v>171</v>
      </c>
      <c r="I668" s="50">
        <v>1769656.14</v>
      </c>
      <c r="J668" s="50">
        <f>I668/D663</f>
        <v>229.98</v>
      </c>
      <c r="K668" s="50">
        <f>2241647/D663</f>
        <v>291.32</v>
      </c>
    </row>
    <row r="669" spans="1:11" x14ac:dyDescent="0.25">
      <c r="A669" s="215"/>
      <c r="B669" s="215"/>
      <c r="C669" s="223"/>
      <c r="D669" s="224"/>
      <c r="E669" s="224"/>
      <c r="F669" s="225"/>
      <c r="G669" s="222"/>
      <c r="H669" s="57" t="s">
        <v>69</v>
      </c>
      <c r="I669" s="50">
        <v>31660.86</v>
      </c>
      <c r="J669" s="50">
        <f>I669/D663</f>
        <v>4.1100000000000003</v>
      </c>
      <c r="K669" s="50">
        <f>47971/D663</f>
        <v>6.23</v>
      </c>
    </row>
    <row r="670" spans="1:11" x14ac:dyDescent="0.25">
      <c r="A670" s="215"/>
      <c r="B670" s="215"/>
      <c r="C670" s="223"/>
      <c r="D670" s="224"/>
      <c r="E670" s="224"/>
      <c r="F670" s="225"/>
      <c r="G670" s="216" t="s">
        <v>175</v>
      </c>
      <c r="H670" s="57" t="s">
        <v>171</v>
      </c>
      <c r="I670" s="50">
        <v>1759964.11</v>
      </c>
      <c r="J670" s="50">
        <f>I670/D663</f>
        <v>228.72</v>
      </c>
      <c r="K670" s="50">
        <f>2241647/D663</f>
        <v>291.32</v>
      </c>
    </row>
    <row r="671" spans="1:11" x14ac:dyDescent="0.25">
      <c r="A671" s="215"/>
      <c r="B671" s="215"/>
      <c r="C671" s="223"/>
      <c r="D671" s="224"/>
      <c r="E671" s="224"/>
      <c r="F671" s="225"/>
      <c r="G671" s="222"/>
      <c r="H671" s="57" t="s">
        <v>69</v>
      </c>
      <c r="I671" s="50">
        <v>31660.86</v>
      </c>
      <c r="J671" s="50">
        <f>I671/D663</f>
        <v>4.1100000000000003</v>
      </c>
      <c r="K671" s="50">
        <f>47971/D663</f>
        <v>6.23</v>
      </c>
    </row>
    <row r="672" spans="1:11" x14ac:dyDescent="0.25">
      <c r="A672" s="216">
        <f>A663+1</f>
        <v>72</v>
      </c>
      <c r="B672" s="216">
        <v>4240</v>
      </c>
      <c r="C672" s="218" t="s">
        <v>205</v>
      </c>
      <c r="D672" s="220">
        <v>16244.29</v>
      </c>
      <c r="E672" s="220" t="s">
        <v>64</v>
      </c>
      <c r="F672" s="228">
        <v>10</v>
      </c>
      <c r="G672" s="105"/>
      <c r="H672" s="57" t="s">
        <v>66</v>
      </c>
      <c r="I672" s="50">
        <f>I673+I674+I675+I676+I677+I678+I679+I680+I681</f>
        <v>4345528.7699999996</v>
      </c>
      <c r="J672" s="50">
        <f t="shared" ref="J672:K672" si="20">J673+J674+J675+J676+J677+J678+J679+J680+J681</f>
        <v>267.51</v>
      </c>
      <c r="K672" s="50">
        <f t="shared" si="20"/>
        <v>291.85000000000002</v>
      </c>
    </row>
    <row r="673" spans="1:11" x14ac:dyDescent="0.25">
      <c r="A673" s="217">
        <v>756</v>
      </c>
      <c r="B673" s="217"/>
      <c r="C673" s="219"/>
      <c r="D673" s="221"/>
      <c r="E673" s="221"/>
      <c r="F673" s="229"/>
      <c r="G673" s="216" t="s">
        <v>170</v>
      </c>
      <c r="H673" s="57" t="s">
        <v>171</v>
      </c>
      <c r="I673" s="50">
        <v>2054728.33</v>
      </c>
      <c r="J673" s="50">
        <f>I673/D672-0.01</f>
        <v>126.48</v>
      </c>
      <c r="K673" s="50">
        <f>2241647/D672</f>
        <v>138</v>
      </c>
    </row>
    <row r="674" spans="1:11" x14ac:dyDescent="0.25">
      <c r="A674" s="217">
        <v>757</v>
      </c>
      <c r="B674" s="217"/>
      <c r="C674" s="219"/>
      <c r="D674" s="221"/>
      <c r="E674" s="221"/>
      <c r="F674" s="229"/>
      <c r="G674" s="222"/>
      <c r="H674" s="57" t="s">
        <v>69</v>
      </c>
      <c r="I674" s="50">
        <v>31660.86</v>
      </c>
      <c r="J674" s="50">
        <f>I674/D672</f>
        <v>1.95</v>
      </c>
      <c r="K674" s="50">
        <f>47971/D672</f>
        <v>2.95</v>
      </c>
    </row>
    <row r="675" spans="1:11" x14ac:dyDescent="0.25">
      <c r="A675" s="217"/>
      <c r="B675" s="217"/>
      <c r="C675" s="219"/>
      <c r="D675" s="221"/>
      <c r="E675" s="221"/>
      <c r="F675" s="229"/>
      <c r="G675" s="216" t="s">
        <v>173</v>
      </c>
      <c r="H675" s="57" t="s">
        <v>171</v>
      </c>
      <c r="I675" s="50">
        <v>2066073.72</v>
      </c>
      <c r="J675" s="50">
        <f>I675/D672-0.01</f>
        <v>127.18</v>
      </c>
      <c r="K675" s="50">
        <f>2241647/D672</f>
        <v>138</v>
      </c>
    </row>
    <row r="676" spans="1:11" x14ac:dyDescent="0.25">
      <c r="A676" s="217"/>
      <c r="B676" s="217"/>
      <c r="C676" s="219"/>
      <c r="D676" s="221"/>
      <c r="E676" s="221"/>
      <c r="F676" s="229"/>
      <c r="G676" s="222"/>
      <c r="H676" s="57" t="s">
        <v>69</v>
      </c>
      <c r="I676" s="50">
        <v>31660.86</v>
      </c>
      <c r="J676" s="50">
        <f>I676/D672</f>
        <v>1.95</v>
      </c>
      <c r="K676" s="50">
        <f>47971/D672</f>
        <v>2.95</v>
      </c>
    </row>
    <row r="677" spans="1:11" ht="47.25" customHeight="1" x14ac:dyDescent="0.25">
      <c r="A677" s="217"/>
      <c r="B677" s="217"/>
      <c r="C677" s="219"/>
      <c r="D677" s="221"/>
      <c r="E677" s="221"/>
      <c r="F677" s="229"/>
      <c r="G677" s="102" t="s">
        <v>174</v>
      </c>
      <c r="H677" s="57" t="s">
        <v>168</v>
      </c>
      <c r="I677" s="50">
        <f>22681+9600</f>
        <v>32281</v>
      </c>
      <c r="J677" s="50">
        <f>I677/D672</f>
        <v>1.99</v>
      </c>
      <c r="K677" s="50">
        <f>32281/D672</f>
        <v>1.99</v>
      </c>
    </row>
    <row r="678" spans="1:11" ht="47.25" customHeight="1" x14ac:dyDescent="0.25">
      <c r="A678" s="217"/>
      <c r="B678" s="217"/>
      <c r="C678" s="219"/>
      <c r="D678" s="221"/>
      <c r="E678" s="221"/>
      <c r="F678" s="229"/>
      <c r="G678" s="102" t="s">
        <v>175</v>
      </c>
      <c r="H678" s="57" t="s">
        <v>168</v>
      </c>
      <c r="I678" s="50">
        <f>22681+9600</f>
        <v>32281</v>
      </c>
      <c r="J678" s="50">
        <f>I678/D672</f>
        <v>1.99</v>
      </c>
      <c r="K678" s="50">
        <f>32281/D672</f>
        <v>1.99</v>
      </c>
    </row>
    <row r="679" spans="1:11" ht="47.25" customHeight="1" x14ac:dyDescent="0.25">
      <c r="A679" s="217"/>
      <c r="B679" s="217"/>
      <c r="C679" s="219"/>
      <c r="D679" s="221"/>
      <c r="E679" s="221"/>
      <c r="F679" s="229"/>
      <c r="G679" s="102" t="s">
        <v>172</v>
      </c>
      <c r="H679" s="57" t="s">
        <v>168</v>
      </c>
      <c r="I679" s="50">
        <f>22681+9600</f>
        <v>32281</v>
      </c>
      <c r="J679" s="50">
        <f>I679/D672</f>
        <v>1.99</v>
      </c>
      <c r="K679" s="50">
        <f>32281/D672</f>
        <v>1.99</v>
      </c>
    </row>
    <row r="680" spans="1:11" ht="47.25" customHeight="1" x14ac:dyDescent="0.25">
      <c r="A680" s="217"/>
      <c r="B680" s="217"/>
      <c r="C680" s="219"/>
      <c r="D680" s="221"/>
      <c r="E680" s="221"/>
      <c r="F680" s="229"/>
      <c r="G680" s="102" t="s">
        <v>444</v>
      </c>
      <c r="H680" s="57" t="s">
        <v>168</v>
      </c>
      <c r="I680" s="50">
        <f>22681+9600</f>
        <v>32281</v>
      </c>
      <c r="J680" s="50">
        <f>I680/D672</f>
        <v>1.99</v>
      </c>
      <c r="K680" s="50">
        <f>32281/D672</f>
        <v>1.99</v>
      </c>
    </row>
    <row r="681" spans="1:11" ht="47.25" customHeight="1" x14ac:dyDescent="0.25">
      <c r="A681" s="217"/>
      <c r="B681" s="217"/>
      <c r="C681" s="219"/>
      <c r="D681" s="221"/>
      <c r="E681" s="221"/>
      <c r="F681" s="229"/>
      <c r="G681" s="102" t="s">
        <v>453</v>
      </c>
      <c r="H681" s="57" t="s">
        <v>168</v>
      </c>
      <c r="I681" s="50">
        <f>22681+9600</f>
        <v>32281</v>
      </c>
      <c r="J681" s="50">
        <f>I681/D672</f>
        <v>1.99</v>
      </c>
      <c r="K681" s="50">
        <f>32281/D672</f>
        <v>1.99</v>
      </c>
    </row>
    <row r="682" spans="1:11" x14ac:dyDescent="0.25">
      <c r="A682" s="215">
        <f>A672+1</f>
        <v>73</v>
      </c>
      <c r="B682" s="215">
        <v>4358</v>
      </c>
      <c r="C682" s="223" t="s">
        <v>546</v>
      </c>
      <c r="D682" s="224">
        <v>5129.5</v>
      </c>
      <c r="E682" s="224" t="s">
        <v>64</v>
      </c>
      <c r="F682" s="225">
        <v>10</v>
      </c>
      <c r="G682" s="216" t="s">
        <v>170</v>
      </c>
      <c r="H682" s="57" t="s">
        <v>66</v>
      </c>
      <c r="I682" s="50">
        <f>I683+I684+I685</f>
        <v>1945960.05</v>
      </c>
      <c r="J682" s="50">
        <f>J683+J684+J685</f>
        <v>379.37</v>
      </c>
      <c r="K682" s="50">
        <f>K683+K684+K685</f>
        <v>452.66</v>
      </c>
    </row>
    <row r="683" spans="1:11" ht="63" x14ac:dyDescent="0.25">
      <c r="A683" s="215"/>
      <c r="B683" s="215"/>
      <c r="C683" s="223"/>
      <c r="D683" s="224"/>
      <c r="E683" s="224"/>
      <c r="F683" s="225"/>
      <c r="G683" s="217"/>
      <c r="H683" s="57" t="s">
        <v>168</v>
      </c>
      <c r="I683" s="50">
        <v>22681</v>
      </c>
      <c r="J683" s="50">
        <f>I683/D682</f>
        <v>4.42</v>
      </c>
      <c r="K683" s="50">
        <f>32281/D682</f>
        <v>6.29</v>
      </c>
    </row>
    <row r="684" spans="1:11" x14ac:dyDescent="0.25">
      <c r="A684" s="215">
        <v>756</v>
      </c>
      <c r="B684" s="215"/>
      <c r="C684" s="223"/>
      <c r="D684" s="224"/>
      <c r="E684" s="224"/>
      <c r="F684" s="225"/>
      <c r="G684" s="217"/>
      <c r="H684" s="57" t="s">
        <v>171</v>
      </c>
      <c r="I684" s="50">
        <v>1882983.21</v>
      </c>
      <c r="J684" s="50">
        <f>I684/D682</f>
        <v>367.09</v>
      </c>
      <c r="K684" s="50">
        <f>2241647/D682+0.01</f>
        <v>437.02</v>
      </c>
    </row>
    <row r="685" spans="1:11" x14ac:dyDescent="0.25">
      <c r="A685" s="215">
        <v>757</v>
      </c>
      <c r="B685" s="215"/>
      <c r="C685" s="223"/>
      <c r="D685" s="224"/>
      <c r="E685" s="224"/>
      <c r="F685" s="225"/>
      <c r="G685" s="222"/>
      <c r="H685" s="57" t="s">
        <v>69</v>
      </c>
      <c r="I685" s="50">
        <f>I684*0.0214</f>
        <v>40295.839999999997</v>
      </c>
      <c r="J685" s="50">
        <f>I685/D682</f>
        <v>7.86</v>
      </c>
      <c r="K685" s="50">
        <f>47971/D682</f>
        <v>9.35</v>
      </c>
    </row>
    <row r="686" spans="1:11" x14ac:dyDescent="0.25">
      <c r="A686" s="215">
        <f>A682+1</f>
        <v>74</v>
      </c>
      <c r="B686" s="215">
        <v>4093</v>
      </c>
      <c r="C686" s="223" t="s">
        <v>496</v>
      </c>
      <c r="D686" s="224">
        <v>18536.900000000001</v>
      </c>
      <c r="E686" s="224" t="s">
        <v>64</v>
      </c>
      <c r="F686" s="225">
        <v>10</v>
      </c>
      <c r="G686" s="105"/>
      <c r="H686" s="57" t="s">
        <v>66</v>
      </c>
      <c r="I686" s="50">
        <f>I687+I688+I689+I690+I691+I692+I693+I694</f>
        <v>6285996.71</v>
      </c>
      <c r="J686" s="50">
        <f t="shared" ref="J686:K686" si="21">J687+J688+J689+J690+J691+J692+J693+J694</f>
        <v>339.11</v>
      </c>
      <c r="K686" s="50">
        <f t="shared" si="21"/>
        <v>374.03</v>
      </c>
    </row>
    <row r="687" spans="1:11" ht="63" x14ac:dyDescent="0.25">
      <c r="A687" s="215"/>
      <c r="B687" s="215"/>
      <c r="C687" s="223"/>
      <c r="D687" s="224"/>
      <c r="E687" s="224"/>
      <c r="F687" s="225"/>
      <c r="G687" s="102" t="s">
        <v>175</v>
      </c>
      <c r="H687" s="57" t="s">
        <v>168</v>
      </c>
      <c r="I687" s="50">
        <f>22681+9600</f>
        <v>32281</v>
      </c>
      <c r="J687" s="50">
        <f>I687/D686</f>
        <v>1.74</v>
      </c>
      <c r="K687" s="50">
        <f>32281/D686</f>
        <v>1.74</v>
      </c>
    </row>
    <row r="688" spans="1:11" ht="63" x14ac:dyDescent="0.25">
      <c r="A688" s="215"/>
      <c r="B688" s="215"/>
      <c r="C688" s="223"/>
      <c r="D688" s="224"/>
      <c r="E688" s="224"/>
      <c r="F688" s="225"/>
      <c r="G688" s="102" t="s">
        <v>172</v>
      </c>
      <c r="H688" s="57" t="s">
        <v>168</v>
      </c>
      <c r="I688" s="50">
        <f>22681+9600</f>
        <v>32281</v>
      </c>
      <c r="J688" s="50">
        <f>I688/D686</f>
        <v>1.74</v>
      </c>
      <c r="K688" s="50">
        <f>32281/D686</f>
        <v>1.74</v>
      </c>
    </row>
    <row r="689" spans="1:11" x14ac:dyDescent="0.25">
      <c r="A689" s="215">
        <v>756</v>
      </c>
      <c r="B689" s="215"/>
      <c r="C689" s="223"/>
      <c r="D689" s="224"/>
      <c r="E689" s="224"/>
      <c r="F689" s="225"/>
      <c r="G689" s="216" t="s">
        <v>444</v>
      </c>
      <c r="H689" s="57" t="s">
        <v>171</v>
      </c>
      <c r="I689" s="50">
        <v>2042828.14</v>
      </c>
      <c r="J689" s="50">
        <f>I689/D686+0.01</f>
        <v>110.21</v>
      </c>
      <c r="K689" s="50">
        <f>2241647/D686</f>
        <v>120.93</v>
      </c>
    </row>
    <row r="690" spans="1:11" x14ac:dyDescent="0.25">
      <c r="A690" s="215">
        <v>757</v>
      </c>
      <c r="B690" s="215"/>
      <c r="C690" s="223"/>
      <c r="D690" s="224"/>
      <c r="E690" s="224"/>
      <c r="F690" s="225"/>
      <c r="G690" s="222"/>
      <c r="H690" s="57" t="s">
        <v>69</v>
      </c>
      <c r="I690" s="50">
        <v>34727.22</v>
      </c>
      <c r="J690" s="50">
        <f>I690/D686</f>
        <v>1.87</v>
      </c>
      <c r="K690" s="50">
        <f>47971/D686</f>
        <v>2.59</v>
      </c>
    </row>
    <row r="691" spans="1:11" x14ac:dyDescent="0.25">
      <c r="A691" s="215"/>
      <c r="B691" s="215"/>
      <c r="C691" s="223"/>
      <c r="D691" s="224"/>
      <c r="E691" s="224"/>
      <c r="F691" s="225"/>
      <c r="G691" s="216" t="s">
        <v>453</v>
      </c>
      <c r="H691" s="57" t="s">
        <v>171</v>
      </c>
      <c r="I691" s="50">
        <v>2031596.77</v>
      </c>
      <c r="J691" s="50">
        <f>I691/D686</f>
        <v>109.6</v>
      </c>
      <c r="K691" s="50">
        <f>2241647/D686</f>
        <v>120.93</v>
      </c>
    </row>
    <row r="692" spans="1:11" x14ac:dyDescent="0.25">
      <c r="A692" s="215"/>
      <c r="B692" s="215"/>
      <c r="C692" s="223"/>
      <c r="D692" s="224"/>
      <c r="E692" s="224"/>
      <c r="F692" s="225"/>
      <c r="G692" s="222"/>
      <c r="H692" s="57" t="s">
        <v>69</v>
      </c>
      <c r="I692" s="50">
        <v>34727.22</v>
      </c>
      <c r="J692" s="50">
        <f>I692/D686</f>
        <v>1.87</v>
      </c>
      <c r="K692" s="50">
        <f>47971/D686</f>
        <v>2.59</v>
      </c>
    </row>
    <row r="693" spans="1:11" x14ac:dyDescent="0.25">
      <c r="A693" s="215"/>
      <c r="B693" s="215"/>
      <c r="C693" s="223"/>
      <c r="D693" s="224"/>
      <c r="E693" s="224"/>
      <c r="F693" s="225"/>
      <c r="G693" s="216" t="s">
        <v>461</v>
      </c>
      <c r="H693" s="57" t="s">
        <v>171</v>
      </c>
      <c r="I693" s="50">
        <v>2042828.14</v>
      </c>
      <c r="J693" s="50">
        <f>I693/D686+0.01</f>
        <v>110.21</v>
      </c>
      <c r="K693" s="50">
        <f>2241647/D686-0.01</f>
        <v>120.92</v>
      </c>
    </row>
    <row r="694" spans="1:11" x14ac:dyDescent="0.25">
      <c r="A694" s="215"/>
      <c r="B694" s="215"/>
      <c r="C694" s="223"/>
      <c r="D694" s="224"/>
      <c r="E694" s="224"/>
      <c r="F694" s="225"/>
      <c r="G694" s="222"/>
      <c r="H694" s="57" t="s">
        <v>69</v>
      </c>
      <c r="I694" s="50">
        <v>34727.22</v>
      </c>
      <c r="J694" s="50">
        <f>I694/D686</f>
        <v>1.87</v>
      </c>
      <c r="K694" s="50">
        <f>47971/D686</f>
        <v>2.59</v>
      </c>
    </row>
    <row r="695" spans="1:11" ht="15.75" customHeight="1" x14ac:dyDescent="0.25">
      <c r="A695" s="215">
        <f>A686+1</f>
        <v>75</v>
      </c>
      <c r="B695" s="215">
        <v>3116</v>
      </c>
      <c r="C695" s="223" t="s">
        <v>207</v>
      </c>
      <c r="D695" s="224">
        <v>2647.9</v>
      </c>
      <c r="E695" s="224" t="s">
        <v>68</v>
      </c>
      <c r="F695" s="225">
        <v>5</v>
      </c>
      <c r="G695" s="215" t="s">
        <v>65</v>
      </c>
      <c r="H695" s="57" t="s">
        <v>66</v>
      </c>
      <c r="I695" s="50">
        <f>I696+I697</f>
        <v>6086165.6500000004</v>
      </c>
      <c r="J695" s="50">
        <f>J696+J697</f>
        <v>2298.4899999999998</v>
      </c>
      <c r="K695" s="50">
        <f>K696+K697</f>
        <v>3878</v>
      </c>
    </row>
    <row r="696" spans="1:11" ht="15.75" customHeight="1" x14ac:dyDescent="0.25">
      <c r="A696" s="215">
        <v>77</v>
      </c>
      <c r="B696" s="215"/>
      <c r="C696" s="223"/>
      <c r="D696" s="215"/>
      <c r="E696" s="224"/>
      <c r="F696" s="225"/>
      <c r="G696" s="215"/>
      <c r="H696" s="57" t="s">
        <v>67</v>
      </c>
      <c r="I696" s="50">
        <v>5958650.5300000003</v>
      </c>
      <c r="J696" s="50">
        <f>I696/D695</f>
        <v>2250.33</v>
      </c>
      <c r="K696" s="50">
        <v>3797</v>
      </c>
    </row>
    <row r="697" spans="1:11" ht="15.75" customHeight="1" x14ac:dyDescent="0.25">
      <c r="A697" s="215"/>
      <c r="B697" s="215"/>
      <c r="C697" s="223"/>
      <c r="D697" s="215"/>
      <c r="E697" s="224"/>
      <c r="F697" s="225"/>
      <c r="G697" s="215"/>
      <c r="H697" s="57" t="s">
        <v>69</v>
      </c>
      <c r="I697" s="50">
        <f>I696*0.0214</f>
        <v>127515.12</v>
      </c>
      <c r="J697" s="50">
        <f>I697/D695</f>
        <v>48.16</v>
      </c>
      <c r="K697" s="50">
        <v>81</v>
      </c>
    </row>
    <row r="698" spans="1:11" x14ac:dyDescent="0.25">
      <c r="A698" s="215">
        <f>A695+1</f>
        <v>76</v>
      </c>
      <c r="B698" s="215">
        <v>3291</v>
      </c>
      <c r="C698" s="223" t="s">
        <v>142</v>
      </c>
      <c r="D698" s="224">
        <v>2878.8</v>
      </c>
      <c r="E698" s="224" t="s">
        <v>64</v>
      </c>
      <c r="F698" s="225">
        <v>5</v>
      </c>
      <c r="G698" s="215" t="s">
        <v>65</v>
      </c>
      <c r="H698" s="57" t="s">
        <v>66</v>
      </c>
      <c r="I698" s="50">
        <f>I699+I700</f>
        <v>7431616.5199999996</v>
      </c>
      <c r="J698" s="50">
        <f>J699+J700</f>
        <v>2581.5</v>
      </c>
      <c r="K698" s="50">
        <f>K699+K700</f>
        <v>3878</v>
      </c>
    </row>
    <row r="699" spans="1:11" x14ac:dyDescent="0.25">
      <c r="A699" s="215">
        <v>75</v>
      </c>
      <c r="B699" s="215"/>
      <c r="C699" s="223"/>
      <c r="D699" s="224"/>
      <c r="E699" s="224"/>
      <c r="F699" s="225"/>
      <c r="G699" s="215"/>
      <c r="H699" s="57" t="s">
        <v>67</v>
      </c>
      <c r="I699" s="50">
        <v>7275912</v>
      </c>
      <c r="J699" s="50">
        <f>I699/D698</f>
        <v>2527.41</v>
      </c>
      <c r="K699" s="50">
        <v>3797</v>
      </c>
    </row>
    <row r="700" spans="1:11" x14ac:dyDescent="0.25">
      <c r="A700" s="215"/>
      <c r="B700" s="215"/>
      <c r="C700" s="223"/>
      <c r="D700" s="224"/>
      <c r="E700" s="224"/>
      <c r="F700" s="225"/>
      <c r="G700" s="215"/>
      <c r="H700" s="57" t="s">
        <v>69</v>
      </c>
      <c r="I700" s="50">
        <v>155704.51999999999</v>
      </c>
      <c r="J700" s="50">
        <f>I700/D698</f>
        <v>54.09</v>
      </c>
      <c r="K700" s="50">
        <v>81</v>
      </c>
    </row>
    <row r="701" spans="1:11" x14ac:dyDescent="0.25">
      <c r="A701" s="215">
        <f>A698+1</f>
        <v>77</v>
      </c>
      <c r="B701" s="215">
        <v>3295</v>
      </c>
      <c r="C701" s="223" t="s">
        <v>143</v>
      </c>
      <c r="D701" s="224">
        <v>3558.7</v>
      </c>
      <c r="E701" s="224" t="s">
        <v>64</v>
      </c>
      <c r="F701" s="225">
        <v>5</v>
      </c>
      <c r="G701" s="215" t="s">
        <v>65</v>
      </c>
      <c r="H701" s="57" t="s">
        <v>66</v>
      </c>
      <c r="I701" s="50">
        <f>I702+I703</f>
        <v>9750668.7699999996</v>
      </c>
      <c r="J701" s="50">
        <f>J702+J703</f>
        <v>2739.95</v>
      </c>
      <c r="K701" s="50">
        <f>K702+K703</f>
        <v>3878</v>
      </c>
    </row>
    <row r="702" spans="1:11" x14ac:dyDescent="0.25">
      <c r="A702" s="215">
        <v>75</v>
      </c>
      <c r="B702" s="215"/>
      <c r="C702" s="223"/>
      <c r="D702" s="224"/>
      <c r="E702" s="224"/>
      <c r="F702" s="225"/>
      <c r="G702" s="215"/>
      <c r="H702" s="57" t="s">
        <v>67</v>
      </c>
      <c r="I702" s="50">
        <v>9546376.3200000003</v>
      </c>
      <c r="J702" s="50">
        <f>I702/D701-0.01</f>
        <v>2682.54</v>
      </c>
      <c r="K702" s="50">
        <v>3797</v>
      </c>
    </row>
    <row r="703" spans="1:11" x14ac:dyDescent="0.25">
      <c r="A703" s="215"/>
      <c r="B703" s="215"/>
      <c r="C703" s="223"/>
      <c r="D703" s="224"/>
      <c r="E703" s="224"/>
      <c r="F703" s="225"/>
      <c r="G703" s="215"/>
      <c r="H703" s="57" t="s">
        <v>69</v>
      </c>
      <c r="I703" s="50">
        <v>204292.45</v>
      </c>
      <c r="J703" s="50">
        <f>I703/D701</f>
        <v>57.41</v>
      </c>
      <c r="K703" s="50">
        <v>81</v>
      </c>
    </row>
    <row r="704" spans="1:11" x14ac:dyDescent="0.25">
      <c r="A704" s="215">
        <f>A701+1</f>
        <v>78</v>
      </c>
      <c r="B704" s="215">
        <v>3298</v>
      </c>
      <c r="C704" s="223" t="s">
        <v>144</v>
      </c>
      <c r="D704" s="224">
        <v>2717.8</v>
      </c>
      <c r="E704" s="224" t="s">
        <v>64</v>
      </c>
      <c r="F704" s="225">
        <v>5</v>
      </c>
      <c r="G704" s="215" t="s">
        <v>65</v>
      </c>
      <c r="H704" s="57" t="s">
        <v>66</v>
      </c>
      <c r="I704" s="50">
        <f>I705+I706</f>
        <v>7342228.8600000003</v>
      </c>
      <c r="J704" s="50">
        <f>J705+J706</f>
        <v>2701.53</v>
      </c>
      <c r="K704" s="50">
        <f>K705+K706</f>
        <v>3878</v>
      </c>
    </row>
    <row r="705" spans="1:11" x14ac:dyDescent="0.25">
      <c r="A705" s="215">
        <v>75</v>
      </c>
      <c r="B705" s="215"/>
      <c r="C705" s="223"/>
      <c r="D705" s="224"/>
      <c r="E705" s="224"/>
      <c r="F705" s="225"/>
      <c r="G705" s="215"/>
      <c r="H705" s="57" t="s">
        <v>67</v>
      </c>
      <c r="I705" s="50">
        <v>7188397.1600000001</v>
      </c>
      <c r="J705" s="50">
        <f>I705/D704</f>
        <v>2644.93</v>
      </c>
      <c r="K705" s="50">
        <v>3797</v>
      </c>
    </row>
    <row r="706" spans="1:11" x14ac:dyDescent="0.25">
      <c r="A706" s="215"/>
      <c r="B706" s="215"/>
      <c r="C706" s="223"/>
      <c r="D706" s="224"/>
      <c r="E706" s="224"/>
      <c r="F706" s="225"/>
      <c r="G706" s="215"/>
      <c r="H706" s="57" t="s">
        <v>69</v>
      </c>
      <c r="I706" s="50">
        <v>153831.70000000001</v>
      </c>
      <c r="J706" s="50">
        <f>I706/D704</f>
        <v>56.6</v>
      </c>
      <c r="K706" s="50">
        <v>81</v>
      </c>
    </row>
    <row r="707" spans="1:11" x14ac:dyDescent="0.25">
      <c r="A707" s="215">
        <f>A704+1</f>
        <v>79</v>
      </c>
      <c r="B707" s="215">
        <v>3171</v>
      </c>
      <c r="C707" s="223" t="s">
        <v>457</v>
      </c>
      <c r="D707" s="224">
        <v>8269.5</v>
      </c>
      <c r="E707" s="224" t="s">
        <v>68</v>
      </c>
      <c r="F707" s="225">
        <v>9</v>
      </c>
      <c r="G707" s="105"/>
      <c r="H707" s="57" t="s">
        <v>66</v>
      </c>
      <c r="I707" s="50">
        <f>I708+I709+I710+I711</f>
        <v>3822512.28</v>
      </c>
      <c r="J707" s="50">
        <f>J708+J709+J710+J711</f>
        <v>462.24</v>
      </c>
      <c r="K707" s="50">
        <f>K708+K709+K710+K711</f>
        <v>553.75</v>
      </c>
    </row>
    <row r="708" spans="1:11" x14ac:dyDescent="0.25">
      <c r="A708" s="215">
        <v>756</v>
      </c>
      <c r="B708" s="215"/>
      <c r="C708" s="223"/>
      <c r="D708" s="224"/>
      <c r="E708" s="224"/>
      <c r="F708" s="225"/>
      <c r="G708" s="216" t="s">
        <v>174</v>
      </c>
      <c r="H708" s="57" t="s">
        <v>171</v>
      </c>
      <c r="I708" s="50">
        <v>1884726.36</v>
      </c>
      <c r="J708" s="50">
        <f>I708/D707+0.01</f>
        <v>227.92</v>
      </c>
      <c r="K708" s="50">
        <f>2241647/D707+0.01</f>
        <v>271.08</v>
      </c>
    </row>
    <row r="709" spans="1:11" x14ac:dyDescent="0.25">
      <c r="A709" s="215">
        <v>757</v>
      </c>
      <c r="B709" s="215"/>
      <c r="C709" s="223"/>
      <c r="D709" s="224"/>
      <c r="E709" s="224"/>
      <c r="F709" s="225"/>
      <c r="G709" s="222"/>
      <c r="H709" s="57" t="s">
        <v>69</v>
      </c>
      <c r="I709" s="50">
        <v>31660.86</v>
      </c>
      <c r="J709" s="50">
        <f>I709/D707</f>
        <v>3.83</v>
      </c>
      <c r="K709" s="50">
        <f>47971/D707</f>
        <v>5.8</v>
      </c>
    </row>
    <row r="710" spans="1:11" x14ac:dyDescent="0.25">
      <c r="A710" s="215"/>
      <c r="B710" s="215"/>
      <c r="C710" s="223"/>
      <c r="D710" s="224"/>
      <c r="E710" s="224"/>
      <c r="F710" s="225"/>
      <c r="G710" s="216" t="s">
        <v>175</v>
      </c>
      <c r="H710" s="57" t="s">
        <v>171</v>
      </c>
      <c r="I710" s="50">
        <v>1874464.2</v>
      </c>
      <c r="J710" s="50">
        <f>I710/D707-0.01</f>
        <v>226.66</v>
      </c>
      <c r="K710" s="50">
        <f>2241647/D707</f>
        <v>271.07</v>
      </c>
    </row>
    <row r="711" spans="1:11" x14ac:dyDescent="0.25">
      <c r="A711" s="215"/>
      <c r="B711" s="215"/>
      <c r="C711" s="223"/>
      <c r="D711" s="224"/>
      <c r="E711" s="224"/>
      <c r="F711" s="225"/>
      <c r="G711" s="222"/>
      <c r="H711" s="57" t="s">
        <v>69</v>
      </c>
      <c r="I711" s="50">
        <v>31660.86</v>
      </c>
      <c r="J711" s="50">
        <f>I711/D707</f>
        <v>3.83</v>
      </c>
      <c r="K711" s="50">
        <f>47971/D707</f>
        <v>5.8</v>
      </c>
    </row>
    <row r="712" spans="1:11" ht="15.75" customHeight="1" x14ac:dyDescent="0.25">
      <c r="A712" s="216">
        <f>A707+1</f>
        <v>80</v>
      </c>
      <c r="B712" s="216">
        <v>4261</v>
      </c>
      <c r="C712" s="218" t="s">
        <v>608</v>
      </c>
      <c r="D712" s="220">
        <v>3106.9</v>
      </c>
      <c r="E712" s="216" t="s">
        <v>68</v>
      </c>
      <c r="F712" s="216">
        <v>10</v>
      </c>
      <c r="G712" s="105"/>
      <c r="H712" s="57" t="s">
        <v>66</v>
      </c>
      <c r="I712" s="50">
        <f>I713</f>
        <v>32281</v>
      </c>
      <c r="J712" s="50">
        <f>J713</f>
        <v>10.39</v>
      </c>
      <c r="K712" s="50">
        <f>K713</f>
        <v>10.39</v>
      </c>
    </row>
    <row r="713" spans="1:11" ht="47.25" customHeight="1" x14ac:dyDescent="0.25">
      <c r="A713" s="217"/>
      <c r="B713" s="217"/>
      <c r="C713" s="219"/>
      <c r="D713" s="221"/>
      <c r="E713" s="217"/>
      <c r="F713" s="217"/>
      <c r="G713" s="102" t="s">
        <v>170</v>
      </c>
      <c r="H713" s="57" t="s">
        <v>168</v>
      </c>
      <c r="I713" s="50">
        <f>22681+9600</f>
        <v>32281</v>
      </c>
      <c r="J713" s="50">
        <f>I713/D712</f>
        <v>10.39</v>
      </c>
      <c r="K713" s="50">
        <f>32281/D712</f>
        <v>10.39</v>
      </c>
    </row>
    <row r="714" spans="1:11" ht="15.75" customHeight="1" x14ac:dyDescent="0.25">
      <c r="A714" s="216">
        <f>A712+1</f>
        <v>81</v>
      </c>
      <c r="B714" s="216">
        <v>4378</v>
      </c>
      <c r="C714" s="218" t="s">
        <v>609</v>
      </c>
      <c r="D714" s="220">
        <v>3900.4</v>
      </c>
      <c r="E714" s="216" t="s">
        <v>68</v>
      </c>
      <c r="F714" s="216">
        <v>10</v>
      </c>
      <c r="G714" s="105"/>
      <c r="H714" s="57" t="s">
        <v>66</v>
      </c>
      <c r="I714" s="50">
        <f>I715</f>
        <v>32281</v>
      </c>
      <c r="J714" s="50">
        <f>J715</f>
        <v>8.2799999999999994</v>
      </c>
      <c r="K714" s="50">
        <f>K715</f>
        <v>8.2799999999999994</v>
      </c>
    </row>
    <row r="715" spans="1:11" ht="47.25" customHeight="1" x14ac:dyDescent="0.25">
      <c r="A715" s="217"/>
      <c r="B715" s="217"/>
      <c r="C715" s="219"/>
      <c r="D715" s="221"/>
      <c r="E715" s="217"/>
      <c r="F715" s="217"/>
      <c r="G715" s="102" t="s">
        <v>170</v>
      </c>
      <c r="H715" s="57" t="s">
        <v>168</v>
      </c>
      <c r="I715" s="50">
        <f>22681+9600</f>
        <v>32281</v>
      </c>
      <c r="J715" s="50">
        <f>I715/D714</f>
        <v>8.2799999999999994</v>
      </c>
      <c r="K715" s="50">
        <f>32281/D714</f>
        <v>8.2799999999999994</v>
      </c>
    </row>
    <row r="716" spans="1:11" ht="15.75" customHeight="1" x14ac:dyDescent="0.25">
      <c r="A716" s="216">
        <f>A714+1</f>
        <v>82</v>
      </c>
      <c r="B716" s="216">
        <v>4243</v>
      </c>
      <c r="C716" s="218" t="s">
        <v>610</v>
      </c>
      <c r="D716" s="220">
        <v>3950.38</v>
      </c>
      <c r="E716" s="216" t="s">
        <v>68</v>
      </c>
      <c r="F716" s="216">
        <v>9</v>
      </c>
      <c r="G716" s="105"/>
      <c r="H716" s="57" t="s">
        <v>66</v>
      </c>
      <c r="I716" s="50">
        <f>I717+I718</f>
        <v>64562</v>
      </c>
      <c r="J716" s="50">
        <f t="shared" ref="J716:K716" si="22">J717+J718</f>
        <v>16.34</v>
      </c>
      <c r="K716" s="50">
        <f t="shared" si="22"/>
        <v>16.34</v>
      </c>
    </row>
    <row r="717" spans="1:11" ht="47.25" customHeight="1" x14ac:dyDescent="0.25">
      <c r="A717" s="217"/>
      <c r="B717" s="217"/>
      <c r="C717" s="219"/>
      <c r="D717" s="221"/>
      <c r="E717" s="217"/>
      <c r="F717" s="217"/>
      <c r="G717" s="102" t="s">
        <v>170</v>
      </c>
      <c r="H717" s="57" t="s">
        <v>168</v>
      </c>
      <c r="I717" s="50">
        <f>22681+9600</f>
        <v>32281</v>
      </c>
      <c r="J717" s="50">
        <f>I717/D716</f>
        <v>8.17</v>
      </c>
      <c r="K717" s="50">
        <f>32281/D716</f>
        <v>8.17</v>
      </c>
    </row>
    <row r="718" spans="1:11" ht="47.25" customHeight="1" x14ac:dyDescent="0.25">
      <c r="A718" s="217"/>
      <c r="B718" s="217"/>
      <c r="C718" s="219"/>
      <c r="D718" s="221"/>
      <c r="E718" s="217"/>
      <c r="F718" s="217"/>
      <c r="G718" s="102" t="s">
        <v>173</v>
      </c>
      <c r="H718" s="57" t="s">
        <v>168</v>
      </c>
      <c r="I718" s="50">
        <f>22681+9600</f>
        <v>32281</v>
      </c>
      <c r="J718" s="50">
        <f>I718/D716</f>
        <v>8.17</v>
      </c>
      <c r="K718" s="50">
        <f>32281/D716</f>
        <v>8.17</v>
      </c>
    </row>
    <row r="719" spans="1:11" ht="15.75" customHeight="1" x14ac:dyDescent="0.25">
      <c r="A719" s="216">
        <f>A716+1</f>
        <v>83</v>
      </c>
      <c r="B719" s="216">
        <v>4379</v>
      </c>
      <c r="C719" s="218" t="s">
        <v>611</v>
      </c>
      <c r="D719" s="220">
        <v>3914.2</v>
      </c>
      <c r="E719" s="216" t="s">
        <v>68</v>
      </c>
      <c r="F719" s="216">
        <v>10</v>
      </c>
      <c r="G719" s="105"/>
      <c r="H719" s="57" t="s">
        <v>66</v>
      </c>
      <c r="I719" s="50">
        <f>I720</f>
        <v>32281</v>
      </c>
      <c r="J719" s="50">
        <f>J720</f>
        <v>8.25</v>
      </c>
      <c r="K719" s="50">
        <f>K720</f>
        <v>8.25</v>
      </c>
    </row>
    <row r="720" spans="1:11" ht="47.25" customHeight="1" x14ac:dyDescent="0.25">
      <c r="A720" s="217"/>
      <c r="B720" s="217"/>
      <c r="C720" s="219"/>
      <c r="D720" s="221"/>
      <c r="E720" s="217"/>
      <c r="F720" s="217"/>
      <c r="G720" s="102" t="s">
        <v>170</v>
      </c>
      <c r="H720" s="57" t="s">
        <v>168</v>
      </c>
      <c r="I720" s="50">
        <f>22681+9600</f>
        <v>32281</v>
      </c>
      <c r="J720" s="50">
        <f>I720/D719</f>
        <v>8.25</v>
      </c>
      <c r="K720" s="50">
        <f>32281/D719</f>
        <v>8.25</v>
      </c>
    </row>
    <row r="721" spans="1:11" x14ac:dyDescent="0.25">
      <c r="A721" s="215">
        <f>A719+1</f>
        <v>84</v>
      </c>
      <c r="B721" s="215">
        <v>3313</v>
      </c>
      <c r="C721" s="223" t="s">
        <v>145</v>
      </c>
      <c r="D721" s="224">
        <v>3573</v>
      </c>
      <c r="E721" s="224" t="s">
        <v>64</v>
      </c>
      <c r="F721" s="225">
        <v>5</v>
      </c>
      <c r="G721" s="215" t="s">
        <v>65</v>
      </c>
      <c r="H721" s="57" t="s">
        <v>66</v>
      </c>
      <c r="I721" s="50">
        <f>I722+I723</f>
        <v>9374140.5199999996</v>
      </c>
      <c r="J721" s="50">
        <f>J722+J723</f>
        <v>2623.6</v>
      </c>
      <c r="K721" s="50">
        <f>K722+K723</f>
        <v>3878</v>
      </c>
    </row>
    <row r="722" spans="1:11" x14ac:dyDescent="0.25">
      <c r="A722" s="215">
        <v>75</v>
      </c>
      <c r="B722" s="215"/>
      <c r="C722" s="223"/>
      <c r="D722" s="224"/>
      <c r="E722" s="224"/>
      <c r="F722" s="225"/>
      <c r="G722" s="215"/>
      <c r="H722" s="57" t="s">
        <v>67</v>
      </c>
      <c r="I722" s="50">
        <v>9177736.9499999993</v>
      </c>
      <c r="J722" s="50">
        <f>I722/D721-0.01</f>
        <v>2568.63</v>
      </c>
      <c r="K722" s="50">
        <v>3797</v>
      </c>
    </row>
    <row r="723" spans="1:11" x14ac:dyDescent="0.25">
      <c r="A723" s="215"/>
      <c r="B723" s="215"/>
      <c r="C723" s="223"/>
      <c r="D723" s="224"/>
      <c r="E723" s="224"/>
      <c r="F723" s="225"/>
      <c r="G723" s="215"/>
      <c r="H723" s="57" t="s">
        <v>69</v>
      </c>
      <c r="I723" s="50">
        <v>196403.57</v>
      </c>
      <c r="J723" s="50">
        <f>I723/D721</f>
        <v>54.97</v>
      </c>
      <c r="K723" s="50">
        <v>81</v>
      </c>
    </row>
    <row r="724" spans="1:11" x14ac:dyDescent="0.25">
      <c r="A724" s="215">
        <f>A721+1</f>
        <v>85</v>
      </c>
      <c r="B724" s="215">
        <v>4342</v>
      </c>
      <c r="C724" s="223" t="s">
        <v>146</v>
      </c>
      <c r="D724" s="224">
        <v>4412.1499999999996</v>
      </c>
      <c r="E724" s="224" t="s">
        <v>64</v>
      </c>
      <c r="F724" s="225">
        <v>5</v>
      </c>
      <c r="G724" s="215" t="s">
        <v>65</v>
      </c>
      <c r="H724" s="57" t="s">
        <v>66</v>
      </c>
      <c r="I724" s="50">
        <f>I725+I726</f>
        <v>12547247.029999999</v>
      </c>
      <c r="J724" s="50">
        <f>J725+J726</f>
        <v>2843.79</v>
      </c>
      <c r="K724" s="50">
        <f>K725+K726</f>
        <v>3878</v>
      </c>
    </row>
    <row r="725" spans="1:11" x14ac:dyDescent="0.25">
      <c r="A725" s="215">
        <v>75</v>
      </c>
      <c r="B725" s="215"/>
      <c r="C725" s="223"/>
      <c r="D725" s="224"/>
      <c r="E725" s="224"/>
      <c r="F725" s="225"/>
      <c r="G725" s="215"/>
      <c r="H725" s="57" t="s">
        <v>67</v>
      </c>
      <c r="I725" s="50">
        <v>12284361.689999999</v>
      </c>
      <c r="J725" s="50">
        <f>I725/D724</f>
        <v>2784.21</v>
      </c>
      <c r="K725" s="50">
        <v>3797</v>
      </c>
    </row>
    <row r="726" spans="1:11" x14ac:dyDescent="0.25">
      <c r="A726" s="215"/>
      <c r="B726" s="215"/>
      <c r="C726" s="223"/>
      <c r="D726" s="224"/>
      <c r="E726" s="224"/>
      <c r="F726" s="225"/>
      <c r="G726" s="215"/>
      <c r="H726" s="57" t="s">
        <v>69</v>
      </c>
      <c r="I726" s="50">
        <v>262885.34000000003</v>
      </c>
      <c r="J726" s="50">
        <f>I726/D724</f>
        <v>59.58</v>
      </c>
      <c r="K726" s="50">
        <v>81</v>
      </c>
    </row>
    <row r="727" spans="1:11" x14ac:dyDescent="0.25">
      <c r="A727" s="215">
        <f>A724+1</f>
        <v>86</v>
      </c>
      <c r="B727" s="215">
        <v>4344</v>
      </c>
      <c r="C727" s="223" t="s">
        <v>147</v>
      </c>
      <c r="D727" s="224">
        <v>3205.5</v>
      </c>
      <c r="E727" s="224" t="s">
        <v>68</v>
      </c>
      <c r="F727" s="225">
        <v>5</v>
      </c>
      <c r="G727" s="215" t="s">
        <v>65</v>
      </c>
      <c r="H727" s="57" t="s">
        <v>66</v>
      </c>
      <c r="I727" s="50">
        <f>I728+I729</f>
        <v>6209810.6500000004</v>
      </c>
      <c r="J727" s="50">
        <f>J728+J729</f>
        <v>1937.24</v>
      </c>
      <c r="K727" s="50">
        <f>K728+K729</f>
        <v>3878</v>
      </c>
    </row>
    <row r="728" spans="1:11" x14ac:dyDescent="0.25">
      <c r="A728" s="215">
        <v>75</v>
      </c>
      <c r="B728" s="215"/>
      <c r="C728" s="223"/>
      <c r="D728" s="224"/>
      <c r="E728" s="224"/>
      <c r="F728" s="225"/>
      <c r="G728" s="215"/>
      <c r="H728" s="57" t="s">
        <v>67</v>
      </c>
      <c r="I728" s="50">
        <v>6079704.96</v>
      </c>
      <c r="J728" s="50">
        <f>I728/D727</f>
        <v>1896.65</v>
      </c>
      <c r="K728" s="50">
        <v>3797</v>
      </c>
    </row>
    <row r="729" spans="1:11" x14ac:dyDescent="0.25">
      <c r="A729" s="215"/>
      <c r="B729" s="215"/>
      <c r="C729" s="223"/>
      <c r="D729" s="224"/>
      <c r="E729" s="224"/>
      <c r="F729" s="225"/>
      <c r="G729" s="215"/>
      <c r="H729" s="57" t="s">
        <v>69</v>
      </c>
      <c r="I729" s="50">
        <v>130105.69</v>
      </c>
      <c r="J729" s="50">
        <f>I729/D727</f>
        <v>40.590000000000003</v>
      </c>
      <c r="K729" s="50">
        <v>81</v>
      </c>
    </row>
    <row r="730" spans="1:11" x14ac:dyDescent="0.25">
      <c r="A730" s="215">
        <f>A727+1</f>
        <v>87</v>
      </c>
      <c r="B730" s="215">
        <v>3320</v>
      </c>
      <c r="C730" s="223" t="s">
        <v>148</v>
      </c>
      <c r="D730" s="224">
        <v>2666</v>
      </c>
      <c r="E730" s="224" t="s">
        <v>64</v>
      </c>
      <c r="F730" s="225">
        <v>5</v>
      </c>
      <c r="G730" s="215" t="s">
        <v>65</v>
      </c>
      <c r="H730" s="57" t="s">
        <v>66</v>
      </c>
      <c r="I730" s="50">
        <f>I731+I732</f>
        <v>7221900.8600000003</v>
      </c>
      <c r="J730" s="50">
        <f>J731+J732</f>
        <v>2708.89</v>
      </c>
      <c r="K730" s="50">
        <f>K731+K732</f>
        <v>3878</v>
      </c>
    </row>
    <row r="731" spans="1:11" x14ac:dyDescent="0.25">
      <c r="A731" s="215">
        <v>75</v>
      </c>
      <c r="B731" s="215"/>
      <c r="C731" s="223"/>
      <c r="D731" s="224"/>
      <c r="E731" s="224"/>
      <c r="F731" s="225"/>
      <c r="G731" s="215"/>
      <c r="H731" s="57" t="s">
        <v>67</v>
      </c>
      <c r="I731" s="50">
        <v>7070590.2300000004</v>
      </c>
      <c r="J731" s="50">
        <f>I731/D730</f>
        <v>2652.13</v>
      </c>
      <c r="K731" s="50">
        <v>3797</v>
      </c>
    </row>
    <row r="732" spans="1:11" x14ac:dyDescent="0.25">
      <c r="A732" s="215"/>
      <c r="B732" s="215"/>
      <c r="C732" s="223"/>
      <c r="D732" s="224"/>
      <c r="E732" s="224"/>
      <c r="F732" s="225"/>
      <c r="G732" s="215"/>
      <c r="H732" s="57" t="s">
        <v>69</v>
      </c>
      <c r="I732" s="50">
        <v>151310.63</v>
      </c>
      <c r="J732" s="50">
        <f>I732/D730</f>
        <v>56.76</v>
      </c>
      <c r="K732" s="50">
        <v>81</v>
      </c>
    </row>
    <row r="733" spans="1:11" x14ac:dyDescent="0.25">
      <c r="A733" s="215">
        <f>A730+1</f>
        <v>88</v>
      </c>
      <c r="B733" s="215">
        <v>4244</v>
      </c>
      <c r="C733" s="223" t="s">
        <v>449</v>
      </c>
      <c r="D733" s="224">
        <v>9070.6299999999992</v>
      </c>
      <c r="E733" s="224" t="s">
        <v>64</v>
      </c>
      <c r="F733" s="225">
        <v>10</v>
      </c>
      <c r="G733" s="105"/>
      <c r="H733" s="57" t="s">
        <v>66</v>
      </c>
      <c r="I733" s="50">
        <f>I734+I735+I736+I737+I738+I739+I740+I741</f>
        <v>8370242.7699999996</v>
      </c>
      <c r="J733" s="50">
        <f>J734+J735+J736+J737+J738+J739+J740+J741</f>
        <v>922.79</v>
      </c>
      <c r="K733" s="50">
        <f>K734+K735+K736+K737+K738+K739+K740+K741</f>
        <v>1009.68</v>
      </c>
    </row>
    <row r="734" spans="1:11" x14ac:dyDescent="0.25">
      <c r="A734" s="215">
        <v>756</v>
      </c>
      <c r="B734" s="215"/>
      <c r="C734" s="223"/>
      <c r="D734" s="224"/>
      <c r="E734" s="224"/>
      <c r="F734" s="225"/>
      <c r="G734" s="216" t="s">
        <v>170</v>
      </c>
      <c r="H734" s="57" t="s">
        <v>171</v>
      </c>
      <c r="I734" s="50">
        <v>2066092.82</v>
      </c>
      <c r="J734" s="50">
        <f>I734/D733+0.01</f>
        <v>227.79</v>
      </c>
      <c r="K734" s="50">
        <f>2241647/D733</f>
        <v>247.13</v>
      </c>
    </row>
    <row r="735" spans="1:11" x14ac:dyDescent="0.25">
      <c r="A735" s="215">
        <v>757</v>
      </c>
      <c r="B735" s="215"/>
      <c r="C735" s="223"/>
      <c r="D735" s="224"/>
      <c r="E735" s="224"/>
      <c r="F735" s="225"/>
      <c r="G735" s="222"/>
      <c r="H735" s="57" t="s">
        <v>69</v>
      </c>
      <c r="I735" s="50">
        <v>32140.560000000001</v>
      </c>
      <c r="J735" s="50">
        <f>I735/D733</f>
        <v>3.54</v>
      </c>
      <c r="K735" s="50">
        <f>47971/D733</f>
        <v>5.29</v>
      </c>
    </row>
    <row r="736" spans="1:11" x14ac:dyDescent="0.25">
      <c r="A736" s="215"/>
      <c r="B736" s="215"/>
      <c r="C736" s="223"/>
      <c r="D736" s="224"/>
      <c r="E736" s="224"/>
      <c r="F736" s="225"/>
      <c r="G736" s="216" t="s">
        <v>173</v>
      </c>
      <c r="H736" s="57" t="s">
        <v>171</v>
      </c>
      <c r="I736" s="50">
        <v>2054747.44</v>
      </c>
      <c r="J736" s="50">
        <f>I736/D733</f>
        <v>226.53</v>
      </c>
      <c r="K736" s="50">
        <f>2241647/D733</f>
        <v>247.13</v>
      </c>
    </row>
    <row r="737" spans="1:11" x14ac:dyDescent="0.25">
      <c r="A737" s="215"/>
      <c r="B737" s="215"/>
      <c r="C737" s="223"/>
      <c r="D737" s="224"/>
      <c r="E737" s="224"/>
      <c r="F737" s="225"/>
      <c r="G737" s="222"/>
      <c r="H737" s="57" t="s">
        <v>69</v>
      </c>
      <c r="I737" s="50">
        <v>32140.560000000001</v>
      </c>
      <c r="J737" s="50">
        <f>I737/D733</f>
        <v>3.54</v>
      </c>
      <c r="K737" s="50">
        <f>47971/D733</f>
        <v>5.29</v>
      </c>
    </row>
    <row r="738" spans="1:11" x14ac:dyDescent="0.25">
      <c r="A738" s="215"/>
      <c r="B738" s="215"/>
      <c r="C738" s="223"/>
      <c r="D738" s="224"/>
      <c r="E738" s="224"/>
      <c r="F738" s="225"/>
      <c r="G738" s="216" t="s">
        <v>174</v>
      </c>
      <c r="H738" s="57" t="s">
        <v>171</v>
      </c>
      <c r="I738" s="50">
        <v>2054747.44</v>
      </c>
      <c r="J738" s="50">
        <f>I738/D733</f>
        <v>226.53</v>
      </c>
      <c r="K738" s="50">
        <f>2241647/D733</f>
        <v>247.13</v>
      </c>
    </row>
    <row r="739" spans="1:11" x14ac:dyDescent="0.25">
      <c r="A739" s="215"/>
      <c r="B739" s="215"/>
      <c r="C739" s="223"/>
      <c r="D739" s="224"/>
      <c r="E739" s="224"/>
      <c r="F739" s="225"/>
      <c r="G739" s="222"/>
      <c r="H739" s="57" t="s">
        <v>69</v>
      </c>
      <c r="I739" s="50">
        <v>32140.560000000001</v>
      </c>
      <c r="J739" s="50">
        <f>I739/D733</f>
        <v>3.54</v>
      </c>
      <c r="K739" s="50">
        <f>47971/D733</f>
        <v>5.29</v>
      </c>
    </row>
    <row r="740" spans="1:11" x14ac:dyDescent="0.25">
      <c r="A740" s="215"/>
      <c r="B740" s="215"/>
      <c r="C740" s="223"/>
      <c r="D740" s="224"/>
      <c r="E740" s="224"/>
      <c r="F740" s="225"/>
      <c r="G740" s="216" t="s">
        <v>175</v>
      </c>
      <c r="H740" s="57" t="s">
        <v>171</v>
      </c>
      <c r="I740" s="50">
        <v>2066092.82</v>
      </c>
      <c r="J740" s="50">
        <f>I740/D733</f>
        <v>227.78</v>
      </c>
      <c r="K740" s="50">
        <f>2241647/D733</f>
        <v>247.13</v>
      </c>
    </row>
    <row r="741" spans="1:11" x14ac:dyDescent="0.25">
      <c r="A741" s="215"/>
      <c r="B741" s="215"/>
      <c r="C741" s="223"/>
      <c r="D741" s="224"/>
      <c r="E741" s="224"/>
      <c r="F741" s="225"/>
      <c r="G741" s="222"/>
      <c r="H741" s="57" t="s">
        <v>69</v>
      </c>
      <c r="I741" s="50">
        <v>32140.57</v>
      </c>
      <c r="J741" s="50">
        <f>I741/D733</f>
        <v>3.54</v>
      </c>
      <c r="K741" s="50">
        <f>47971/D733</f>
        <v>5.29</v>
      </c>
    </row>
    <row r="742" spans="1:11" ht="15.75" customHeight="1" x14ac:dyDescent="0.25">
      <c r="A742" s="216">
        <f>A733+1</f>
        <v>89</v>
      </c>
      <c r="B742" s="216">
        <v>3172</v>
      </c>
      <c r="C742" s="218" t="s">
        <v>612</v>
      </c>
      <c r="D742" s="220">
        <v>9843.1</v>
      </c>
      <c r="E742" s="216" t="s">
        <v>68</v>
      </c>
      <c r="F742" s="216">
        <v>10</v>
      </c>
      <c r="G742" s="105"/>
      <c r="H742" s="57" t="s">
        <v>66</v>
      </c>
      <c r="I742" s="50">
        <f>I743+I744</f>
        <v>64562</v>
      </c>
      <c r="J742" s="50">
        <f t="shared" ref="J742:K742" si="23">J743+J744</f>
        <v>6.56</v>
      </c>
      <c r="K742" s="50">
        <f t="shared" si="23"/>
        <v>6.56</v>
      </c>
    </row>
    <row r="743" spans="1:11" ht="47.25" customHeight="1" x14ac:dyDescent="0.25">
      <c r="A743" s="217"/>
      <c r="B743" s="217"/>
      <c r="C743" s="219"/>
      <c r="D743" s="221"/>
      <c r="E743" s="217"/>
      <c r="F743" s="217"/>
      <c r="G743" s="102" t="s">
        <v>170</v>
      </c>
      <c r="H743" s="57" t="s">
        <v>168</v>
      </c>
      <c r="I743" s="50">
        <f>22681+9600</f>
        <v>32281</v>
      </c>
      <c r="J743" s="50">
        <f>I743/D742</f>
        <v>3.28</v>
      </c>
      <c r="K743" s="50">
        <f>32281/D742</f>
        <v>3.28</v>
      </c>
    </row>
    <row r="744" spans="1:11" ht="47.25" customHeight="1" x14ac:dyDescent="0.25">
      <c r="A744" s="217"/>
      <c r="B744" s="217"/>
      <c r="C744" s="219"/>
      <c r="D744" s="221"/>
      <c r="E744" s="217"/>
      <c r="F744" s="217"/>
      <c r="G744" s="102" t="s">
        <v>173</v>
      </c>
      <c r="H744" s="57" t="s">
        <v>168</v>
      </c>
      <c r="I744" s="50">
        <f>22681+9600</f>
        <v>32281</v>
      </c>
      <c r="J744" s="50">
        <f>I744/D742</f>
        <v>3.28</v>
      </c>
      <c r="K744" s="50">
        <f>32281/D742</f>
        <v>3.28</v>
      </c>
    </row>
    <row r="745" spans="1:11" x14ac:dyDescent="0.25">
      <c r="A745" s="216">
        <f>A742+1</f>
        <v>90</v>
      </c>
      <c r="B745" s="216">
        <v>3433</v>
      </c>
      <c r="C745" s="218" t="s">
        <v>365</v>
      </c>
      <c r="D745" s="220">
        <v>3939</v>
      </c>
      <c r="E745" s="220" t="s">
        <v>64</v>
      </c>
      <c r="F745" s="228">
        <v>5</v>
      </c>
      <c r="G745" s="108"/>
      <c r="H745" s="57" t="s">
        <v>66</v>
      </c>
      <c r="I745" s="50">
        <f>I746+I747+I748+I749</f>
        <v>513445.23</v>
      </c>
      <c r="J745" s="50">
        <f>J746+J747+J748+J749</f>
        <v>130.35</v>
      </c>
      <c r="K745" s="50">
        <f>K746+K747+K748+K749</f>
        <v>188</v>
      </c>
    </row>
    <row r="746" spans="1:11" ht="63" x14ac:dyDescent="0.25">
      <c r="A746" s="217"/>
      <c r="B746" s="217"/>
      <c r="C746" s="219"/>
      <c r="D746" s="217"/>
      <c r="E746" s="221"/>
      <c r="F746" s="229"/>
      <c r="G746" s="102" t="s">
        <v>77</v>
      </c>
      <c r="H746" s="57" t="s">
        <v>168</v>
      </c>
      <c r="I746" s="50">
        <v>110574</v>
      </c>
      <c r="J746" s="50">
        <f>I746/D745</f>
        <v>28.07</v>
      </c>
      <c r="K746" s="50">
        <f>26+6</f>
        <v>32</v>
      </c>
    </row>
    <row r="747" spans="1:11" ht="63" x14ac:dyDescent="0.25">
      <c r="A747" s="217"/>
      <c r="B747" s="217"/>
      <c r="C747" s="219"/>
      <c r="D747" s="217"/>
      <c r="E747" s="221"/>
      <c r="F747" s="229"/>
      <c r="G747" s="102" t="s">
        <v>70</v>
      </c>
      <c r="H747" s="57" t="s">
        <v>168</v>
      </c>
      <c r="I747" s="50">
        <v>272587.53999999998</v>
      </c>
      <c r="J747" s="50">
        <f>I747/D745+0.01</f>
        <v>69.209999999999994</v>
      </c>
      <c r="K747" s="50">
        <f>92+6</f>
        <v>98</v>
      </c>
    </row>
    <row r="748" spans="1:11" ht="63" x14ac:dyDescent="0.25">
      <c r="A748" s="217"/>
      <c r="B748" s="217"/>
      <c r="C748" s="219"/>
      <c r="D748" s="217"/>
      <c r="E748" s="221"/>
      <c r="F748" s="229"/>
      <c r="G748" s="102" t="s">
        <v>71</v>
      </c>
      <c r="H748" s="57" t="s">
        <v>168</v>
      </c>
      <c r="I748" s="50">
        <v>68463.350000000006</v>
      </c>
      <c r="J748" s="50">
        <f>I748/D745</f>
        <v>17.38</v>
      </c>
      <c r="K748" s="50">
        <f>21+8</f>
        <v>29</v>
      </c>
    </row>
    <row r="749" spans="1:11" ht="63" x14ac:dyDescent="0.25">
      <c r="A749" s="217"/>
      <c r="B749" s="217"/>
      <c r="C749" s="219"/>
      <c r="D749" s="217"/>
      <c r="E749" s="221"/>
      <c r="F749" s="229"/>
      <c r="G749" s="102" t="s">
        <v>72</v>
      </c>
      <c r="H749" s="57" t="s">
        <v>168</v>
      </c>
      <c r="I749" s="50">
        <v>61820.34</v>
      </c>
      <c r="J749" s="50">
        <f>I749/D745</f>
        <v>15.69</v>
      </c>
      <c r="K749" s="50">
        <f>22+7</f>
        <v>29</v>
      </c>
    </row>
    <row r="750" spans="1:11" x14ac:dyDescent="0.25">
      <c r="A750" s="215">
        <f>A745+1</f>
        <v>91</v>
      </c>
      <c r="B750" s="215">
        <v>3173</v>
      </c>
      <c r="C750" s="223" t="s">
        <v>149</v>
      </c>
      <c r="D750" s="224">
        <v>2633.8</v>
      </c>
      <c r="E750" s="224" t="s">
        <v>64</v>
      </c>
      <c r="F750" s="225">
        <v>5</v>
      </c>
      <c r="G750" s="215" t="s">
        <v>65</v>
      </c>
      <c r="H750" s="57" t="s">
        <v>66</v>
      </c>
      <c r="I750" s="50">
        <f>I751+I752</f>
        <v>6454686.9900000002</v>
      </c>
      <c r="J750" s="50">
        <f>J751+J752</f>
        <v>2450.71</v>
      </c>
      <c r="K750" s="50">
        <f>K751+K752</f>
        <v>3878</v>
      </c>
    </row>
    <row r="751" spans="1:11" x14ac:dyDescent="0.25">
      <c r="A751" s="215">
        <v>75</v>
      </c>
      <c r="B751" s="215"/>
      <c r="C751" s="223"/>
      <c r="D751" s="224"/>
      <c r="E751" s="224"/>
      <c r="F751" s="225"/>
      <c r="G751" s="215"/>
      <c r="H751" s="57" t="s">
        <v>67</v>
      </c>
      <c r="I751" s="50">
        <v>6319450.7400000002</v>
      </c>
      <c r="J751" s="50">
        <f>I751/D750-0.01</f>
        <v>2399.36</v>
      </c>
      <c r="K751" s="50">
        <v>3797</v>
      </c>
    </row>
    <row r="752" spans="1:11" x14ac:dyDescent="0.25">
      <c r="A752" s="215"/>
      <c r="B752" s="215"/>
      <c r="C752" s="223"/>
      <c r="D752" s="224"/>
      <c r="E752" s="224"/>
      <c r="F752" s="225"/>
      <c r="G752" s="215"/>
      <c r="H752" s="57" t="s">
        <v>69</v>
      </c>
      <c r="I752" s="50">
        <v>135236.25</v>
      </c>
      <c r="J752" s="50">
        <f>I752/D750</f>
        <v>51.35</v>
      </c>
      <c r="K752" s="50">
        <v>81</v>
      </c>
    </row>
    <row r="753" spans="1:11" x14ac:dyDescent="0.25">
      <c r="A753" s="215">
        <f>A750+1</f>
        <v>92</v>
      </c>
      <c r="B753" s="215">
        <v>4250</v>
      </c>
      <c r="C753" s="223" t="s">
        <v>556</v>
      </c>
      <c r="D753" s="224">
        <v>5742.5</v>
      </c>
      <c r="E753" s="224" t="s">
        <v>64</v>
      </c>
      <c r="F753" s="225">
        <v>5</v>
      </c>
      <c r="G753" s="215" t="s">
        <v>74</v>
      </c>
      <c r="H753" s="57" t="s">
        <v>66</v>
      </c>
      <c r="I753" s="50">
        <f>I754</f>
        <v>137820</v>
      </c>
      <c r="J753" s="50">
        <f>J754</f>
        <v>24</v>
      </c>
      <c r="K753" s="50">
        <f>K754</f>
        <v>24</v>
      </c>
    </row>
    <row r="754" spans="1:11" ht="63" x14ac:dyDescent="0.25">
      <c r="A754" s="215"/>
      <c r="B754" s="215"/>
      <c r="C754" s="223"/>
      <c r="D754" s="224"/>
      <c r="E754" s="224"/>
      <c r="F754" s="225"/>
      <c r="G754" s="215"/>
      <c r="H754" s="57" t="s">
        <v>168</v>
      </c>
      <c r="I754" s="50">
        <f>D753*K754</f>
        <v>137820</v>
      </c>
      <c r="J754" s="50">
        <f>I754/D753</f>
        <v>24</v>
      </c>
      <c r="K754" s="50">
        <f>22+2</f>
        <v>24</v>
      </c>
    </row>
    <row r="755" spans="1:11" ht="15.75" customHeight="1" x14ac:dyDescent="0.25">
      <c r="A755" s="216">
        <f>A753+1</f>
        <v>93</v>
      </c>
      <c r="B755" s="216">
        <v>3141</v>
      </c>
      <c r="C755" s="218" t="s">
        <v>212</v>
      </c>
      <c r="D755" s="220">
        <v>8978.6</v>
      </c>
      <c r="E755" s="216" t="s">
        <v>64</v>
      </c>
      <c r="F755" s="216">
        <v>10</v>
      </c>
      <c r="G755" s="105"/>
      <c r="H755" s="57" t="s">
        <v>66</v>
      </c>
      <c r="I755" s="50">
        <f>I756+I757</f>
        <v>64562</v>
      </c>
      <c r="J755" s="50">
        <f>J756+J757</f>
        <v>7.19</v>
      </c>
      <c r="K755" s="50">
        <f>K756+K757</f>
        <v>7.19</v>
      </c>
    </row>
    <row r="756" spans="1:11" ht="47.25" customHeight="1" x14ac:dyDescent="0.25">
      <c r="A756" s="217"/>
      <c r="B756" s="217"/>
      <c r="C756" s="219"/>
      <c r="D756" s="221"/>
      <c r="E756" s="217"/>
      <c r="F756" s="217"/>
      <c r="G756" s="102" t="s">
        <v>170</v>
      </c>
      <c r="H756" s="57" t="s">
        <v>168</v>
      </c>
      <c r="I756" s="50">
        <f>22681+9600</f>
        <v>32281</v>
      </c>
      <c r="J756" s="50">
        <f>I756/D755-0.01</f>
        <v>3.59</v>
      </c>
      <c r="K756" s="50">
        <f>32281/D755-0.01</f>
        <v>3.59</v>
      </c>
    </row>
    <row r="757" spans="1:11" ht="47.25" customHeight="1" x14ac:dyDescent="0.25">
      <c r="A757" s="217"/>
      <c r="B757" s="217"/>
      <c r="C757" s="219"/>
      <c r="D757" s="221"/>
      <c r="E757" s="217"/>
      <c r="F757" s="217"/>
      <c r="G757" s="102" t="s">
        <v>173</v>
      </c>
      <c r="H757" s="57" t="s">
        <v>168</v>
      </c>
      <c r="I757" s="50">
        <f>22681+9600</f>
        <v>32281</v>
      </c>
      <c r="J757" s="50">
        <f>I757/D755</f>
        <v>3.6</v>
      </c>
      <c r="K757" s="50">
        <f>32281/D755</f>
        <v>3.6</v>
      </c>
    </row>
    <row r="758" spans="1:11" ht="15.75" customHeight="1" x14ac:dyDescent="0.25">
      <c r="A758" s="216">
        <f>A755+1</f>
        <v>94</v>
      </c>
      <c r="B758" s="216">
        <v>4122</v>
      </c>
      <c r="C758" s="218" t="s">
        <v>613</v>
      </c>
      <c r="D758" s="220">
        <v>3489.9</v>
      </c>
      <c r="E758" s="216" t="s">
        <v>64</v>
      </c>
      <c r="F758" s="216">
        <v>10</v>
      </c>
      <c r="G758" s="105"/>
      <c r="H758" s="57" t="s">
        <v>66</v>
      </c>
      <c r="I758" s="50">
        <f>I759+I760</f>
        <v>64562</v>
      </c>
      <c r="J758" s="50">
        <f t="shared" ref="J758:K758" si="24">J759+J760</f>
        <v>18.5</v>
      </c>
      <c r="K758" s="50">
        <f t="shared" si="24"/>
        <v>18.5</v>
      </c>
    </row>
    <row r="759" spans="1:11" ht="47.25" customHeight="1" x14ac:dyDescent="0.25">
      <c r="A759" s="217"/>
      <c r="B759" s="217"/>
      <c r="C759" s="219"/>
      <c r="D759" s="221"/>
      <c r="E759" s="217"/>
      <c r="F759" s="217"/>
      <c r="G759" s="102" t="s">
        <v>170</v>
      </c>
      <c r="H759" s="57" t="s">
        <v>168</v>
      </c>
      <c r="I759" s="50">
        <f>22681+9600</f>
        <v>32281</v>
      </c>
      <c r="J759" s="50">
        <f>I759/D758</f>
        <v>9.25</v>
      </c>
      <c r="K759" s="50">
        <f>32281/D758</f>
        <v>9.25</v>
      </c>
    </row>
    <row r="760" spans="1:11" ht="47.25" customHeight="1" x14ac:dyDescent="0.25">
      <c r="A760" s="217"/>
      <c r="B760" s="217"/>
      <c r="C760" s="219"/>
      <c r="D760" s="221"/>
      <c r="E760" s="217"/>
      <c r="F760" s="217"/>
      <c r="G760" s="102" t="s">
        <v>173</v>
      </c>
      <c r="H760" s="57" t="s">
        <v>168</v>
      </c>
      <c r="I760" s="50">
        <f>22681+9600</f>
        <v>32281</v>
      </c>
      <c r="J760" s="50">
        <f>I760/D758</f>
        <v>9.25</v>
      </c>
      <c r="K760" s="50">
        <f>32281/D758</f>
        <v>9.25</v>
      </c>
    </row>
    <row r="761" spans="1:11" x14ac:dyDescent="0.25">
      <c r="A761" s="215">
        <f>A758+1</f>
        <v>95</v>
      </c>
      <c r="B761" s="215">
        <v>3378</v>
      </c>
      <c r="C761" s="223" t="s">
        <v>150</v>
      </c>
      <c r="D761" s="224">
        <v>3969.6</v>
      </c>
      <c r="E761" s="224" t="s">
        <v>68</v>
      </c>
      <c r="F761" s="225">
        <v>5</v>
      </c>
      <c r="G761" s="215" t="s">
        <v>65</v>
      </c>
      <c r="H761" s="57" t="s">
        <v>66</v>
      </c>
      <c r="I761" s="50">
        <f>I762+I763</f>
        <v>6240218.6799999997</v>
      </c>
      <c r="J761" s="50">
        <f>J762+J763</f>
        <v>1572</v>
      </c>
      <c r="K761" s="50">
        <f>K762+K763</f>
        <v>3878</v>
      </c>
    </row>
    <row r="762" spans="1:11" x14ac:dyDescent="0.25">
      <c r="A762" s="215">
        <v>75</v>
      </c>
      <c r="B762" s="215"/>
      <c r="C762" s="223"/>
      <c r="D762" s="224"/>
      <c r="E762" s="224"/>
      <c r="F762" s="225"/>
      <c r="G762" s="215"/>
      <c r="H762" s="57" t="s">
        <v>67</v>
      </c>
      <c r="I762" s="50">
        <v>6109475.9000000004</v>
      </c>
      <c r="J762" s="50">
        <f>I762/D761-0.01</f>
        <v>1539.06</v>
      </c>
      <c r="K762" s="50">
        <v>3797</v>
      </c>
    </row>
    <row r="763" spans="1:11" x14ac:dyDescent="0.25">
      <c r="A763" s="215"/>
      <c r="B763" s="215"/>
      <c r="C763" s="223"/>
      <c r="D763" s="224"/>
      <c r="E763" s="224"/>
      <c r="F763" s="225"/>
      <c r="G763" s="215"/>
      <c r="H763" s="57" t="s">
        <v>69</v>
      </c>
      <c r="I763" s="50">
        <v>130742.78</v>
      </c>
      <c r="J763" s="50">
        <f>I763/D761</f>
        <v>32.94</v>
      </c>
      <c r="K763" s="50">
        <v>81</v>
      </c>
    </row>
    <row r="764" spans="1:11" x14ac:dyDescent="0.25">
      <c r="A764" s="215">
        <f>A761+1</f>
        <v>96</v>
      </c>
      <c r="B764" s="215">
        <v>3381</v>
      </c>
      <c r="C764" s="223" t="s">
        <v>151</v>
      </c>
      <c r="D764" s="224">
        <v>1492.8</v>
      </c>
      <c r="E764" s="224" t="s">
        <v>68</v>
      </c>
      <c r="F764" s="225">
        <v>5</v>
      </c>
      <c r="G764" s="215" t="s">
        <v>65</v>
      </c>
      <c r="H764" s="57" t="s">
        <v>66</v>
      </c>
      <c r="I764" s="50">
        <f>I765+I766</f>
        <v>4572495.8499999996</v>
      </c>
      <c r="J764" s="50">
        <f>J765+J766</f>
        <v>3063.03</v>
      </c>
      <c r="K764" s="50">
        <f>K765+K766</f>
        <v>3878</v>
      </c>
    </row>
    <row r="765" spans="1:11" x14ac:dyDescent="0.25">
      <c r="A765" s="215">
        <v>75</v>
      </c>
      <c r="B765" s="215"/>
      <c r="C765" s="223"/>
      <c r="D765" s="224"/>
      <c r="E765" s="224"/>
      <c r="F765" s="225"/>
      <c r="G765" s="215"/>
      <c r="H765" s="57" t="s">
        <v>67</v>
      </c>
      <c r="I765" s="50">
        <v>4476694.59</v>
      </c>
      <c r="J765" s="50">
        <f>I765/D764-0.01</f>
        <v>2998.85</v>
      </c>
      <c r="K765" s="50">
        <v>3797</v>
      </c>
    </row>
    <row r="766" spans="1:11" x14ac:dyDescent="0.25">
      <c r="A766" s="215"/>
      <c r="B766" s="215"/>
      <c r="C766" s="223"/>
      <c r="D766" s="224"/>
      <c r="E766" s="224"/>
      <c r="F766" s="225"/>
      <c r="G766" s="215"/>
      <c r="H766" s="57" t="s">
        <v>69</v>
      </c>
      <c r="I766" s="50">
        <v>95801.26</v>
      </c>
      <c r="J766" s="50">
        <f>I766/D764</f>
        <v>64.180000000000007</v>
      </c>
      <c r="K766" s="50">
        <v>81</v>
      </c>
    </row>
    <row r="767" spans="1:11" ht="15.75" customHeight="1" x14ac:dyDescent="0.25">
      <c r="A767" s="215">
        <f>A764+1</f>
        <v>97</v>
      </c>
      <c r="B767" s="215">
        <v>3398</v>
      </c>
      <c r="C767" s="223" t="s">
        <v>152</v>
      </c>
      <c r="D767" s="224">
        <v>2693</v>
      </c>
      <c r="E767" s="224" t="s">
        <v>68</v>
      </c>
      <c r="F767" s="225">
        <v>5</v>
      </c>
      <c r="G767" s="215" t="s">
        <v>65</v>
      </c>
      <c r="H767" s="57" t="s">
        <v>66</v>
      </c>
      <c r="I767" s="50">
        <f>I768+I769</f>
        <v>8989079.2100000009</v>
      </c>
      <c r="J767" s="50">
        <f>J768+J769</f>
        <v>3337.94</v>
      </c>
      <c r="K767" s="50">
        <f>K768+K769</f>
        <v>4448</v>
      </c>
    </row>
    <row r="768" spans="1:11" ht="15.75" customHeight="1" x14ac:dyDescent="0.25">
      <c r="A768" s="215">
        <v>78</v>
      </c>
      <c r="B768" s="215"/>
      <c r="C768" s="223"/>
      <c r="D768" s="215"/>
      <c r="E768" s="224"/>
      <c r="F768" s="225"/>
      <c r="G768" s="215"/>
      <c r="H768" s="57" t="s">
        <v>67</v>
      </c>
      <c r="I768" s="50">
        <v>8800743.3000000007</v>
      </c>
      <c r="J768" s="50">
        <f>I768/D767-0.01</f>
        <v>3268</v>
      </c>
      <c r="K768" s="50">
        <v>4355</v>
      </c>
    </row>
    <row r="769" spans="1:11" ht="15.75" customHeight="1" x14ac:dyDescent="0.25">
      <c r="A769" s="215"/>
      <c r="B769" s="215"/>
      <c r="C769" s="223"/>
      <c r="D769" s="215"/>
      <c r="E769" s="224"/>
      <c r="F769" s="225"/>
      <c r="G769" s="215"/>
      <c r="H769" s="57" t="s">
        <v>69</v>
      </c>
      <c r="I769" s="50">
        <f>I768*0.0214</f>
        <v>188335.91</v>
      </c>
      <c r="J769" s="50">
        <f>I769/D767</f>
        <v>69.94</v>
      </c>
      <c r="K769" s="50">
        <v>93</v>
      </c>
    </row>
    <row r="770" spans="1:11" ht="15.75" customHeight="1" x14ac:dyDescent="0.25">
      <c r="A770" s="215">
        <f>A767+1</f>
        <v>98</v>
      </c>
      <c r="B770" s="215">
        <v>3403</v>
      </c>
      <c r="C770" s="223" t="s">
        <v>614</v>
      </c>
      <c r="D770" s="224">
        <v>812.03</v>
      </c>
      <c r="E770" s="224" t="s">
        <v>68</v>
      </c>
      <c r="F770" s="225">
        <v>3</v>
      </c>
      <c r="G770" s="215" t="s">
        <v>74</v>
      </c>
      <c r="H770" s="57" t="s">
        <v>66</v>
      </c>
      <c r="I770" s="50">
        <f>I771</f>
        <v>59278.19</v>
      </c>
      <c r="J770" s="50">
        <f>J771</f>
        <v>73</v>
      </c>
      <c r="K770" s="50">
        <f>K771</f>
        <v>73</v>
      </c>
    </row>
    <row r="771" spans="1:11" ht="47.25" customHeight="1" x14ac:dyDescent="0.25">
      <c r="A771" s="215"/>
      <c r="B771" s="215"/>
      <c r="C771" s="223"/>
      <c r="D771" s="224"/>
      <c r="E771" s="224"/>
      <c r="F771" s="225"/>
      <c r="G771" s="215"/>
      <c r="H771" s="57" t="s">
        <v>168</v>
      </c>
      <c r="I771" s="50">
        <f>D770*K771</f>
        <v>59278.19</v>
      </c>
      <c r="J771" s="50">
        <f>I771/D770</f>
        <v>73</v>
      </c>
      <c r="K771" s="50">
        <f>60+13</f>
        <v>73</v>
      </c>
    </row>
    <row r="772" spans="1:11" ht="15.75" customHeight="1" x14ac:dyDescent="0.25">
      <c r="A772" s="215">
        <f>A770+1</f>
        <v>99</v>
      </c>
      <c r="B772" s="215">
        <v>3404</v>
      </c>
      <c r="C772" s="223" t="s">
        <v>615</v>
      </c>
      <c r="D772" s="224">
        <v>1165.78</v>
      </c>
      <c r="E772" s="224" t="s">
        <v>73</v>
      </c>
      <c r="F772" s="225">
        <v>3</v>
      </c>
      <c r="G772" s="215" t="s">
        <v>74</v>
      </c>
      <c r="H772" s="57" t="s">
        <v>66</v>
      </c>
      <c r="I772" s="50">
        <f>I773</f>
        <v>54791.66</v>
      </c>
      <c r="J772" s="50">
        <f>J773</f>
        <v>47</v>
      </c>
      <c r="K772" s="50">
        <f>K773</f>
        <v>47</v>
      </c>
    </row>
    <row r="773" spans="1:11" ht="47.25" customHeight="1" x14ac:dyDescent="0.25">
      <c r="A773" s="215"/>
      <c r="B773" s="215"/>
      <c r="C773" s="223"/>
      <c r="D773" s="224"/>
      <c r="E773" s="224"/>
      <c r="F773" s="225"/>
      <c r="G773" s="215"/>
      <c r="H773" s="57" t="s">
        <v>168</v>
      </c>
      <c r="I773" s="50">
        <f>D772*K773</f>
        <v>54791.66</v>
      </c>
      <c r="J773" s="50">
        <f>I773/D772</f>
        <v>47</v>
      </c>
      <c r="K773" s="50">
        <f>34+13</f>
        <v>47</v>
      </c>
    </row>
    <row r="774" spans="1:11" ht="15.75" customHeight="1" x14ac:dyDescent="0.25">
      <c r="A774" s="216">
        <f>A772+1</f>
        <v>100</v>
      </c>
      <c r="B774" s="216">
        <v>3406</v>
      </c>
      <c r="C774" s="212" t="s">
        <v>547</v>
      </c>
      <c r="D774" s="220">
        <v>1229.96</v>
      </c>
      <c r="E774" s="259" t="s">
        <v>73</v>
      </c>
      <c r="F774" s="259">
        <v>3</v>
      </c>
      <c r="G774" s="108"/>
      <c r="H774" s="57" t="s">
        <v>66</v>
      </c>
      <c r="I774" s="50">
        <f>I775+I776+I777+I778+I779+I780+I781+I782</f>
        <v>7706906.7999999998</v>
      </c>
      <c r="J774" s="50">
        <f>J775+J776+J777+J778+J779+J780+J781+J782</f>
        <v>6265.98</v>
      </c>
      <c r="K774" s="50">
        <f>K775+K776+K777+K778+K779+K780+K781+K782</f>
        <v>17763</v>
      </c>
    </row>
    <row r="775" spans="1:11" x14ac:dyDescent="0.25">
      <c r="A775" s="217"/>
      <c r="B775" s="217"/>
      <c r="C775" s="213"/>
      <c r="D775" s="221"/>
      <c r="E775" s="260"/>
      <c r="F775" s="260"/>
      <c r="G775" s="216" t="s">
        <v>65</v>
      </c>
      <c r="H775" s="57" t="s">
        <v>67</v>
      </c>
      <c r="I775" s="50">
        <v>2623214.83</v>
      </c>
      <c r="J775" s="50">
        <f>I775/D774+0.01</f>
        <v>2132.77</v>
      </c>
      <c r="K775" s="50">
        <v>5036</v>
      </c>
    </row>
    <row r="776" spans="1:11" x14ac:dyDescent="0.25">
      <c r="A776" s="217"/>
      <c r="B776" s="217"/>
      <c r="C776" s="213"/>
      <c r="D776" s="221"/>
      <c r="E776" s="260"/>
      <c r="F776" s="260"/>
      <c r="G776" s="222"/>
      <c r="H776" s="57" t="s">
        <v>69</v>
      </c>
      <c r="I776" s="50">
        <v>81204.83</v>
      </c>
      <c r="J776" s="50">
        <f>I776/D774</f>
        <v>66.02</v>
      </c>
      <c r="K776" s="50">
        <v>108</v>
      </c>
    </row>
    <row r="777" spans="1:11" x14ac:dyDescent="0.25">
      <c r="A777" s="217"/>
      <c r="B777" s="217"/>
      <c r="C777" s="213"/>
      <c r="D777" s="221"/>
      <c r="E777" s="260"/>
      <c r="F777" s="260"/>
      <c r="G777" s="216" t="s">
        <v>75</v>
      </c>
      <c r="H777" s="57" t="s">
        <v>67</v>
      </c>
      <c r="I777" s="50">
        <v>1252372.95</v>
      </c>
      <c r="J777" s="50">
        <f>I777/D774</f>
        <v>1018.22</v>
      </c>
      <c r="K777" s="50">
        <v>2361</v>
      </c>
    </row>
    <row r="778" spans="1:11" x14ac:dyDescent="0.25">
      <c r="A778" s="217"/>
      <c r="B778" s="217"/>
      <c r="C778" s="213"/>
      <c r="D778" s="221"/>
      <c r="E778" s="260"/>
      <c r="F778" s="260"/>
      <c r="G778" s="217"/>
      <c r="H778" s="57" t="s">
        <v>69</v>
      </c>
      <c r="I778" s="50">
        <v>39422.6</v>
      </c>
      <c r="J778" s="50">
        <f>I778/D774</f>
        <v>32.049999999999997</v>
      </c>
      <c r="K778" s="50">
        <v>51</v>
      </c>
    </row>
    <row r="779" spans="1:11" x14ac:dyDescent="0.25">
      <c r="A779" s="217"/>
      <c r="B779" s="217"/>
      <c r="C779" s="213"/>
      <c r="D779" s="221"/>
      <c r="E779" s="260"/>
      <c r="F779" s="260"/>
      <c r="G779" s="217"/>
      <c r="H779" s="57" t="s">
        <v>179</v>
      </c>
      <c r="I779" s="50">
        <v>3433893.38</v>
      </c>
      <c r="J779" s="50">
        <f>I779/D774+0.01</f>
        <v>2791.88</v>
      </c>
      <c r="K779" s="50">
        <v>5738</v>
      </c>
    </row>
    <row r="780" spans="1:11" x14ac:dyDescent="0.25">
      <c r="A780" s="217"/>
      <c r="B780" s="217"/>
      <c r="C780" s="213"/>
      <c r="D780" s="221"/>
      <c r="E780" s="260"/>
      <c r="F780" s="260"/>
      <c r="G780" s="222"/>
      <c r="H780" s="57" t="s">
        <v>69</v>
      </c>
      <c r="I780" s="50">
        <v>99999</v>
      </c>
      <c r="J780" s="50">
        <f>I780/D774</f>
        <v>81.3</v>
      </c>
      <c r="K780" s="50">
        <v>123</v>
      </c>
    </row>
    <row r="781" spans="1:11" x14ac:dyDescent="0.25">
      <c r="A781" s="217"/>
      <c r="B781" s="217"/>
      <c r="C781" s="213"/>
      <c r="D781" s="221"/>
      <c r="E781" s="260"/>
      <c r="F781" s="260"/>
      <c r="G781" s="216" t="s">
        <v>79</v>
      </c>
      <c r="H781" s="57" t="s">
        <v>67</v>
      </c>
      <c r="I781" s="50">
        <v>153170.96</v>
      </c>
      <c r="J781" s="50">
        <f>I781/D774</f>
        <v>124.53</v>
      </c>
      <c r="K781" s="50">
        <v>4255</v>
      </c>
    </row>
    <row r="782" spans="1:11" x14ac:dyDescent="0.25">
      <c r="A782" s="222"/>
      <c r="B782" s="222"/>
      <c r="C782" s="214"/>
      <c r="D782" s="227"/>
      <c r="E782" s="261"/>
      <c r="F782" s="261"/>
      <c r="G782" s="222"/>
      <c r="H782" s="57" t="s">
        <v>69</v>
      </c>
      <c r="I782" s="50">
        <v>23628.25</v>
      </c>
      <c r="J782" s="50">
        <f>I782/D774</f>
        <v>19.21</v>
      </c>
      <c r="K782" s="50">
        <v>91</v>
      </c>
    </row>
    <row r="783" spans="1:11" ht="15.75" customHeight="1" x14ac:dyDescent="0.25">
      <c r="A783" s="215">
        <f>A774+1</f>
        <v>101</v>
      </c>
      <c r="B783" s="215">
        <v>3409</v>
      </c>
      <c r="C783" s="223" t="s">
        <v>616</v>
      </c>
      <c r="D783" s="224">
        <v>1702.64</v>
      </c>
      <c r="E783" s="224" t="s">
        <v>68</v>
      </c>
      <c r="F783" s="225">
        <v>4</v>
      </c>
      <c r="G783" s="215" t="s">
        <v>74</v>
      </c>
      <c r="H783" s="57" t="s">
        <v>66</v>
      </c>
      <c r="I783" s="50">
        <f>I784</f>
        <v>80024.08</v>
      </c>
      <c r="J783" s="50">
        <f>J784</f>
        <v>47</v>
      </c>
      <c r="K783" s="50">
        <f>K784</f>
        <v>47</v>
      </c>
    </row>
    <row r="784" spans="1:11" ht="47.25" customHeight="1" x14ac:dyDescent="0.25">
      <c r="A784" s="215"/>
      <c r="B784" s="215"/>
      <c r="C784" s="223"/>
      <c r="D784" s="224"/>
      <c r="E784" s="224"/>
      <c r="F784" s="225"/>
      <c r="G784" s="215"/>
      <c r="H784" s="57" t="s">
        <v>168</v>
      </c>
      <c r="I784" s="50">
        <f>D783*K784</f>
        <v>80024.08</v>
      </c>
      <c r="J784" s="50">
        <f>I784/D783</f>
        <v>47</v>
      </c>
      <c r="K784" s="50">
        <f>34+13</f>
        <v>47</v>
      </c>
    </row>
    <row r="785" spans="1:11" ht="15.75" customHeight="1" x14ac:dyDescent="0.25">
      <c r="A785" s="215">
        <f>A783+1</f>
        <v>102</v>
      </c>
      <c r="B785" s="215">
        <v>3411</v>
      </c>
      <c r="C785" s="223" t="s">
        <v>617</v>
      </c>
      <c r="D785" s="224">
        <v>1642.49</v>
      </c>
      <c r="E785" s="224" t="s">
        <v>68</v>
      </c>
      <c r="F785" s="225">
        <v>4</v>
      </c>
      <c r="G785" s="215" t="s">
        <v>74</v>
      </c>
      <c r="H785" s="57" t="s">
        <v>66</v>
      </c>
      <c r="I785" s="50">
        <f>I786</f>
        <v>77197.03</v>
      </c>
      <c r="J785" s="50">
        <f>J786</f>
        <v>47</v>
      </c>
      <c r="K785" s="50">
        <f>K786</f>
        <v>47</v>
      </c>
    </row>
    <row r="786" spans="1:11" ht="47.25" customHeight="1" x14ac:dyDescent="0.25">
      <c r="A786" s="215"/>
      <c r="B786" s="215"/>
      <c r="C786" s="223"/>
      <c r="D786" s="224"/>
      <c r="E786" s="224"/>
      <c r="F786" s="225"/>
      <c r="G786" s="215"/>
      <c r="H786" s="57" t="s">
        <v>168</v>
      </c>
      <c r="I786" s="50">
        <f>D785*K786</f>
        <v>77197.03</v>
      </c>
      <c r="J786" s="50">
        <f>I786/D785</f>
        <v>47</v>
      </c>
      <c r="K786" s="50">
        <f>34+13</f>
        <v>47</v>
      </c>
    </row>
    <row r="787" spans="1:11" ht="15.75" customHeight="1" x14ac:dyDescent="0.25">
      <c r="A787" s="216">
        <f>A785+1</f>
        <v>103</v>
      </c>
      <c r="B787" s="216">
        <v>3416</v>
      </c>
      <c r="C787" s="212" t="s">
        <v>497</v>
      </c>
      <c r="D787" s="220">
        <v>887</v>
      </c>
      <c r="E787" s="259" t="s">
        <v>68</v>
      </c>
      <c r="F787" s="259">
        <v>3</v>
      </c>
      <c r="G787" s="216" t="s">
        <v>75</v>
      </c>
      <c r="H787" s="57" t="s">
        <v>66</v>
      </c>
      <c r="I787" s="50">
        <f>I788+I789</f>
        <v>1812799.7</v>
      </c>
      <c r="J787" s="50">
        <f>J788+J789</f>
        <v>2043.74</v>
      </c>
      <c r="K787" s="50">
        <f>K788+K789</f>
        <v>2283</v>
      </c>
    </row>
    <row r="788" spans="1:11" x14ac:dyDescent="0.25">
      <c r="A788" s="217"/>
      <c r="B788" s="217"/>
      <c r="C788" s="213"/>
      <c r="D788" s="221"/>
      <c r="E788" s="260"/>
      <c r="F788" s="260"/>
      <c r="G788" s="217"/>
      <c r="H788" s="57" t="s">
        <v>67</v>
      </c>
      <c r="I788" s="50">
        <v>1798536.74</v>
      </c>
      <c r="J788" s="50">
        <f>I788/D787</f>
        <v>2027.66</v>
      </c>
      <c r="K788" s="50">
        <v>2235</v>
      </c>
    </row>
    <row r="789" spans="1:11" x14ac:dyDescent="0.25">
      <c r="A789" s="217"/>
      <c r="B789" s="217"/>
      <c r="C789" s="213"/>
      <c r="D789" s="221"/>
      <c r="E789" s="260"/>
      <c r="F789" s="260"/>
      <c r="G789" s="217"/>
      <c r="H789" s="57" t="s">
        <v>69</v>
      </c>
      <c r="I789" s="50">
        <v>14262.96</v>
      </c>
      <c r="J789" s="50">
        <f>I789/D787</f>
        <v>16.079999999999998</v>
      </c>
      <c r="K789" s="50">
        <v>48</v>
      </c>
    </row>
    <row r="790" spans="1:11" ht="15.75" customHeight="1" x14ac:dyDescent="0.25">
      <c r="A790" s="216">
        <f>A787+1</f>
        <v>104</v>
      </c>
      <c r="B790" s="216">
        <v>3417</v>
      </c>
      <c r="C790" s="212" t="s">
        <v>498</v>
      </c>
      <c r="D790" s="220">
        <v>921.5</v>
      </c>
      <c r="E790" s="259" t="s">
        <v>68</v>
      </c>
      <c r="F790" s="259">
        <v>3</v>
      </c>
      <c r="G790" s="216" t="s">
        <v>75</v>
      </c>
      <c r="H790" s="57" t="s">
        <v>66</v>
      </c>
      <c r="I790" s="50">
        <f>I791+I792</f>
        <v>1713016.85</v>
      </c>
      <c r="J790" s="50">
        <f>J791+J792</f>
        <v>1858.94</v>
      </c>
      <c r="K790" s="50">
        <f>K791+K792</f>
        <v>2283</v>
      </c>
    </row>
    <row r="791" spans="1:11" x14ac:dyDescent="0.25">
      <c r="A791" s="217"/>
      <c r="B791" s="217"/>
      <c r="C791" s="213"/>
      <c r="D791" s="221"/>
      <c r="E791" s="260"/>
      <c r="F791" s="260"/>
      <c r="G791" s="217"/>
      <c r="H791" s="57" t="s">
        <v>67</v>
      </c>
      <c r="I791" s="50">
        <v>1698199.13</v>
      </c>
      <c r="J791" s="50">
        <f>I791/D790</f>
        <v>1842.86</v>
      </c>
      <c r="K791" s="50">
        <v>2235</v>
      </c>
    </row>
    <row r="792" spans="1:11" x14ac:dyDescent="0.25">
      <c r="A792" s="217"/>
      <c r="B792" s="217"/>
      <c r="C792" s="213"/>
      <c r="D792" s="221"/>
      <c r="E792" s="260"/>
      <c r="F792" s="260"/>
      <c r="G792" s="217"/>
      <c r="H792" s="57" t="s">
        <v>69</v>
      </c>
      <c r="I792" s="50">
        <v>14817.72</v>
      </c>
      <c r="J792" s="50">
        <f>I792/D790</f>
        <v>16.079999999999998</v>
      </c>
      <c r="K792" s="50">
        <v>48</v>
      </c>
    </row>
    <row r="793" spans="1:11" ht="15.75" customHeight="1" x14ac:dyDescent="0.25">
      <c r="A793" s="216">
        <f>A790+1</f>
        <v>105</v>
      </c>
      <c r="B793" s="216">
        <v>4314</v>
      </c>
      <c r="C793" s="218" t="s">
        <v>618</v>
      </c>
      <c r="D793" s="220">
        <v>4047.51</v>
      </c>
      <c r="E793" s="216" t="s">
        <v>68</v>
      </c>
      <c r="F793" s="216">
        <v>9</v>
      </c>
      <c r="G793" s="105"/>
      <c r="H793" s="57" t="s">
        <v>66</v>
      </c>
      <c r="I793" s="50">
        <f>I794</f>
        <v>32281</v>
      </c>
      <c r="J793" s="50">
        <f t="shared" ref="J793:K793" si="25">J794</f>
        <v>7.98</v>
      </c>
      <c r="K793" s="50">
        <f t="shared" si="25"/>
        <v>7.98</v>
      </c>
    </row>
    <row r="794" spans="1:11" ht="47.25" customHeight="1" x14ac:dyDescent="0.25">
      <c r="A794" s="217"/>
      <c r="B794" s="217"/>
      <c r="C794" s="219"/>
      <c r="D794" s="221"/>
      <c r="E794" s="217"/>
      <c r="F794" s="217"/>
      <c r="G794" s="102" t="s">
        <v>170</v>
      </c>
      <c r="H794" s="57" t="s">
        <v>168</v>
      </c>
      <c r="I794" s="50">
        <f>22681+9600</f>
        <v>32281</v>
      </c>
      <c r="J794" s="50">
        <f>I794/D793</f>
        <v>7.98</v>
      </c>
      <c r="K794" s="50">
        <f>32281/D793</f>
        <v>7.98</v>
      </c>
    </row>
    <row r="795" spans="1:11" ht="15.75" customHeight="1" x14ac:dyDescent="0.25">
      <c r="A795" s="216">
        <f>A793+1</f>
        <v>106</v>
      </c>
      <c r="B795" s="216">
        <v>4105</v>
      </c>
      <c r="C795" s="218" t="s">
        <v>619</v>
      </c>
      <c r="D795" s="220">
        <v>4424.8999999999996</v>
      </c>
      <c r="E795" s="216" t="s">
        <v>68</v>
      </c>
      <c r="F795" s="216">
        <v>10</v>
      </c>
      <c r="G795" s="105"/>
      <c r="H795" s="57" t="s">
        <v>66</v>
      </c>
      <c r="I795" s="50">
        <f>I796</f>
        <v>32281</v>
      </c>
      <c r="J795" s="50">
        <f t="shared" ref="J795:K795" si="26">J796</f>
        <v>7.3</v>
      </c>
      <c r="K795" s="50">
        <f t="shared" si="26"/>
        <v>7.3</v>
      </c>
    </row>
    <row r="796" spans="1:11" ht="47.25" customHeight="1" x14ac:dyDescent="0.25">
      <c r="A796" s="217"/>
      <c r="B796" s="217"/>
      <c r="C796" s="219"/>
      <c r="D796" s="221"/>
      <c r="E796" s="217"/>
      <c r="F796" s="217"/>
      <c r="G796" s="102" t="s">
        <v>170</v>
      </c>
      <c r="H796" s="57" t="s">
        <v>168</v>
      </c>
      <c r="I796" s="50">
        <f>22681+9600</f>
        <v>32281</v>
      </c>
      <c r="J796" s="50">
        <f>I796/D795</f>
        <v>7.3</v>
      </c>
      <c r="K796" s="50">
        <f>32281/D795</f>
        <v>7.3</v>
      </c>
    </row>
    <row r="797" spans="1:11" x14ac:dyDescent="0.25">
      <c r="A797" s="215">
        <f>A795+1</f>
        <v>107</v>
      </c>
      <c r="B797" s="215">
        <v>2466</v>
      </c>
      <c r="C797" s="223" t="s">
        <v>557</v>
      </c>
      <c r="D797" s="224">
        <v>2570.9</v>
      </c>
      <c r="E797" s="224" t="s">
        <v>64</v>
      </c>
      <c r="F797" s="225">
        <v>5</v>
      </c>
      <c r="G797" s="215" t="s">
        <v>74</v>
      </c>
      <c r="H797" s="57" t="s">
        <v>66</v>
      </c>
      <c r="I797" s="50">
        <f>I798</f>
        <v>120832.3</v>
      </c>
      <c r="J797" s="50">
        <f>J798</f>
        <v>47</v>
      </c>
      <c r="K797" s="50">
        <f>K798</f>
        <v>47</v>
      </c>
    </row>
    <row r="798" spans="1:11" ht="63" x14ac:dyDescent="0.25">
      <c r="A798" s="215"/>
      <c r="B798" s="215"/>
      <c r="C798" s="223"/>
      <c r="D798" s="224"/>
      <c r="E798" s="224"/>
      <c r="F798" s="225"/>
      <c r="G798" s="215"/>
      <c r="H798" s="57" t="s">
        <v>168</v>
      </c>
      <c r="I798" s="50">
        <f>D797*K798</f>
        <v>120832.3</v>
      </c>
      <c r="J798" s="50">
        <f>I798/D797</f>
        <v>47</v>
      </c>
      <c r="K798" s="50">
        <f>34+13</f>
        <v>47</v>
      </c>
    </row>
    <row r="799" spans="1:11" x14ac:dyDescent="0.25">
      <c r="A799" s="215">
        <f>A797+1</f>
        <v>108</v>
      </c>
      <c r="B799" s="215">
        <v>3011</v>
      </c>
      <c r="C799" s="223" t="s">
        <v>456</v>
      </c>
      <c r="D799" s="224">
        <v>13855.7</v>
      </c>
      <c r="E799" s="224" t="s">
        <v>68</v>
      </c>
      <c r="F799" s="225">
        <v>9</v>
      </c>
      <c r="G799" s="105"/>
      <c r="H799" s="57" t="s">
        <v>66</v>
      </c>
      <c r="I799" s="50">
        <f>I800+I801+I802+I803+I804+I805+I806+I807+I808+I809+I810+I811+I812+I813+I814+I815+I816+I817</f>
        <v>13797884.07</v>
      </c>
      <c r="J799" s="50">
        <f t="shared" ref="J799:K799" si="27">J800+J801+J802+J803+J804+J805+J806+J807+J808+J809+J810+J811+J812+J813+J814+J815+J816+J817</f>
        <v>995.83</v>
      </c>
      <c r="K799" s="50">
        <f t="shared" si="27"/>
        <v>1005.46</v>
      </c>
    </row>
    <row r="800" spans="1:11" ht="63" x14ac:dyDescent="0.25">
      <c r="A800" s="215"/>
      <c r="B800" s="215"/>
      <c r="C800" s="223"/>
      <c r="D800" s="224"/>
      <c r="E800" s="224"/>
      <c r="F800" s="225"/>
      <c r="G800" s="216" t="s">
        <v>170</v>
      </c>
      <c r="H800" s="57" t="s">
        <v>168</v>
      </c>
      <c r="I800" s="50">
        <v>26100</v>
      </c>
      <c r="J800" s="50">
        <f>I800/D799</f>
        <v>1.88</v>
      </c>
      <c r="K800" s="50">
        <f>32281/D799</f>
        <v>2.33</v>
      </c>
    </row>
    <row r="801" spans="1:11" x14ac:dyDescent="0.25">
      <c r="A801" s="215">
        <v>756</v>
      </c>
      <c r="B801" s="215"/>
      <c r="C801" s="223"/>
      <c r="D801" s="224"/>
      <c r="E801" s="224"/>
      <c r="F801" s="225"/>
      <c r="G801" s="217"/>
      <c r="H801" s="57" t="s">
        <v>171</v>
      </c>
      <c r="I801" s="50">
        <v>2241646.63</v>
      </c>
      <c r="J801" s="50">
        <f>I801/D799</f>
        <v>161.79</v>
      </c>
      <c r="K801" s="50">
        <f>2241647/D799-0.01</f>
        <v>161.78</v>
      </c>
    </row>
    <row r="802" spans="1:11" x14ac:dyDescent="0.25">
      <c r="A802" s="215">
        <v>757</v>
      </c>
      <c r="B802" s="215"/>
      <c r="C802" s="223"/>
      <c r="D802" s="224"/>
      <c r="E802" s="224"/>
      <c r="F802" s="225"/>
      <c r="G802" s="222"/>
      <c r="H802" s="57" t="s">
        <v>69</v>
      </c>
      <c r="I802" s="50">
        <v>31900.720000000001</v>
      </c>
      <c r="J802" s="50">
        <f>I802/D799</f>
        <v>2.2999999999999998</v>
      </c>
      <c r="K802" s="50">
        <f>47971/D799</f>
        <v>3.46</v>
      </c>
    </row>
    <row r="803" spans="1:11" ht="63" x14ac:dyDescent="0.25">
      <c r="A803" s="215"/>
      <c r="B803" s="215"/>
      <c r="C803" s="223"/>
      <c r="D803" s="224"/>
      <c r="E803" s="224"/>
      <c r="F803" s="225"/>
      <c r="G803" s="216" t="s">
        <v>173</v>
      </c>
      <c r="H803" s="57" t="s">
        <v>168</v>
      </c>
      <c r="I803" s="50">
        <v>26100</v>
      </c>
      <c r="J803" s="50">
        <f>I800/D799</f>
        <v>1.88</v>
      </c>
      <c r="K803" s="50">
        <f>32281/D799</f>
        <v>2.33</v>
      </c>
    </row>
    <row r="804" spans="1:11" ht="15.75" customHeight="1" x14ac:dyDescent="0.25">
      <c r="A804" s="215"/>
      <c r="B804" s="215"/>
      <c r="C804" s="223"/>
      <c r="D804" s="224"/>
      <c r="E804" s="224"/>
      <c r="F804" s="225"/>
      <c r="G804" s="217"/>
      <c r="H804" s="57" t="s">
        <v>171</v>
      </c>
      <c r="I804" s="50">
        <v>2241646.63</v>
      </c>
      <c r="J804" s="50">
        <f>I804/D799+0.01</f>
        <v>161.80000000000001</v>
      </c>
      <c r="K804" s="50">
        <f>2241647/D799</f>
        <v>161.79</v>
      </c>
    </row>
    <row r="805" spans="1:11" x14ac:dyDescent="0.25">
      <c r="A805" s="215"/>
      <c r="B805" s="215"/>
      <c r="C805" s="223"/>
      <c r="D805" s="224"/>
      <c r="E805" s="224"/>
      <c r="F805" s="225"/>
      <c r="G805" s="222"/>
      <c r="H805" s="57" t="s">
        <v>69</v>
      </c>
      <c r="I805" s="50">
        <v>31900.71</v>
      </c>
      <c r="J805" s="50">
        <f>I805/D799</f>
        <v>2.2999999999999998</v>
      </c>
      <c r="K805" s="50">
        <f>47971/D799</f>
        <v>3.46</v>
      </c>
    </row>
    <row r="806" spans="1:11" ht="63" x14ac:dyDescent="0.25">
      <c r="A806" s="215"/>
      <c r="B806" s="215"/>
      <c r="C806" s="223"/>
      <c r="D806" s="224"/>
      <c r="E806" s="224"/>
      <c r="F806" s="225"/>
      <c r="G806" s="216" t="s">
        <v>174</v>
      </c>
      <c r="H806" s="57" t="s">
        <v>168</v>
      </c>
      <c r="I806" s="50">
        <v>26100</v>
      </c>
      <c r="J806" s="50">
        <f>I800/D799</f>
        <v>1.88</v>
      </c>
      <c r="K806" s="50">
        <f>32281/D799</f>
        <v>2.33</v>
      </c>
    </row>
    <row r="807" spans="1:11" ht="15.75" customHeight="1" x14ac:dyDescent="0.25">
      <c r="A807" s="215"/>
      <c r="B807" s="215"/>
      <c r="C807" s="223"/>
      <c r="D807" s="224"/>
      <c r="E807" s="224"/>
      <c r="F807" s="225"/>
      <c r="G807" s="217"/>
      <c r="H807" s="57" t="s">
        <v>171</v>
      </c>
      <c r="I807" s="50">
        <v>2241646.63</v>
      </c>
      <c r="J807" s="50">
        <f>I807/D799</f>
        <v>161.79</v>
      </c>
      <c r="K807" s="50">
        <f>2241647/D799</f>
        <v>161.79</v>
      </c>
    </row>
    <row r="808" spans="1:11" x14ac:dyDescent="0.25">
      <c r="A808" s="215"/>
      <c r="B808" s="215"/>
      <c r="C808" s="223"/>
      <c r="D808" s="224"/>
      <c r="E808" s="224"/>
      <c r="F808" s="225"/>
      <c r="G808" s="222"/>
      <c r="H808" s="57" t="s">
        <v>69</v>
      </c>
      <c r="I808" s="50">
        <v>31900.720000000001</v>
      </c>
      <c r="J808" s="50">
        <f>I808/D799</f>
        <v>2.2999999999999998</v>
      </c>
      <c r="K808" s="50">
        <f>47971/D799</f>
        <v>3.46</v>
      </c>
    </row>
    <row r="809" spans="1:11" ht="63" x14ac:dyDescent="0.25">
      <c r="A809" s="215"/>
      <c r="B809" s="215"/>
      <c r="C809" s="223"/>
      <c r="D809" s="224"/>
      <c r="E809" s="224"/>
      <c r="F809" s="225"/>
      <c r="G809" s="216" t="s">
        <v>175</v>
      </c>
      <c r="H809" s="57" t="s">
        <v>168</v>
      </c>
      <c r="I809" s="50">
        <v>26100</v>
      </c>
      <c r="J809" s="50">
        <f>I800/D799</f>
        <v>1.88</v>
      </c>
      <c r="K809" s="50">
        <f>32281/D799</f>
        <v>2.33</v>
      </c>
    </row>
    <row r="810" spans="1:11" x14ac:dyDescent="0.25">
      <c r="A810" s="215"/>
      <c r="B810" s="215"/>
      <c r="C810" s="223"/>
      <c r="D810" s="224"/>
      <c r="E810" s="224"/>
      <c r="F810" s="225"/>
      <c r="G810" s="217"/>
      <c r="H810" s="57" t="s">
        <v>171</v>
      </c>
      <c r="I810" s="50">
        <v>2241646.63</v>
      </c>
      <c r="J810" s="50">
        <f>I810/D799+0.01</f>
        <v>161.80000000000001</v>
      </c>
      <c r="K810" s="50">
        <f>2241647/D799</f>
        <v>161.79</v>
      </c>
    </row>
    <row r="811" spans="1:11" x14ac:dyDescent="0.25">
      <c r="A811" s="215"/>
      <c r="B811" s="215"/>
      <c r="C811" s="223"/>
      <c r="D811" s="224"/>
      <c r="E811" s="224"/>
      <c r="F811" s="225"/>
      <c r="G811" s="222"/>
      <c r="H811" s="57" t="s">
        <v>69</v>
      </c>
      <c r="I811" s="50">
        <v>31900.71</v>
      </c>
      <c r="J811" s="50">
        <f>I811/D799</f>
        <v>2.2999999999999998</v>
      </c>
      <c r="K811" s="50">
        <f>47971/D799</f>
        <v>3.46</v>
      </c>
    </row>
    <row r="812" spans="1:11" ht="63" x14ac:dyDescent="0.25">
      <c r="A812" s="215"/>
      <c r="B812" s="215"/>
      <c r="C812" s="223"/>
      <c r="D812" s="224"/>
      <c r="E812" s="224"/>
      <c r="F812" s="225"/>
      <c r="G812" s="216" t="s">
        <v>172</v>
      </c>
      <c r="H812" s="57" t="s">
        <v>168</v>
      </c>
      <c r="I812" s="50">
        <v>26100</v>
      </c>
      <c r="J812" s="50">
        <f>I800/D799</f>
        <v>1.88</v>
      </c>
      <c r="K812" s="50">
        <f>32281/D799</f>
        <v>2.33</v>
      </c>
    </row>
    <row r="813" spans="1:11" x14ac:dyDescent="0.25">
      <c r="A813" s="215"/>
      <c r="B813" s="215"/>
      <c r="C813" s="223"/>
      <c r="D813" s="224"/>
      <c r="E813" s="224"/>
      <c r="F813" s="225"/>
      <c r="G813" s="217"/>
      <c r="H813" s="57" t="s">
        <v>171</v>
      </c>
      <c r="I813" s="50">
        <v>2241646.63</v>
      </c>
      <c r="J813" s="50">
        <f>I813/D799</f>
        <v>161.79</v>
      </c>
      <c r="K813" s="50">
        <f>2241647/D799</f>
        <v>161.79</v>
      </c>
    </row>
    <row r="814" spans="1:11" x14ac:dyDescent="0.25">
      <c r="A814" s="215"/>
      <c r="B814" s="215"/>
      <c r="C814" s="223"/>
      <c r="D814" s="224"/>
      <c r="E814" s="224"/>
      <c r="F814" s="225"/>
      <c r="G814" s="222"/>
      <c r="H814" s="57" t="s">
        <v>69</v>
      </c>
      <c r="I814" s="50">
        <v>31900.720000000001</v>
      </c>
      <c r="J814" s="50">
        <f>I814/D799</f>
        <v>2.2999999999999998</v>
      </c>
      <c r="K814" s="50">
        <f>47971/D799</f>
        <v>3.46</v>
      </c>
    </row>
    <row r="815" spans="1:11" ht="63" x14ac:dyDescent="0.25">
      <c r="A815" s="215"/>
      <c r="B815" s="215"/>
      <c r="C815" s="223"/>
      <c r="D815" s="224"/>
      <c r="E815" s="224"/>
      <c r="F815" s="225"/>
      <c r="G815" s="216" t="s">
        <v>444</v>
      </c>
      <c r="H815" s="57" t="s">
        <v>168</v>
      </c>
      <c r="I815" s="50">
        <v>26100</v>
      </c>
      <c r="J815" s="50">
        <f>I800/D799</f>
        <v>1.88</v>
      </c>
      <c r="K815" s="50">
        <f>32281/D799</f>
        <v>2.33</v>
      </c>
    </row>
    <row r="816" spans="1:11" x14ac:dyDescent="0.25">
      <c r="A816" s="215"/>
      <c r="B816" s="215"/>
      <c r="C816" s="223"/>
      <c r="D816" s="224"/>
      <c r="E816" s="224"/>
      <c r="F816" s="225"/>
      <c r="G816" s="217"/>
      <c r="H816" s="57" t="s">
        <v>171</v>
      </c>
      <c r="I816" s="50">
        <v>2241646.63</v>
      </c>
      <c r="J816" s="50">
        <f>I816/D799-0.01</f>
        <v>161.78</v>
      </c>
      <c r="K816" s="50">
        <f>2241647/D799-0.01</f>
        <v>161.78</v>
      </c>
    </row>
    <row r="817" spans="1:11" x14ac:dyDescent="0.25">
      <c r="A817" s="215"/>
      <c r="B817" s="215"/>
      <c r="C817" s="223"/>
      <c r="D817" s="224"/>
      <c r="E817" s="224"/>
      <c r="F817" s="225"/>
      <c r="G817" s="222"/>
      <c r="H817" s="57" t="s">
        <v>69</v>
      </c>
      <c r="I817" s="50">
        <v>31900.71</v>
      </c>
      <c r="J817" s="50">
        <f>I817/D799</f>
        <v>2.2999999999999998</v>
      </c>
      <c r="K817" s="50">
        <f>47971/D799</f>
        <v>3.46</v>
      </c>
    </row>
    <row r="818" spans="1:11" ht="15.75" customHeight="1" x14ac:dyDescent="0.25">
      <c r="A818" s="216">
        <f>A799+1</f>
        <v>109</v>
      </c>
      <c r="B818" s="216">
        <v>2255</v>
      </c>
      <c r="C818" s="218" t="s">
        <v>620</v>
      </c>
      <c r="D818" s="220">
        <v>4870</v>
      </c>
      <c r="E818" s="216" t="s">
        <v>64</v>
      </c>
      <c r="F818" s="216">
        <v>10</v>
      </c>
      <c r="G818" s="105"/>
      <c r="H818" s="57" t="s">
        <v>66</v>
      </c>
      <c r="I818" s="50">
        <f>I819+I820</f>
        <v>64562</v>
      </c>
      <c r="J818" s="50">
        <f t="shared" ref="J818:K818" si="28">J819+J820</f>
        <v>13.26</v>
      </c>
      <c r="K818" s="50">
        <f t="shared" si="28"/>
        <v>13.26</v>
      </c>
    </row>
    <row r="819" spans="1:11" ht="47.25" customHeight="1" x14ac:dyDescent="0.25">
      <c r="A819" s="217"/>
      <c r="B819" s="217"/>
      <c r="C819" s="219"/>
      <c r="D819" s="221"/>
      <c r="E819" s="217"/>
      <c r="F819" s="217"/>
      <c r="G819" s="102" t="s">
        <v>170</v>
      </c>
      <c r="H819" s="57" t="s">
        <v>168</v>
      </c>
      <c r="I819" s="50">
        <f>22681+9600</f>
        <v>32281</v>
      </c>
      <c r="J819" s="50">
        <f>I819/D818</f>
        <v>6.63</v>
      </c>
      <c r="K819" s="50">
        <f>32281/D818</f>
        <v>6.63</v>
      </c>
    </row>
    <row r="820" spans="1:11" ht="47.25" customHeight="1" x14ac:dyDescent="0.25">
      <c r="A820" s="217"/>
      <c r="B820" s="217"/>
      <c r="C820" s="219"/>
      <c r="D820" s="221"/>
      <c r="E820" s="217"/>
      <c r="F820" s="217"/>
      <c r="G820" s="102" t="s">
        <v>173</v>
      </c>
      <c r="H820" s="57" t="s">
        <v>168</v>
      </c>
      <c r="I820" s="50">
        <f>22681+9600</f>
        <v>32281</v>
      </c>
      <c r="J820" s="50">
        <f>I820/D818</f>
        <v>6.63</v>
      </c>
      <c r="K820" s="50">
        <f>32281/D818</f>
        <v>6.63</v>
      </c>
    </row>
    <row r="821" spans="1:11" x14ac:dyDescent="0.25">
      <c r="A821" s="215">
        <f>A818+1</f>
        <v>110</v>
      </c>
      <c r="B821" s="215">
        <v>2257</v>
      </c>
      <c r="C821" s="223" t="s">
        <v>558</v>
      </c>
      <c r="D821" s="224">
        <v>4524.2</v>
      </c>
      <c r="E821" s="224" t="s">
        <v>68</v>
      </c>
      <c r="F821" s="225">
        <v>5</v>
      </c>
      <c r="G821" s="215" t="s">
        <v>74</v>
      </c>
      <c r="H821" s="57" t="s">
        <v>66</v>
      </c>
      <c r="I821" s="50">
        <f>I822+I823+I824</f>
        <v>1234143.6299999999</v>
      </c>
      <c r="J821" s="50">
        <f>J822+J823+J824</f>
        <v>272.79000000000002</v>
      </c>
      <c r="K821" s="50">
        <f>K822+K823+K824</f>
        <v>431</v>
      </c>
    </row>
    <row r="822" spans="1:11" ht="63" x14ac:dyDescent="0.25">
      <c r="A822" s="215"/>
      <c r="B822" s="215"/>
      <c r="C822" s="223"/>
      <c r="D822" s="224"/>
      <c r="E822" s="224"/>
      <c r="F822" s="225"/>
      <c r="G822" s="215"/>
      <c r="H822" s="57" t="s">
        <v>168</v>
      </c>
      <c r="I822" s="50">
        <f>D821*K822</f>
        <v>108580.8</v>
      </c>
      <c r="J822" s="50">
        <f>I822/D821</f>
        <v>24</v>
      </c>
      <c r="K822" s="50">
        <f>22+2</f>
        <v>24</v>
      </c>
    </row>
    <row r="823" spans="1:11" x14ac:dyDescent="0.25">
      <c r="A823" s="215"/>
      <c r="B823" s="215"/>
      <c r="C823" s="223"/>
      <c r="D823" s="224"/>
      <c r="E823" s="224"/>
      <c r="F823" s="225"/>
      <c r="G823" s="215"/>
      <c r="H823" s="57" t="s">
        <v>67</v>
      </c>
      <c r="I823" s="50">
        <v>1101980.45</v>
      </c>
      <c r="J823" s="50">
        <f>I823/D821+0.01</f>
        <v>243.58</v>
      </c>
      <c r="K823" s="50">
        <v>398</v>
      </c>
    </row>
    <row r="824" spans="1:11" x14ac:dyDescent="0.25">
      <c r="A824" s="215"/>
      <c r="B824" s="215"/>
      <c r="C824" s="223"/>
      <c r="D824" s="224"/>
      <c r="E824" s="224"/>
      <c r="F824" s="225"/>
      <c r="G824" s="215"/>
      <c r="H824" s="57" t="s">
        <v>69</v>
      </c>
      <c r="I824" s="50">
        <f>I823*0.0214</f>
        <v>23582.38</v>
      </c>
      <c r="J824" s="50">
        <f>I824/D821</f>
        <v>5.21</v>
      </c>
      <c r="K824" s="50">
        <v>9</v>
      </c>
    </row>
    <row r="825" spans="1:11" x14ac:dyDescent="0.25">
      <c r="A825" s="215">
        <f>A821+1</f>
        <v>111</v>
      </c>
      <c r="B825" s="215">
        <v>2473</v>
      </c>
      <c r="C825" s="223" t="s">
        <v>434</v>
      </c>
      <c r="D825" s="224">
        <v>3525.9</v>
      </c>
      <c r="E825" s="224" t="s">
        <v>64</v>
      </c>
      <c r="F825" s="225">
        <v>5</v>
      </c>
      <c r="G825" s="215" t="s">
        <v>74</v>
      </c>
      <c r="H825" s="57" t="s">
        <v>66</v>
      </c>
      <c r="I825" s="50">
        <f>I826+I827+I828</f>
        <v>838533.34</v>
      </c>
      <c r="J825" s="50">
        <f>J826+J827+J828</f>
        <v>237.82</v>
      </c>
      <c r="K825" s="50">
        <f>K826+K827+K828</f>
        <v>431</v>
      </c>
    </row>
    <row r="826" spans="1:11" ht="63" x14ac:dyDescent="0.25">
      <c r="A826" s="215"/>
      <c r="B826" s="215"/>
      <c r="C826" s="223"/>
      <c r="D826" s="224"/>
      <c r="E826" s="224"/>
      <c r="F826" s="225"/>
      <c r="G826" s="215"/>
      <c r="H826" s="57" t="s">
        <v>168</v>
      </c>
      <c r="I826" s="50">
        <f>D825*K826</f>
        <v>84621.6</v>
      </c>
      <c r="J826" s="50">
        <f>I826/D825</f>
        <v>24</v>
      </c>
      <c r="K826" s="50">
        <f>22+2</f>
        <v>24</v>
      </c>
    </row>
    <row r="827" spans="1:11" x14ac:dyDescent="0.25">
      <c r="A827" s="215"/>
      <c r="B827" s="215"/>
      <c r="C827" s="223"/>
      <c r="D827" s="224"/>
      <c r="E827" s="224"/>
      <c r="F827" s="225"/>
      <c r="G827" s="215"/>
      <c r="H827" s="57" t="s">
        <v>67</v>
      </c>
      <c r="I827" s="50">
        <v>738116.06</v>
      </c>
      <c r="J827" s="50">
        <f>I827/D825</f>
        <v>209.34</v>
      </c>
      <c r="K827" s="50">
        <v>398</v>
      </c>
    </row>
    <row r="828" spans="1:11" x14ac:dyDescent="0.25">
      <c r="A828" s="215"/>
      <c r="B828" s="215"/>
      <c r="C828" s="223"/>
      <c r="D828" s="224"/>
      <c r="E828" s="224"/>
      <c r="F828" s="225"/>
      <c r="G828" s="215"/>
      <c r="H828" s="57" t="s">
        <v>69</v>
      </c>
      <c r="I828" s="50">
        <f>I827*0.0214</f>
        <v>15795.68</v>
      </c>
      <c r="J828" s="50">
        <f>I828/D825</f>
        <v>4.4800000000000004</v>
      </c>
      <c r="K828" s="50">
        <v>9</v>
      </c>
    </row>
    <row r="829" spans="1:11" ht="15.75" customHeight="1" x14ac:dyDescent="0.25">
      <c r="A829" s="216">
        <f>A825+1</f>
        <v>112</v>
      </c>
      <c r="B829" s="216">
        <v>3048</v>
      </c>
      <c r="C829" s="218" t="s">
        <v>621</v>
      </c>
      <c r="D829" s="220">
        <v>11324.3</v>
      </c>
      <c r="E829" s="216" t="s">
        <v>64</v>
      </c>
      <c r="F829" s="216">
        <v>10</v>
      </c>
      <c r="G829" s="105"/>
      <c r="H829" s="57" t="s">
        <v>66</v>
      </c>
      <c r="I829" s="50">
        <f>I830+I831</f>
        <v>64562</v>
      </c>
      <c r="J829" s="50">
        <f>J830+J831</f>
        <v>5.7</v>
      </c>
      <c r="K829" s="50">
        <f>K830+K831</f>
        <v>5.7</v>
      </c>
    </row>
    <row r="830" spans="1:11" ht="47.25" customHeight="1" x14ac:dyDescent="0.25">
      <c r="A830" s="217"/>
      <c r="B830" s="217"/>
      <c r="C830" s="219"/>
      <c r="D830" s="221"/>
      <c r="E830" s="217"/>
      <c r="F830" s="217"/>
      <c r="G830" s="102" t="s">
        <v>175</v>
      </c>
      <c r="H830" s="57" t="s">
        <v>168</v>
      </c>
      <c r="I830" s="50">
        <f>22681+9600</f>
        <v>32281</v>
      </c>
      <c r="J830" s="50">
        <f>I830/D829</f>
        <v>2.85</v>
      </c>
      <c r="K830" s="50">
        <f>32281/D829</f>
        <v>2.85</v>
      </c>
    </row>
    <row r="831" spans="1:11" ht="47.25" customHeight="1" x14ac:dyDescent="0.25">
      <c r="A831" s="217"/>
      <c r="B831" s="217"/>
      <c r="C831" s="219"/>
      <c r="D831" s="221"/>
      <c r="E831" s="217"/>
      <c r="F831" s="217"/>
      <c r="G831" s="102" t="s">
        <v>172</v>
      </c>
      <c r="H831" s="57" t="s">
        <v>168</v>
      </c>
      <c r="I831" s="50">
        <f>22681+9600</f>
        <v>32281</v>
      </c>
      <c r="J831" s="50">
        <f>I831/D829</f>
        <v>2.85</v>
      </c>
      <c r="K831" s="50">
        <f>32281/D829</f>
        <v>2.85</v>
      </c>
    </row>
    <row r="832" spans="1:11" ht="15.75" customHeight="1" x14ac:dyDescent="0.25">
      <c r="A832" s="215">
        <f>A829+1</f>
        <v>113</v>
      </c>
      <c r="B832" s="215">
        <v>2496</v>
      </c>
      <c r="C832" s="218" t="s">
        <v>499</v>
      </c>
      <c r="D832" s="224">
        <v>655.1</v>
      </c>
      <c r="E832" s="224" t="s">
        <v>73</v>
      </c>
      <c r="F832" s="225">
        <v>2</v>
      </c>
      <c r="G832" s="215" t="s">
        <v>79</v>
      </c>
      <c r="H832" s="57" t="s">
        <v>66</v>
      </c>
      <c r="I832" s="50">
        <f>I833+I834</f>
        <v>2600746.9900000002</v>
      </c>
      <c r="J832" s="50">
        <f>J833+J834</f>
        <v>3970</v>
      </c>
      <c r="K832" s="50">
        <f>K833+K834</f>
        <v>4346</v>
      </c>
    </row>
    <row r="833" spans="1:11" x14ac:dyDescent="0.25">
      <c r="A833" s="215"/>
      <c r="B833" s="215"/>
      <c r="C833" s="219"/>
      <c r="D833" s="224"/>
      <c r="E833" s="224"/>
      <c r="F833" s="225"/>
      <c r="G833" s="215"/>
      <c r="H833" s="57" t="s">
        <v>67</v>
      </c>
      <c r="I833" s="50">
        <v>2561440.9900000002</v>
      </c>
      <c r="J833" s="50">
        <f>I833/D832</f>
        <v>3910</v>
      </c>
      <c r="K833" s="50">
        <v>4255</v>
      </c>
    </row>
    <row r="834" spans="1:11" x14ac:dyDescent="0.25">
      <c r="A834" s="215">
        <v>75</v>
      </c>
      <c r="B834" s="215"/>
      <c r="C834" s="226"/>
      <c r="D834" s="224"/>
      <c r="E834" s="224"/>
      <c r="F834" s="225"/>
      <c r="G834" s="215"/>
      <c r="H834" s="57" t="s">
        <v>69</v>
      </c>
      <c r="I834" s="50">
        <v>39306</v>
      </c>
      <c r="J834" s="50">
        <f>I834/D832</f>
        <v>60</v>
      </c>
      <c r="K834" s="50">
        <v>91</v>
      </c>
    </row>
    <row r="835" spans="1:11" ht="15.75" customHeight="1" x14ac:dyDescent="0.25">
      <c r="A835" s="215">
        <f>A832+1</f>
        <v>114</v>
      </c>
      <c r="B835" s="215">
        <v>2367</v>
      </c>
      <c r="C835" s="223" t="s">
        <v>500</v>
      </c>
      <c r="D835" s="224">
        <v>1819.1</v>
      </c>
      <c r="E835" s="224" t="s">
        <v>68</v>
      </c>
      <c r="F835" s="225">
        <v>5</v>
      </c>
      <c r="G835" s="215" t="s">
        <v>74</v>
      </c>
      <c r="H835" s="57" t="s">
        <v>66</v>
      </c>
      <c r="I835" s="50">
        <f>I836+I837</f>
        <v>658514.19999999995</v>
      </c>
      <c r="J835" s="50">
        <f>J836+J837</f>
        <v>362</v>
      </c>
      <c r="K835" s="50">
        <f>K836+K837</f>
        <v>362</v>
      </c>
    </row>
    <row r="836" spans="1:11" x14ac:dyDescent="0.25">
      <c r="A836" s="215"/>
      <c r="B836" s="215"/>
      <c r="C836" s="223"/>
      <c r="D836" s="224"/>
      <c r="E836" s="224"/>
      <c r="F836" s="225"/>
      <c r="G836" s="215"/>
      <c r="H836" s="57" t="s">
        <v>67</v>
      </c>
      <c r="I836" s="50">
        <f>K836*D835</f>
        <v>643961.4</v>
      </c>
      <c r="J836" s="50">
        <f>I836/D835</f>
        <v>354</v>
      </c>
      <c r="K836" s="50">
        <v>354</v>
      </c>
    </row>
    <row r="837" spans="1:11" x14ac:dyDescent="0.25">
      <c r="A837" s="215"/>
      <c r="B837" s="215"/>
      <c r="C837" s="223"/>
      <c r="D837" s="224"/>
      <c r="E837" s="224"/>
      <c r="F837" s="225"/>
      <c r="G837" s="215"/>
      <c r="H837" s="57" t="s">
        <v>69</v>
      </c>
      <c r="I837" s="50">
        <f>K837*D835</f>
        <v>14552.8</v>
      </c>
      <c r="J837" s="50">
        <f>I837/D835</f>
        <v>8</v>
      </c>
      <c r="K837" s="50">
        <v>8</v>
      </c>
    </row>
    <row r="838" spans="1:11" ht="15.75" customHeight="1" x14ac:dyDescent="0.25">
      <c r="A838" s="216">
        <f>A835+1</f>
        <v>115</v>
      </c>
      <c r="B838" s="216">
        <v>2406</v>
      </c>
      <c r="C838" s="218" t="s">
        <v>622</v>
      </c>
      <c r="D838" s="220">
        <v>2388.21</v>
      </c>
      <c r="E838" s="216" t="s">
        <v>68</v>
      </c>
      <c r="F838" s="216">
        <v>7</v>
      </c>
      <c r="G838" s="105"/>
      <c r="H838" s="57" t="s">
        <v>66</v>
      </c>
      <c r="I838" s="50">
        <f>I839</f>
        <v>32281</v>
      </c>
      <c r="J838" s="50">
        <f t="shared" ref="J838:K838" si="29">J839</f>
        <v>13.52</v>
      </c>
      <c r="K838" s="50">
        <f t="shared" si="29"/>
        <v>13.52</v>
      </c>
    </row>
    <row r="839" spans="1:11" ht="47.25" customHeight="1" x14ac:dyDescent="0.25">
      <c r="A839" s="217"/>
      <c r="B839" s="217"/>
      <c r="C839" s="219"/>
      <c r="D839" s="221"/>
      <c r="E839" s="217"/>
      <c r="F839" s="217"/>
      <c r="G839" s="102" t="s">
        <v>174</v>
      </c>
      <c r="H839" s="57" t="s">
        <v>168</v>
      </c>
      <c r="I839" s="50">
        <f>22681+9600</f>
        <v>32281</v>
      </c>
      <c r="J839" s="50">
        <f>I839/D838</f>
        <v>13.52</v>
      </c>
      <c r="K839" s="50">
        <f>32281/D838</f>
        <v>13.52</v>
      </c>
    </row>
    <row r="840" spans="1:11" x14ac:dyDescent="0.25">
      <c r="A840" s="215">
        <f>A838+1</f>
        <v>116</v>
      </c>
      <c r="B840" s="215">
        <v>2411</v>
      </c>
      <c r="C840" s="304" t="s">
        <v>549</v>
      </c>
      <c r="D840" s="224">
        <v>812.8</v>
      </c>
      <c r="E840" s="288" t="s">
        <v>68</v>
      </c>
      <c r="F840" s="288">
        <v>3</v>
      </c>
      <c r="G840" s="215" t="s">
        <v>478</v>
      </c>
      <c r="H840" s="57" t="s">
        <v>66</v>
      </c>
      <c r="I840" s="50">
        <f>I841</f>
        <v>194259.20000000001</v>
      </c>
      <c r="J840" s="50">
        <f>J841</f>
        <v>239</v>
      </c>
      <c r="K840" s="50">
        <f>K841</f>
        <v>239</v>
      </c>
    </row>
    <row r="841" spans="1:11" ht="63" x14ac:dyDescent="0.25">
      <c r="A841" s="215"/>
      <c r="B841" s="215"/>
      <c r="C841" s="304"/>
      <c r="D841" s="224"/>
      <c r="E841" s="288"/>
      <c r="F841" s="288"/>
      <c r="G841" s="215"/>
      <c r="H841" s="57" t="s">
        <v>178</v>
      </c>
      <c r="I841" s="50">
        <f>K841*D840</f>
        <v>194259.20000000001</v>
      </c>
      <c r="J841" s="50">
        <f>I841/D840</f>
        <v>239</v>
      </c>
      <c r="K841" s="50">
        <f>151+88</f>
        <v>239</v>
      </c>
    </row>
    <row r="842" spans="1:11" x14ac:dyDescent="0.25">
      <c r="A842" s="215">
        <f>A840+1</f>
        <v>117</v>
      </c>
      <c r="B842" s="215">
        <v>2237</v>
      </c>
      <c r="C842" s="223" t="s">
        <v>561</v>
      </c>
      <c r="D842" s="224">
        <v>3373.3</v>
      </c>
      <c r="E842" s="224" t="s">
        <v>68</v>
      </c>
      <c r="F842" s="225">
        <v>5</v>
      </c>
      <c r="G842" s="215" t="s">
        <v>74</v>
      </c>
      <c r="H842" s="57" t="s">
        <v>66</v>
      </c>
      <c r="I842" s="50">
        <f>I843</f>
        <v>80959.199999999997</v>
      </c>
      <c r="J842" s="50">
        <f>J843</f>
        <v>24</v>
      </c>
      <c r="K842" s="50">
        <f>K843</f>
        <v>24</v>
      </c>
    </row>
    <row r="843" spans="1:11" ht="63" x14ac:dyDescent="0.25">
      <c r="A843" s="215"/>
      <c r="B843" s="215"/>
      <c r="C843" s="223"/>
      <c r="D843" s="224"/>
      <c r="E843" s="224"/>
      <c r="F843" s="225"/>
      <c r="G843" s="215"/>
      <c r="H843" s="57" t="s">
        <v>168</v>
      </c>
      <c r="I843" s="50">
        <f>D842*K843</f>
        <v>80959.199999999997</v>
      </c>
      <c r="J843" s="50">
        <f>I843/D842</f>
        <v>24</v>
      </c>
      <c r="K843" s="50">
        <f>22+2</f>
        <v>24</v>
      </c>
    </row>
    <row r="844" spans="1:11" ht="15.75" customHeight="1" x14ac:dyDescent="0.25">
      <c r="A844" s="215">
        <f>A842+1</f>
        <v>118</v>
      </c>
      <c r="B844" s="215">
        <v>2414</v>
      </c>
      <c r="C844" s="223" t="s">
        <v>551</v>
      </c>
      <c r="D844" s="224">
        <v>3168.9</v>
      </c>
      <c r="E844" s="224" t="s">
        <v>68</v>
      </c>
      <c r="F844" s="225">
        <v>5</v>
      </c>
      <c r="G844" s="215" t="s">
        <v>74</v>
      </c>
      <c r="H844" s="57" t="s">
        <v>66</v>
      </c>
      <c r="I844" s="50">
        <f>I845</f>
        <v>148938.29999999999</v>
      </c>
      <c r="J844" s="50">
        <f t="shared" ref="J844:K844" si="30">J845</f>
        <v>47</v>
      </c>
      <c r="K844" s="50">
        <f t="shared" si="30"/>
        <v>47</v>
      </c>
    </row>
    <row r="845" spans="1:11" ht="63" x14ac:dyDescent="0.25">
      <c r="A845" s="215"/>
      <c r="B845" s="215"/>
      <c r="C845" s="223"/>
      <c r="D845" s="224"/>
      <c r="E845" s="224"/>
      <c r="F845" s="225"/>
      <c r="G845" s="215"/>
      <c r="H845" s="57" t="s">
        <v>168</v>
      </c>
      <c r="I845" s="50">
        <f>D844*K845</f>
        <v>148938.29999999999</v>
      </c>
      <c r="J845" s="50">
        <f>I845/D844</f>
        <v>47</v>
      </c>
      <c r="K845" s="50">
        <f>34+13</f>
        <v>47</v>
      </c>
    </row>
    <row r="846" spans="1:11" ht="15.75" customHeight="1" x14ac:dyDescent="0.25">
      <c r="A846" s="215">
        <f>A844+1</f>
        <v>119</v>
      </c>
      <c r="B846" s="215">
        <v>2415</v>
      </c>
      <c r="C846" s="223" t="s">
        <v>552</v>
      </c>
      <c r="D846" s="224">
        <v>3213</v>
      </c>
      <c r="E846" s="224" t="s">
        <v>68</v>
      </c>
      <c r="F846" s="225">
        <v>5</v>
      </c>
      <c r="G846" s="215" t="s">
        <v>74</v>
      </c>
      <c r="H846" s="57" t="s">
        <v>66</v>
      </c>
      <c r="I846" s="50">
        <f>I847+I848+I849</f>
        <v>958007.13</v>
      </c>
      <c r="J846" s="50">
        <f>J847+J848+J849</f>
        <v>298.17</v>
      </c>
      <c r="K846" s="50">
        <f>K847+K848+K849</f>
        <v>409</v>
      </c>
    </row>
    <row r="847" spans="1:11" ht="63" x14ac:dyDescent="0.25">
      <c r="A847" s="215"/>
      <c r="B847" s="215"/>
      <c r="C847" s="223"/>
      <c r="D847" s="224"/>
      <c r="E847" s="224"/>
      <c r="F847" s="225"/>
      <c r="G847" s="215"/>
      <c r="H847" s="57" t="s">
        <v>168</v>
      </c>
      <c r="I847" s="50">
        <v>121962</v>
      </c>
      <c r="J847" s="50">
        <f>I847/D846</f>
        <v>37.96</v>
      </c>
      <c r="K847" s="50">
        <f>34+13</f>
        <v>47</v>
      </c>
    </row>
    <row r="848" spans="1:11" x14ac:dyDescent="0.25">
      <c r="A848" s="215"/>
      <c r="B848" s="215"/>
      <c r="C848" s="223"/>
      <c r="D848" s="224"/>
      <c r="E848" s="224"/>
      <c r="F848" s="225"/>
      <c r="G848" s="215"/>
      <c r="H848" s="57" t="s">
        <v>67</v>
      </c>
      <c r="I848" s="50">
        <v>818528.62</v>
      </c>
      <c r="J848" s="50">
        <f>I848/D846</f>
        <v>254.76</v>
      </c>
      <c r="K848" s="50">
        <v>354</v>
      </c>
    </row>
    <row r="849" spans="1:11" x14ac:dyDescent="0.25">
      <c r="A849" s="215"/>
      <c r="B849" s="215"/>
      <c r="C849" s="223"/>
      <c r="D849" s="224"/>
      <c r="E849" s="224"/>
      <c r="F849" s="225"/>
      <c r="G849" s="215"/>
      <c r="H849" s="57" t="s">
        <v>69</v>
      </c>
      <c r="I849" s="50">
        <f>I848*0.0214</f>
        <v>17516.509999999998</v>
      </c>
      <c r="J849" s="50">
        <f>I849/D846</f>
        <v>5.45</v>
      </c>
      <c r="K849" s="50">
        <v>8</v>
      </c>
    </row>
    <row r="850" spans="1:11" ht="15.75" customHeight="1" x14ac:dyDescent="0.25">
      <c r="A850" s="216">
        <f>A846+1</f>
        <v>120</v>
      </c>
      <c r="B850" s="216">
        <v>2245</v>
      </c>
      <c r="C850" s="218" t="s">
        <v>623</v>
      </c>
      <c r="D850" s="220">
        <v>7261.8</v>
      </c>
      <c r="E850" s="216" t="s">
        <v>64</v>
      </c>
      <c r="F850" s="216">
        <v>10</v>
      </c>
      <c r="G850" s="105"/>
      <c r="H850" s="57" t="s">
        <v>66</v>
      </c>
      <c r="I850" s="50">
        <f>I851+I852+I853</f>
        <v>96843</v>
      </c>
      <c r="J850" s="50">
        <f t="shared" ref="J850:K850" si="31">J851+J852+J853</f>
        <v>13.34</v>
      </c>
      <c r="K850" s="50">
        <f t="shared" si="31"/>
        <v>13.34</v>
      </c>
    </row>
    <row r="851" spans="1:11" ht="47.25" customHeight="1" x14ac:dyDescent="0.25">
      <c r="A851" s="217"/>
      <c r="B851" s="217"/>
      <c r="C851" s="219"/>
      <c r="D851" s="221"/>
      <c r="E851" s="217"/>
      <c r="F851" s="217"/>
      <c r="G851" s="102" t="s">
        <v>170</v>
      </c>
      <c r="H851" s="57" t="s">
        <v>168</v>
      </c>
      <c r="I851" s="50">
        <f>22681+9600</f>
        <v>32281</v>
      </c>
      <c r="J851" s="50">
        <f>I851/D850</f>
        <v>4.45</v>
      </c>
      <c r="K851" s="50">
        <f>32281/D850</f>
        <v>4.45</v>
      </c>
    </row>
    <row r="852" spans="1:11" ht="47.25" customHeight="1" x14ac:dyDescent="0.25">
      <c r="A852" s="217"/>
      <c r="B852" s="217"/>
      <c r="C852" s="219"/>
      <c r="D852" s="221"/>
      <c r="E852" s="217"/>
      <c r="F852" s="217"/>
      <c r="G852" s="102" t="s">
        <v>173</v>
      </c>
      <c r="H852" s="57" t="s">
        <v>168</v>
      </c>
      <c r="I852" s="50">
        <f>22681+9600</f>
        <v>32281</v>
      </c>
      <c r="J852" s="50">
        <f>I852/D850-0.01</f>
        <v>4.4400000000000004</v>
      </c>
      <c r="K852" s="50">
        <f>32281/D850-0.01</f>
        <v>4.4400000000000004</v>
      </c>
    </row>
    <row r="853" spans="1:11" ht="47.25" customHeight="1" x14ac:dyDescent="0.25">
      <c r="A853" s="217"/>
      <c r="B853" s="217"/>
      <c r="C853" s="219"/>
      <c r="D853" s="221"/>
      <c r="E853" s="217"/>
      <c r="F853" s="217"/>
      <c r="G853" s="102" t="s">
        <v>174</v>
      </c>
      <c r="H853" s="57" t="s">
        <v>168</v>
      </c>
      <c r="I853" s="50">
        <f>22681+9600</f>
        <v>32281</v>
      </c>
      <c r="J853" s="50">
        <f>I853/D850</f>
        <v>4.45</v>
      </c>
      <c r="K853" s="50">
        <f>32281/D850</f>
        <v>4.45</v>
      </c>
    </row>
    <row r="854" spans="1:11" x14ac:dyDescent="0.25">
      <c r="A854" s="215">
        <f>A850+1</f>
        <v>121</v>
      </c>
      <c r="B854" s="215">
        <v>2276</v>
      </c>
      <c r="C854" s="223" t="s">
        <v>567</v>
      </c>
      <c r="D854" s="224">
        <v>3594.95</v>
      </c>
      <c r="E854" s="224" t="s">
        <v>64</v>
      </c>
      <c r="F854" s="225">
        <v>5</v>
      </c>
      <c r="G854" s="215" t="s">
        <v>74</v>
      </c>
      <c r="H854" s="57" t="s">
        <v>66</v>
      </c>
      <c r="I854" s="50">
        <f>I855+I856+I857</f>
        <v>974606.84</v>
      </c>
      <c r="J854" s="50">
        <f>J855+J856+J857</f>
        <v>271.10000000000002</v>
      </c>
      <c r="K854" s="50">
        <f>K855+K856+K857</f>
        <v>431</v>
      </c>
    </row>
    <row r="855" spans="1:11" ht="63" x14ac:dyDescent="0.25">
      <c r="A855" s="215"/>
      <c r="B855" s="215"/>
      <c r="C855" s="223"/>
      <c r="D855" s="224"/>
      <c r="E855" s="224"/>
      <c r="F855" s="225"/>
      <c r="G855" s="215"/>
      <c r="H855" s="57" t="s">
        <v>168</v>
      </c>
      <c r="I855" s="50">
        <f>D854*K855</f>
        <v>86278.8</v>
      </c>
      <c r="J855" s="50">
        <f>I855/D854</f>
        <v>24</v>
      </c>
      <c r="K855" s="50">
        <f>22+2</f>
        <v>24</v>
      </c>
    </row>
    <row r="856" spans="1:11" x14ac:dyDescent="0.25">
      <c r="A856" s="215"/>
      <c r="B856" s="215"/>
      <c r="C856" s="223"/>
      <c r="D856" s="224"/>
      <c r="E856" s="224"/>
      <c r="F856" s="225"/>
      <c r="G856" s="215"/>
      <c r="H856" s="57" t="s">
        <v>67</v>
      </c>
      <c r="I856" s="50">
        <v>869716.12</v>
      </c>
      <c r="J856" s="50">
        <f>I856/D854-0.01</f>
        <v>241.92</v>
      </c>
      <c r="K856" s="50">
        <v>398</v>
      </c>
    </row>
    <row r="857" spans="1:11" x14ac:dyDescent="0.25">
      <c r="A857" s="215"/>
      <c r="B857" s="215"/>
      <c r="C857" s="223"/>
      <c r="D857" s="224"/>
      <c r="E857" s="224"/>
      <c r="F857" s="225"/>
      <c r="G857" s="215"/>
      <c r="H857" s="57" t="s">
        <v>69</v>
      </c>
      <c r="I857" s="50">
        <f>I856*0.0214</f>
        <v>18611.919999999998</v>
      </c>
      <c r="J857" s="50">
        <f>I857/D854</f>
        <v>5.18</v>
      </c>
      <c r="K857" s="50">
        <v>9</v>
      </c>
    </row>
    <row r="858" spans="1:11" x14ac:dyDescent="0.25">
      <c r="A858" s="215">
        <f>A854+1</f>
        <v>122</v>
      </c>
      <c r="B858" s="215">
        <v>2436</v>
      </c>
      <c r="C858" s="223" t="s">
        <v>366</v>
      </c>
      <c r="D858" s="224">
        <v>2593.5</v>
      </c>
      <c r="E858" s="224" t="s">
        <v>64</v>
      </c>
      <c r="F858" s="225">
        <v>5</v>
      </c>
      <c r="G858" s="215" t="s">
        <v>74</v>
      </c>
      <c r="H858" s="57" t="s">
        <v>66</v>
      </c>
      <c r="I858" s="50">
        <f>I859+I860+I861</f>
        <v>726966.73</v>
      </c>
      <c r="J858" s="50">
        <f>J859+J860+J861</f>
        <v>280.3</v>
      </c>
      <c r="K858" s="50">
        <f>K859+K860+K861</f>
        <v>409</v>
      </c>
    </row>
    <row r="859" spans="1:11" ht="63" x14ac:dyDescent="0.25">
      <c r="A859" s="215"/>
      <c r="B859" s="215"/>
      <c r="C859" s="223"/>
      <c r="D859" s="224"/>
      <c r="E859" s="224"/>
      <c r="F859" s="225"/>
      <c r="G859" s="215"/>
      <c r="H859" s="57" t="s">
        <v>168</v>
      </c>
      <c r="I859" s="50">
        <v>95859</v>
      </c>
      <c r="J859" s="50">
        <f>I859/D858</f>
        <v>36.96</v>
      </c>
      <c r="K859" s="50">
        <f>34+13</f>
        <v>47</v>
      </c>
    </row>
    <row r="860" spans="1:11" x14ac:dyDescent="0.25">
      <c r="A860" s="215"/>
      <c r="B860" s="215"/>
      <c r="C860" s="223"/>
      <c r="D860" s="224"/>
      <c r="E860" s="224"/>
      <c r="F860" s="225"/>
      <c r="G860" s="215"/>
      <c r="H860" s="57" t="s">
        <v>67</v>
      </c>
      <c r="I860" s="50">
        <v>617884.99</v>
      </c>
      <c r="J860" s="50">
        <f>I860/D858</f>
        <v>238.24</v>
      </c>
      <c r="K860" s="50">
        <v>354</v>
      </c>
    </row>
    <row r="861" spans="1:11" x14ac:dyDescent="0.25">
      <c r="A861" s="215"/>
      <c r="B861" s="215"/>
      <c r="C861" s="223"/>
      <c r="D861" s="224"/>
      <c r="E861" s="224"/>
      <c r="F861" s="225"/>
      <c r="G861" s="215"/>
      <c r="H861" s="57" t="s">
        <v>69</v>
      </c>
      <c r="I861" s="50">
        <f>I860*0.0214</f>
        <v>13222.74</v>
      </c>
      <c r="J861" s="50">
        <f>I861/D858</f>
        <v>5.0999999999999996</v>
      </c>
      <c r="K861" s="50">
        <v>8</v>
      </c>
    </row>
    <row r="862" spans="1:11" ht="15.75" customHeight="1" x14ac:dyDescent="0.25">
      <c r="A862" s="216">
        <f>A858+1</f>
        <v>123</v>
      </c>
      <c r="B862" s="216">
        <v>2289</v>
      </c>
      <c r="C862" s="218" t="s">
        <v>624</v>
      </c>
      <c r="D862" s="220">
        <v>3975.9</v>
      </c>
      <c r="E862" s="216" t="s">
        <v>68</v>
      </c>
      <c r="F862" s="216">
        <v>9</v>
      </c>
      <c r="G862" s="105"/>
      <c r="H862" s="57" t="s">
        <v>66</v>
      </c>
      <c r="I862" s="50">
        <f>I863+I864</f>
        <v>64562</v>
      </c>
      <c r="J862" s="50">
        <f t="shared" ref="J862:K862" si="32">J863+J864</f>
        <v>16.239999999999998</v>
      </c>
      <c r="K862" s="50">
        <f t="shared" si="32"/>
        <v>16.239999999999998</v>
      </c>
    </row>
    <row r="863" spans="1:11" ht="47.25" customHeight="1" x14ac:dyDescent="0.25">
      <c r="A863" s="217"/>
      <c r="B863" s="217"/>
      <c r="C863" s="219"/>
      <c r="D863" s="221"/>
      <c r="E863" s="217"/>
      <c r="F863" s="217"/>
      <c r="G863" s="102" t="s">
        <v>170</v>
      </c>
      <c r="H863" s="57" t="s">
        <v>168</v>
      </c>
      <c r="I863" s="50">
        <f>22681+9600</f>
        <v>32281</v>
      </c>
      <c r="J863" s="50">
        <f>I863/D862</f>
        <v>8.1199999999999992</v>
      </c>
      <c r="K863" s="50">
        <f>32281/D862</f>
        <v>8.1199999999999992</v>
      </c>
    </row>
    <row r="864" spans="1:11" ht="47.25" customHeight="1" x14ac:dyDescent="0.25">
      <c r="A864" s="217"/>
      <c r="B864" s="217"/>
      <c r="C864" s="219"/>
      <c r="D864" s="221"/>
      <c r="E864" s="217"/>
      <c r="F864" s="217"/>
      <c r="G864" s="102" t="s">
        <v>173</v>
      </c>
      <c r="H864" s="57" t="s">
        <v>168</v>
      </c>
      <c r="I864" s="50">
        <f>22681+9600</f>
        <v>32281</v>
      </c>
      <c r="J864" s="50">
        <f>I864/D862</f>
        <v>8.1199999999999992</v>
      </c>
      <c r="K864" s="50">
        <f>32281/D862</f>
        <v>8.1199999999999992</v>
      </c>
    </row>
    <row r="865" spans="1:11" ht="15.75" customHeight="1" x14ac:dyDescent="0.25">
      <c r="A865" s="216">
        <f>A862+1</f>
        <v>124</v>
      </c>
      <c r="B865" s="216">
        <v>2163</v>
      </c>
      <c r="C865" s="218" t="s">
        <v>221</v>
      </c>
      <c r="D865" s="220">
        <v>13205.4</v>
      </c>
      <c r="E865" s="216" t="s">
        <v>68</v>
      </c>
      <c r="F865" s="216">
        <v>10</v>
      </c>
      <c r="G865" s="105"/>
      <c r="H865" s="57" t="s">
        <v>66</v>
      </c>
      <c r="I865" s="50">
        <f>I866+I867</f>
        <v>64562</v>
      </c>
      <c r="J865" s="50">
        <f t="shared" ref="J865:K865" si="33">J866+J867</f>
        <v>4.8899999999999997</v>
      </c>
      <c r="K865" s="50">
        <f t="shared" si="33"/>
        <v>4.8899999999999997</v>
      </c>
    </row>
    <row r="866" spans="1:11" ht="47.25" customHeight="1" x14ac:dyDescent="0.25">
      <c r="A866" s="217"/>
      <c r="B866" s="217"/>
      <c r="C866" s="219"/>
      <c r="D866" s="221"/>
      <c r="E866" s="217"/>
      <c r="F866" s="217"/>
      <c r="G866" s="102" t="s">
        <v>174</v>
      </c>
      <c r="H866" s="57" t="s">
        <v>168</v>
      </c>
      <c r="I866" s="50">
        <f>22681+9600</f>
        <v>32281</v>
      </c>
      <c r="J866" s="50">
        <f>I866/D865+0.01</f>
        <v>2.4500000000000002</v>
      </c>
      <c r="K866" s="50">
        <f>32281/D865+0.01</f>
        <v>2.4500000000000002</v>
      </c>
    </row>
    <row r="867" spans="1:11" ht="47.25" customHeight="1" x14ac:dyDescent="0.25">
      <c r="A867" s="217"/>
      <c r="B867" s="217"/>
      <c r="C867" s="219"/>
      <c r="D867" s="221"/>
      <c r="E867" s="217"/>
      <c r="F867" s="217"/>
      <c r="G867" s="102" t="s">
        <v>175</v>
      </c>
      <c r="H867" s="57" t="s">
        <v>168</v>
      </c>
      <c r="I867" s="50">
        <f>22681+9600</f>
        <v>32281</v>
      </c>
      <c r="J867" s="50">
        <f>I867/D865</f>
        <v>2.44</v>
      </c>
      <c r="K867" s="50">
        <f>32281/D865</f>
        <v>2.44</v>
      </c>
    </row>
    <row r="868" spans="1:11" ht="15.75" customHeight="1" x14ac:dyDescent="0.25">
      <c r="A868" s="216">
        <f>A865+1</f>
        <v>125</v>
      </c>
      <c r="B868" s="216">
        <v>2297</v>
      </c>
      <c r="C868" s="218" t="s">
        <v>625</v>
      </c>
      <c r="D868" s="220">
        <v>6000.5</v>
      </c>
      <c r="E868" s="216" t="s">
        <v>68</v>
      </c>
      <c r="F868" s="216">
        <v>8</v>
      </c>
      <c r="G868" s="105"/>
      <c r="H868" s="57" t="s">
        <v>66</v>
      </c>
      <c r="I868" s="50">
        <f>I869+I870</f>
        <v>64562</v>
      </c>
      <c r="J868" s="50">
        <f t="shared" ref="J868:K868" si="34">J869+J870</f>
        <v>10.76</v>
      </c>
      <c r="K868" s="50">
        <f t="shared" si="34"/>
        <v>10.76</v>
      </c>
    </row>
    <row r="869" spans="1:11" ht="47.25" customHeight="1" x14ac:dyDescent="0.25">
      <c r="A869" s="217"/>
      <c r="B869" s="217"/>
      <c r="C869" s="219"/>
      <c r="D869" s="221"/>
      <c r="E869" s="217"/>
      <c r="F869" s="217"/>
      <c r="G869" s="102" t="s">
        <v>170</v>
      </c>
      <c r="H869" s="57" t="s">
        <v>168</v>
      </c>
      <c r="I869" s="50">
        <f>22681+9600</f>
        <v>32281</v>
      </c>
      <c r="J869" s="50">
        <f>I869/D868</f>
        <v>5.38</v>
      </c>
      <c r="K869" s="50">
        <f>32281/D868</f>
        <v>5.38</v>
      </c>
    </row>
    <row r="870" spans="1:11" ht="47.25" customHeight="1" x14ac:dyDescent="0.25">
      <c r="A870" s="217"/>
      <c r="B870" s="217"/>
      <c r="C870" s="219"/>
      <c r="D870" s="221"/>
      <c r="E870" s="217"/>
      <c r="F870" s="217"/>
      <c r="G870" s="102" t="s">
        <v>173</v>
      </c>
      <c r="H870" s="57" t="s">
        <v>168</v>
      </c>
      <c r="I870" s="50">
        <f>22681+9600</f>
        <v>32281</v>
      </c>
      <c r="J870" s="50">
        <f>I870/D868</f>
        <v>5.38</v>
      </c>
      <c r="K870" s="50">
        <f>32281/D868</f>
        <v>5.38</v>
      </c>
    </row>
    <row r="871" spans="1:11" x14ac:dyDescent="0.25">
      <c r="A871" s="215">
        <f>A868+1</f>
        <v>126</v>
      </c>
      <c r="B871" s="215">
        <v>2455</v>
      </c>
      <c r="C871" s="223" t="s">
        <v>154</v>
      </c>
      <c r="D871" s="224">
        <v>2624.5</v>
      </c>
      <c r="E871" s="224" t="s">
        <v>64</v>
      </c>
      <c r="F871" s="225">
        <v>5</v>
      </c>
      <c r="G871" s="215" t="s">
        <v>65</v>
      </c>
      <c r="H871" s="57" t="s">
        <v>66</v>
      </c>
      <c r="I871" s="50">
        <f>I872+I873</f>
        <v>6962753.7300000004</v>
      </c>
      <c r="J871" s="50">
        <f>J872+J873</f>
        <v>2652.98</v>
      </c>
      <c r="K871" s="50">
        <f>K872+K873</f>
        <v>3878</v>
      </c>
    </row>
    <row r="872" spans="1:11" ht="15.75" customHeight="1" x14ac:dyDescent="0.25">
      <c r="A872" s="215">
        <v>75</v>
      </c>
      <c r="B872" s="215"/>
      <c r="C872" s="223"/>
      <c r="D872" s="224"/>
      <c r="E872" s="224"/>
      <c r="F872" s="225"/>
      <c r="G872" s="215"/>
      <c r="H872" s="57" t="s">
        <v>67</v>
      </c>
      <c r="I872" s="50">
        <v>6816872.6600000001</v>
      </c>
      <c r="J872" s="50">
        <f>I872/D871</f>
        <v>2597.4</v>
      </c>
      <c r="K872" s="50">
        <v>3797</v>
      </c>
    </row>
    <row r="873" spans="1:11" x14ac:dyDescent="0.25">
      <c r="A873" s="215"/>
      <c r="B873" s="215"/>
      <c r="C873" s="223"/>
      <c r="D873" s="224"/>
      <c r="E873" s="224"/>
      <c r="F873" s="225"/>
      <c r="G873" s="215"/>
      <c r="H873" s="57" t="s">
        <v>69</v>
      </c>
      <c r="I873" s="50">
        <v>145881.07</v>
      </c>
      <c r="J873" s="50">
        <f>I873/D871</f>
        <v>55.58</v>
      </c>
      <c r="K873" s="50">
        <v>81</v>
      </c>
    </row>
    <row r="874" spans="1:11" x14ac:dyDescent="0.25">
      <c r="A874" s="215">
        <f>A871+1</f>
        <v>127</v>
      </c>
      <c r="B874" s="215">
        <v>2457</v>
      </c>
      <c r="C874" s="223" t="s">
        <v>155</v>
      </c>
      <c r="D874" s="224">
        <v>3930</v>
      </c>
      <c r="E874" s="224" t="s">
        <v>64</v>
      </c>
      <c r="F874" s="225">
        <v>5</v>
      </c>
      <c r="G874" s="215" t="s">
        <v>65</v>
      </c>
      <c r="H874" s="57" t="s">
        <v>66</v>
      </c>
      <c r="I874" s="50">
        <f>I875+I876</f>
        <v>11223977.34</v>
      </c>
      <c r="J874" s="50">
        <f>J875+J876</f>
        <v>2855.97</v>
      </c>
      <c r="K874" s="50">
        <f>K875+K876</f>
        <v>3878</v>
      </c>
    </row>
    <row r="875" spans="1:11" ht="15.75" customHeight="1" x14ac:dyDescent="0.25">
      <c r="A875" s="215">
        <v>75</v>
      </c>
      <c r="B875" s="215"/>
      <c r="C875" s="223"/>
      <c r="D875" s="224"/>
      <c r="E875" s="224"/>
      <c r="F875" s="225"/>
      <c r="G875" s="215"/>
      <c r="H875" s="57" t="s">
        <v>67</v>
      </c>
      <c r="I875" s="50">
        <v>10988816.66</v>
      </c>
      <c r="J875" s="50">
        <f>I875/D874-0.01</f>
        <v>2796.13</v>
      </c>
      <c r="K875" s="50">
        <v>3797</v>
      </c>
    </row>
    <row r="876" spans="1:11" x14ac:dyDescent="0.25">
      <c r="A876" s="215"/>
      <c r="B876" s="215"/>
      <c r="C876" s="223"/>
      <c r="D876" s="224"/>
      <c r="E876" s="224"/>
      <c r="F876" s="225"/>
      <c r="G876" s="215"/>
      <c r="H876" s="57" t="s">
        <v>69</v>
      </c>
      <c r="I876" s="50">
        <v>235160.68</v>
      </c>
      <c r="J876" s="50">
        <f>I876/D874</f>
        <v>59.84</v>
      </c>
      <c r="K876" s="50">
        <v>81</v>
      </c>
    </row>
    <row r="877" spans="1:11" ht="15.75" customHeight="1" x14ac:dyDescent="0.25">
      <c r="A877" s="216">
        <f>A874+1</f>
        <v>128</v>
      </c>
      <c r="B877" s="216">
        <v>2309</v>
      </c>
      <c r="C877" s="218" t="s">
        <v>626</v>
      </c>
      <c r="D877" s="220">
        <v>8987.4</v>
      </c>
      <c r="E877" s="216" t="s">
        <v>64</v>
      </c>
      <c r="F877" s="216">
        <v>10</v>
      </c>
      <c r="G877" s="105"/>
      <c r="H877" s="57" t="s">
        <v>66</v>
      </c>
      <c r="I877" s="50">
        <f>I878+I879+I880+I881+I882+I883+I884+I885+I886</f>
        <v>6950982.6900000004</v>
      </c>
      <c r="J877" s="50">
        <f>J878+J879+J880+J881+J882+J883+J884+J885+J886</f>
        <v>773.41</v>
      </c>
      <c r="K877" s="50">
        <f>K878+K879+K880+K881+K882+K883+K884+K885+K886</f>
        <v>775.05</v>
      </c>
    </row>
    <row r="878" spans="1:11" ht="47.25" customHeight="1" x14ac:dyDescent="0.25">
      <c r="A878" s="217"/>
      <c r="B878" s="217"/>
      <c r="C878" s="219"/>
      <c r="D878" s="221"/>
      <c r="E878" s="217"/>
      <c r="F878" s="217"/>
      <c r="G878" s="216" t="s">
        <v>170</v>
      </c>
      <c r="H878" s="57" t="s">
        <v>168</v>
      </c>
      <c r="I878" s="50">
        <f>22681+9600</f>
        <v>32281</v>
      </c>
      <c r="J878" s="50">
        <f>I878/D877</f>
        <v>3.59</v>
      </c>
      <c r="K878" s="50">
        <f>32281/D877</f>
        <v>3.59</v>
      </c>
    </row>
    <row r="879" spans="1:11" ht="15.75" customHeight="1" x14ac:dyDescent="0.25">
      <c r="A879" s="217"/>
      <c r="B879" s="217"/>
      <c r="C879" s="219"/>
      <c r="D879" s="221"/>
      <c r="E879" s="217"/>
      <c r="F879" s="217"/>
      <c r="G879" s="217"/>
      <c r="H879" s="57" t="s">
        <v>171</v>
      </c>
      <c r="I879" s="50">
        <f>2236844.75</f>
        <v>2236844.75</v>
      </c>
      <c r="J879" s="50">
        <f>I879/D877-0.01</f>
        <v>248.88</v>
      </c>
      <c r="K879" s="50">
        <f>2241647/D877</f>
        <v>249.42</v>
      </c>
    </row>
    <row r="880" spans="1:11" ht="15.75" customHeight="1" x14ac:dyDescent="0.25">
      <c r="A880" s="217"/>
      <c r="B880" s="217"/>
      <c r="C880" s="219"/>
      <c r="D880" s="221"/>
      <c r="E880" s="217"/>
      <c r="F880" s="217"/>
      <c r="G880" s="222"/>
      <c r="H880" s="57" t="s">
        <v>69</v>
      </c>
      <c r="I880" s="50">
        <f>I879*0.0214</f>
        <v>47868.480000000003</v>
      </c>
      <c r="J880" s="50">
        <f>I880/D877</f>
        <v>5.33</v>
      </c>
      <c r="K880" s="50">
        <f>47971/D877</f>
        <v>5.34</v>
      </c>
    </row>
    <row r="881" spans="1:11" ht="47.25" customHeight="1" x14ac:dyDescent="0.25">
      <c r="A881" s="217"/>
      <c r="B881" s="217"/>
      <c r="C881" s="219"/>
      <c r="D881" s="221"/>
      <c r="E881" s="217"/>
      <c r="F881" s="217"/>
      <c r="G881" s="216" t="s">
        <v>174</v>
      </c>
      <c r="H881" s="57" t="s">
        <v>168</v>
      </c>
      <c r="I881" s="50">
        <f>22681+9600</f>
        <v>32281</v>
      </c>
      <c r="J881" s="50">
        <f>I881/D877</f>
        <v>3.59</v>
      </c>
      <c r="K881" s="50">
        <f>32281/D877</f>
        <v>3.59</v>
      </c>
    </row>
    <row r="882" spans="1:11" ht="15.75" customHeight="1" x14ac:dyDescent="0.25">
      <c r="A882" s="217"/>
      <c r="B882" s="217"/>
      <c r="C882" s="219"/>
      <c r="D882" s="221"/>
      <c r="E882" s="217"/>
      <c r="F882" s="217"/>
      <c r="G882" s="217"/>
      <c r="H882" s="57" t="s">
        <v>171</v>
      </c>
      <c r="I882" s="50">
        <f>2236844.75</f>
        <v>2236844.75</v>
      </c>
      <c r="J882" s="50">
        <f>I882/D877</f>
        <v>248.89</v>
      </c>
      <c r="K882" s="50">
        <f>2241647/D877</f>
        <v>249.42</v>
      </c>
    </row>
    <row r="883" spans="1:11" ht="15.75" customHeight="1" x14ac:dyDescent="0.25">
      <c r="A883" s="217"/>
      <c r="B883" s="217"/>
      <c r="C883" s="219"/>
      <c r="D883" s="221"/>
      <c r="E883" s="217"/>
      <c r="F883" s="217"/>
      <c r="G883" s="222"/>
      <c r="H883" s="57" t="s">
        <v>69</v>
      </c>
      <c r="I883" s="50">
        <f>I882*0.0214</f>
        <v>47868.480000000003</v>
      </c>
      <c r="J883" s="50">
        <f>I883/D877</f>
        <v>5.33</v>
      </c>
      <c r="K883" s="50">
        <f>47971/D877</f>
        <v>5.34</v>
      </c>
    </row>
    <row r="884" spans="1:11" ht="47.25" customHeight="1" x14ac:dyDescent="0.25">
      <c r="A884" s="217"/>
      <c r="B884" s="217"/>
      <c r="C884" s="219"/>
      <c r="D884" s="221"/>
      <c r="E884" s="217"/>
      <c r="F884" s="217"/>
      <c r="G884" s="216" t="s">
        <v>175</v>
      </c>
      <c r="H884" s="57" t="s">
        <v>168</v>
      </c>
      <c r="I884" s="50">
        <f>22681+9600</f>
        <v>32281</v>
      </c>
      <c r="J884" s="50">
        <f>I884/D877</f>
        <v>3.59</v>
      </c>
      <c r="K884" s="50">
        <f>32281/D877</f>
        <v>3.59</v>
      </c>
    </row>
    <row r="885" spans="1:11" ht="15.75" customHeight="1" x14ac:dyDescent="0.25">
      <c r="A885" s="217"/>
      <c r="B885" s="217"/>
      <c r="C885" s="219"/>
      <c r="D885" s="221"/>
      <c r="E885" s="217"/>
      <c r="F885" s="217"/>
      <c r="G885" s="217"/>
      <c r="H885" s="57" t="s">
        <v>171</v>
      </c>
      <c r="I885" s="50">
        <f>2236844.75</f>
        <v>2236844.75</v>
      </c>
      <c r="J885" s="50">
        <f>I885/D877-0.01</f>
        <v>248.88</v>
      </c>
      <c r="K885" s="50">
        <f>2241647/D877</f>
        <v>249.42</v>
      </c>
    </row>
    <row r="886" spans="1:11" ht="15.75" customHeight="1" x14ac:dyDescent="0.25">
      <c r="A886" s="217"/>
      <c r="B886" s="217"/>
      <c r="C886" s="219"/>
      <c r="D886" s="221"/>
      <c r="E886" s="217"/>
      <c r="F886" s="217"/>
      <c r="G886" s="222"/>
      <c r="H886" s="57" t="s">
        <v>69</v>
      </c>
      <c r="I886" s="50">
        <f>I885*0.0214</f>
        <v>47868.480000000003</v>
      </c>
      <c r="J886" s="50">
        <f>I886/D877</f>
        <v>5.33</v>
      </c>
      <c r="K886" s="50">
        <f>47971/D877</f>
        <v>5.34</v>
      </c>
    </row>
    <row r="887" spans="1:11" x14ac:dyDescent="0.25">
      <c r="A887" s="215">
        <f>A877+1</f>
        <v>129</v>
      </c>
      <c r="B887" s="215">
        <v>2983</v>
      </c>
      <c r="C887" s="223" t="s">
        <v>560</v>
      </c>
      <c r="D887" s="224">
        <v>933.8</v>
      </c>
      <c r="E887" s="224" t="s">
        <v>68</v>
      </c>
      <c r="F887" s="225">
        <v>3</v>
      </c>
      <c r="G887" s="215" t="s">
        <v>74</v>
      </c>
      <c r="H887" s="57" t="s">
        <v>66</v>
      </c>
      <c r="I887" s="50">
        <f>I888</f>
        <v>68167.399999999994</v>
      </c>
      <c r="J887" s="50">
        <f>J888</f>
        <v>73</v>
      </c>
      <c r="K887" s="50">
        <f>K888</f>
        <v>73</v>
      </c>
    </row>
    <row r="888" spans="1:11" ht="63" x14ac:dyDescent="0.25">
      <c r="A888" s="215"/>
      <c r="B888" s="215"/>
      <c r="C888" s="223"/>
      <c r="D888" s="224"/>
      <c r="E888" s="224"/>
      <c r="F888" s="225"/>
      <c r="G888" s="215"/>
      <c r="H888" s="57" t="s">
        <v>168</v>
      </c>
      <c r="I888" s="50">
        <f>D887*K888</f>
        <v>68167.399999999994</v>
      </c>
      <c r="J888" s="50">
        <f>I888/D887</f>
        <v>73</v>
      </c>
      <c r="K888" s="50">
        <f>60+13</f>
        <v>73</v>
      </c>
    </row>
    <row r="889" spans="1:11" ht="15.75" customHeight="1" x14ac:dyDescent="0.25">
      <c r="A889" s="216">
        <f>A887+1</f>
        <v>130</v>
      </c>
      <c r="B889" s="216">
        <v>2374</v>
      </c>
      <c r="C889" s="218" t="s">
        <v>627</v>
      </c>
      <c r="D889" s="220">
        <v>16028.7</v>
      </c>
      <c r="E889" s="216" t="s">
        <v>64</v>
      </c>
      <c r="F889" s="216">
        <v>10</v>
      </c>
      <c r="G889" s="105"/>
      <c r="H889" s="57" t="s">
        <v>66</v>
      </c>
      <c r="I889" s="50">
        <f>I890+I891+I892+I893+I894+I895+I896</f>
        <v>225967</v>
      </c>
      <c r="J889" s="50">
        <f>J890+J891+J892+J893+J894+J895+J896</f>
        <v>14.1</v>
      </c>
      <c r="K889" s="50">
        <f>K890+K891+K892+K893+K894+K895+K896</f>
        <v>14.1</v>
      </c>
    </row>
    <row r="890" spans="1:11" ht="47.25" customHeight="1" x14ac:dyDescent="0.25">
      <c r="A890" s="217"/>
      <c r="B890" s="217"/>
      <c r="C890" s="219"/>
      <c r="D890" s="221"/>
      <c r="E890" s="217"/>
      <c r="F890" s="217"/>
      <c r="G890" s="102" t="s">
        <v>170</v>
      </c>
      <c r="H890" s="57" t="s">
        <v>168</v>
      </c>
      <c r="I890" s="50">
        <f t="shared" ref="I890:I896" si="35">22681+9600</f>
        <v>32281</v>
      </c>
      <c r="J890" s="50">
        <f>I890/D889</f>
        <v>2.0099999999999998</v>
      </c>
      <c r="K890" s="50">
        <f>32281/D889</f>
        <v>2.0099999999999998</v>
      </c>
    </row>
    <row r="891" spans="1:11" ht="47.25" customHeight="1" x14ac:dyDescent="0.25">
      <c r="A891" s="217"/>
      <c r="B891" s="217"/>
      <c r="C891" s="219"/>
      <c r="D891" s="221"/>
      <c r="E891" s="217"/>
      <c r="F891" s="217"/>
      <c r="G891" s="102" t="s">
        <v>173</v>
      </c>
      <c r="H891" s="57" t="s">
        <v>168</v>
      </c>
      <c r="I891" s="50">
        <f t="shared" si="35"/>
        <v>32281</v>
      </c>
      <c r="J891" s="50">
        <f>I891/D889+0.01</f>
        <v>2.02</v>
      </c>
      <c r="K891" s="50">
        <f>32281/D889+0.01</f>
        <v>2.02</v>
      </c>
    </row>
    <row r="892" spans="1:11" ht="47.25" customHeight="1" x14ac:dyDescent="0.25">
      <c r="A892" s="217"/>
      <c r="B892" s="217"/>
      <c r="C892" s="219"/>
      <c r="D892" s="221"/>
      <c r="E892" s="217"/>
      <c r="F892" s="217"/>
      <c r="G892" s="102" t="s">
        <v>174</v>
      </c>
      <c r="H892" s="57" t="s">
        <v>168</v>
      </c>
      <c r="I892" s="50">
        <f t="shared" si="35"/>
        <v>32281</v>
      </c>
      <c r="J892" s="50">
        <f>I892/D889</f>
        <v>2.0099999999999998</v>
      </c>
      <c r="K892" s="50">
        <f>32281/D889</f>
        <v>2.0099999999999998</v>
      </c>
    </row>
    <row r="893" spans="1:11" ht="47.25" customHeight="1" x14ac:dyDescent="0.25">
      <c r="A893" s="217"/>
      <c r="B893" s="217"/>
      <c r="C893" s="219"/>
      <c r="D893" s="221"/>
      <c r="E893" s="217"/>
      <c r="F893" s="217"/>
      <c r="G893" s="102" t="s">
        <v>175</v>
      </c>
      <c r="H893" s="57" t="s">
        <v>168</v>
      </c>
      <c r="I893" s="50">
        <f t="shared" si="35"/>
        <v>32281</v>
      </c>
      <c r="J893" s="50">
        <f>I893/D889+0.01</f>
        <v>2.02</v>
      </c>
      <c r="K893" s="50">
        <f>32281/D889+0.01</f>
        <v>2.02</v>
      </c>
    </row>
    <row r="894" spans="1:11" ht="47.25" customHeight="1" x14ac:dyDescent="0.25">
      <c r="A894" s="217"/>
      <c r="B894" s="217"/>
      <c r="C894" s="219"/>
      <c r="D894" s="221"/>
      <c r="E894" s="217"/>
      <c r="F894" s="217"/>
      <c r="G894" s="102" t="s">
        <v>172</v>
      </c>
      <c r="H894" s="57" t="s">
        <v>168</v>
      </c>
      <c r="I894" s="50">
        <f t="shared" si="35"/>
        <v>32281</v>
      </c>
      <c r="J894" s="50">
        <f>I894/D889</f>
        <v>2.0099999999999998</v>
      </c>
      <c r="K894" s="50">
        <f>32281/D889</f>
        <v>2.0099999999999998</v>
      </c>
    </row>
    <row r="895" spans="1:11" ht="47.25" customHeight="1" x14ac:dyDescent="0.25">
      <c r="A895" s="217"/>
      <c r="B895" s="217"/>
      <c r="C895" s="219"/>
      <c r="D895" s="221"/>
      <c r="E895" s="217"/>
      <c r="F895" s="217"/>
      <c r="G895" s="102" t="s">
        <v>444</v>
      </c>
      <c r="H895" s="57" t="s">
        <v>168</v>
      </c>
      <c r="I895" s="50">
        <f t="shared" si="35"/>
        <v>32281</v>
      </c>
      <c r="J895" s="50">
        <f>I895/D889+0.01</f>
        <v>2.02</v>
      </c>
      <c r="K895" s="50">
        <f>32281/D889+0.01</f>
        <v>2.02</v>
      </c>
    </row>
    <row r="896" spans="1:11" ht="47.25" customHeight="1" x14ac:dyDescent="0.25">
      <c r="A896" s="217"/>
      <c r="B896" s="217"/>
      <c r="C896" s="219"/>
      <c r="D896" s="221"/>
      <c r="E896" s="217"/>
      <c r="F896" s="217"/>
      <c r="G896" s="102" t="s">
        <v>453</v>
      </c>
      <c r="H896" s="57" t="s">
        <v>168</v>
      </c>
      <c r="I896" s="50">
        <f t="shared" si="35"/>
        <v>32281</v>
      </c>
      <c r="J896" s="50">
        <f>I896/D889</f>
        <v>2.0099999999999998</v>
      </c>
      <c r="K896" s="50">
        <f>32281/D889</f>
        <v>2.0099999999999998</v>
      </c>
    </row>
    <row r="897" spans="1:11" ht="15.75" customHeight="1" x14ac:dyDescent="0.25">
      <c r="A897" s="216">
        <f>A889+1</f>
        <v>131</v>
      </c>
      <c r="B897" s="216">
        <v>2389</v>
      </c>
      <c r="C897" s="218" t="s">
        <v>628</v>
      </c>
      <c r="D897" s="220">
        <v>11256.89</v>
      </c>
      <c r="E897" s="216" t="s">
        <v>64</v>
      </c>
      <c r="F897" s="216">
        <v>10</v>
      </c>
      <c r="G897" s="105"/>
      <c r="H897" s="57" t="s">
        <v>66</v>
      </c>
      <c r="I897" s="50">
        <f>I898+I899+I900+I901+I902</f>
        <v>161405</v>
      </c>
      <c r="J897" s="50">
        <f>J898+J899+J900+J901+J902</f>
        <v>14.34</v>
      </c>
      <c r="K897" s="50">
        <f>K898+K899+K900+K901+K902</f>
        <v>14.34</v>
      </c>
    </row>
    <row r="898" spans="1:11" ht="47.25" customHeight="1" x14ac:dyDescent="0.25">
      <c r="A898" s="217"/>
      <c r="B898" s="217"/>
      <c r="C898" s="219"/>
      <c r="D898" s="221"/>
      <c r="E898" s="217"/>
      <c r="F898" s="217"/>
      <c r="G898" s="102" t="s">
        <v>170</v>
      </c>
      <c r="H898" s="57" t="s">
        <v>168</v>
      </c>
      <c r="I898" s="50">
        <f>22681+9600</f>
        <v>32281</v>
      </c>
      <c r="J898" s="50">
        <f>I898/D897</f>
        <v>2.87</v>
      </c>
      <c r="K898" s="50">
        <f>32281/D897</f>
        <v>2.87</v>
      </c>
    </row>
    <row r="899" spans="1:11" ht="47.25" customHeight="1" x14ac:dyDescent="0.25">
      <c r="A899" s="217"/>
      <c r="B899" s="217"/>
      <c r="C899" s="219"/>
      <c r="D899" s="221"/>
      <c r="E899" s="217"/>
      <c r="F899" s="217"/>
      <c r="G899" s="102" t="s">
        <v>173</v>
      </c>
      <c r="H899" s="57" t="s">
        <v>168</v>
      </c>
      <c r="I899" s="50">
        <f>22681+9600</f>
        <v>32281</v>
      </c>
      <c r="J899" s="50">
        <f>I899/D897-0.01</f>
        <v>2.86</v>
      </c>
      <c r="K899" s="50">
        <f>32281/D897-0.01</f>
        <v>2.86</v>
      </c>
    </row>
    <row r="900" spans="1:11" ht="47.25" customHeight="1" x14ac:dyDescent="0.25">
      <c r="A900" s="217"/>
      <c r="B900" s="217"/>
      <c r="C900" s="219"/>
      <c r="D900" s="221"/>
      <c r="E900" s="217"/>
      <c r="F900" s="217"/>
      <c r="G900" s="102" t="s">
        <v>174</v>
      </c>
      <c r="H900" s="57" t="s">
        <v>168</v>
      </c>
      <c r="I900" s="50">
        <f>22681+9600</f>
        <v>32281</v>
      </c>
      <c r="J900" s="50">
        <f>I900/D897</f>
        <v>2.87</v>
      </c>
      <c r="K900" s="50">
        <f>32281/D897</f>
        <v>2.87</v>
      </c>
    </row>
    <row r="901" spans="1:11" ht="47.25" customHeight="1" x14ac:dyDescent="0.25">
      <c r="A901" s="217"/>
      <c r="B901" s="217"/>
      <c r="C901" s="219"/>
      <c r="D901" s="221"/>
      <c r="E901" s="217"/>
      <c r="F901" s="217"/>
      <c r="G901" s="102" t="s">
        <v>175</v>
      </c>
      <c r="H901" s="57" t="s">
        <v>168</v>
      </c>
      <c r="I901" s="50">
        <f>22681+9600</f>
        <v>32281</v>
      </c>
      <c r="J901" s="50">
        <f>I901/D897</f>
        <v>2.87</v>
      </c>
      <c r="K901" s="50">
        <f>32281/D897</f>
        <v>2.87</v>
      </c>
    </row>
    <row r="902" spans="1:11" ht="47.25" customHeight="1" x14ac:dyDescent="0.25">
      <c r="A902" s="217"/>
      <c r="B902" s="217"/>
      <c r="C902" s="219"/>
      <c r="D902" s="221"/>
      <c r="E902" s="217"/>
      <c r="F902" s="217"/>
      <c r="G902" s="102" t="s">
        <v>172</v>
      </c>
      <c r="H902" s="57" t="s">
        <v>168</v>
      </c>
      <c r="I902" s="50">
        <f>22681+9600</f>
        <v>32281</v>
      </c>
      <c r="J902" s="50">
        <f>I902/D897</f>
        <v>2.87</v>
      </c>
      <c r="K902" s="50">
        <f>32281/D897</f>
        <v>2.87</v>
      </c>
    </row>
    <row r="903" spans="1:11" ht="15.75" customHeight="1" x14ac:dyDescent="0.25">
      <c r="A903" s="216">
        <f>A897+1</f>
        <v>132</v>
      </c>
      <c r="B903" s="216">
        <v>2392</v>
      </c>
      <c r="C903" s="218" t="s">
        <v>629</v>
      </c>
      <c r="D903" s="220">
        <v>14133.9</v>
      </c>
      <c r="E903" s="216" t="s">
        <v>64</v>
      </c>
      <c r="F903" s="216">
        <v>10</v>
      </c>
      <c r="G903" s="105"/>
      <c r="H903" s="57" t="s">
        <v>66</v>
      </c>
      <c r="I903" s="50">
        <f>I904+I905+I906+I907+I908+I909+I910+I911+I912+I913+I914</f>
        <v>355091</v>
      </c>
      <c r="J903" s="50">
        <f>J904+J905+J906+J907+J908+J909+J910+J911+J912+J913+J914</f>
        <v>25.12</v>
      </c>
      <c r="K903" s="50">
        <f>K904+K905+K906+K907+K908+K909+K910+K911+K912+K913+K914</f>
        <v>25.12</v>
      </c>
    </row>
    <row r="904" spans="1:11" ht="47.25" customHeight="1" x14ac:dyDescent="0.25">
      <c r="A904" s="217"/>
      <c r="B904" s="217"/>
      <c r="C904" s="219"/>
      <c r="D904" s="221"/>
      <c r="E904" s="217"/>
      <c r="F904" s="217"/>
      <c r="G904" s="102" t="s">
        <v>170</v>
      </c>
      <c r="H904" s="57" t="s">
        <v>168</v>
      </c>
      <c r="I904" s="50">
        <f t="shared" ref="I904:I914" si="36">22681+9600</f>
        <v>32281</v>
      </c>
      <c r="J904" s="50">
        <f>I904/D903</f>
        <v>2.2799999999999998</v>
      </c>
      <c r="K904" s="50">
        <f>32281/D903</f>
        <v>2.2799999999999998</v>
      </c>
    </row>
    <row r="905" spans="1:11" ht="47.25" customHeight="1" x14ac:dyDescent="0.25">
      <c r="A905" s="217"/>
      <c r="B905" s="217"/>
      <c r="C905" s="219"/>
      <c r="D905" s="221"/>
      <c r="E905" s="217"/>
      <c r="F905" s="217"/>
      <c r="G905" s="102" t="s">
        <v>173</v>
      </c>
      <c r="H905" s="57" t="s">
        <v>168</v>
      </c>
      <c r="I905" s="50">
        <f t="shared" si="36"/>
        <v>32281</v>
      </c>
      <c r="J905" s="50">
        <f>I905/D903+0.01</f>
        <v>2.29</v>
      </c>
      <c r="K905" s="50">
        <f>32281/D903+0.01</f>
        <v>2.29</v>
      </c>
    </row>
    <row r="906" spans="1:11" ht="47.25" customHeight="1" x14ac:dyDescent="0.25">
      <c r="A906" s="217"/>
      <c r="B906" s="217"/>
      <c r="C906" s="219"/>
      <c r="D906" s="221"/>
      <c r="E906" s="217"/>
      <c r="F906" s="217"/>
      <c r="G906" s="102" t="s">
        <v>174</v>
      </c>
      <c r="H906" s="57" t="s">
        <v>168</v>
      </c>
      <c r="I906" s="50">
        <f t="shared" si="36"/>
        <v>32281</v>
      </c>
      <c r="J906" s="50">
        <f>I906/D903</f>
        <v>2.2799999999999998</v>
      </c>
      <c r="K906" s="50">
        <f>32281/D903</f>
        <v>2.2799999999999998</v>
      </c>
    </row>
    <row r="907" spans="1:11" ht="47.25" customHeight="1" x14ac:dyDescent="0.25">
      <c r="A907" s="217"/>
      <c r="B907" s="217"/>
      <c r="C907" s="219"/>
      <c r="D907" s="221"/>
      <c r="E907" s="217"/>
      <c r="F907" s="217"/>
      <c r="G907" s="102" t="s">
        <v>175</v>
      </c>
      <c r="H907" s="57" t="s">
        <v>168</v>
      </c>
      <c r="I907" s="50">
        <f t="shared" si="36"/>
        <v>32281</v>
      </c>
      <c r="J907" s="50">
        <f>I907/D903+0.01</f>
        <v>2.29</v>
      </c>
      <c r="K907" s="50">
        <f>32281/D903+0.01</f>
        <v>2.29</v>
      </c>
    </row>
    <row r="908" spans="1:11" ht="47.25" customHeight="1" x14ac:dyDescent="0.25">
      <c r="A908" s="217"/>
      <c r="B908" s="217"/>
      <c r="C908" s="219"/>
      <c r="D908" s="221"/>
      <c r="E908" s="217"/>
      <c r="F908" s="217"/>
      <c r="G908" s="102" t="s">
        <v>172</v>
      </c>
      <c r="H908" s="57" t="s">
        <v>168</v>
      </c>
      <c r="I908" s="50">
        <f t="shared" si="36"/>
        <v>32281</v>
      </c>
      <c r="J908" s="50">
        <f>I908/D903</f>
        <v>2.2799999999999998</v>
      </c>
      <c r="K908" s="50">
        <f>32281/D903</f>
        <v>2.2799999999999998</v>
      </c>
    </row>
    <row r="909" spans="1:11" ht="47.25" customHeight="1" x14ac:dyDescent="0.25">
      <c r="A909" s="217"/>
      <c r="B909" s="217"/>
      <c r="C909" s="219"/>
      <c r="D909" s="221"/>
      <c r="E909" s="217"/>
      <c r="F909" s="217"/>
      <c r="G909" s="102" t="s">
        <v>444</v>
      </c>
      <c r="H909" s="57" t="s">
        <v>168</v>
      </c>
      <c r="I909" s="50">
        <f t="shared" si="36"/>
        <v>32281</v>
      </c>
      <c r="J909" s="50">
        <f>I909/D903+0.01</f>
        <v>2.29</v>
      </c>
      <c r="K909" s="50">
        <f>32281/D903+0.01</f>
        <v>2.29</v>
      </c>
    </row>
    <row r="910" spans="1:11" ht="47.25" customHeight="1" x14ac:dyDescent="0.25">
      <c r="A910" s="217"/>
      <c r="B910" s="217"/>
      <c r="C910" s="219"/>
      <c r="D910" s="221"/>
      <c r="E910" s="217"/>
      <c r="F910" s="217"/>
      <c r="G910" s="102" t="s">
        <v>453</v>
      </c>
      <c r="H910" s="57" t="s">
        <v>168</v>
      </c>
      <c r="I910" s="50">
        <f t="shared" si="36"/>
        <v>32281</v>
      </c>
      <c r="J910" s="50">
        <f>I910/D903</f>
        <v>2.2799999999999998</v>
      </c>
      <c r="K910" s="50">
        <f>32281/D903</f>
        <v>2.2799999999999998</v>
      </c>
    </row>
    <row r="911" spans="1:11" ht="47.25" customHeight="1" x14ac:dyDescent="0.25">
      <c r="A911" s="217"/>
      <c r="B911" s="217"/>
      <c r="C911" s="219"/>
      <c r="D911" s="221"/>
      <c r="E911" s="217"/>
      <c r="F911" s="217"/>
      <c r="G911" s="102" t="s">
        <v>461</v>
      </c>
      <c r="H911" s="57" t="s">
        <v>168</v>
      </c>
      <c r="I911" s="50">
        <f t="shared" si="36"/>
        <v>32281</v>
      </c>
      <c r="J911" s="50">
        <f>I911/D903+0.01</f>
        <v>2.29</v>
      </c>
      <c r="K911" s="50">
        <f>32281/D903+0.01</f>
        <v>2.29</v>
      </c>
    </row>
    <row r="912" spans="1:11" ht="47.25" customHeight="1" x14ac:dyDescent="0.25">
      <c r="A912" s="217"/>
      <c r="B912" s="217"/>
      <c r="C912" s="219"/>
      <c r="D912" s="221"/>
      <c r="E912" s="217"/>
      <c r="F912" s="217"/>
      <c r="G912" s="102" t="s">
        <v>571</v>
      </c>
      <c r="H912" s="57" t="s">
        <v>168</v>
      </c>
      <c r="I912" s="50">
        <f t="shared" si="36"/>
        <v>32281</v>
      </c>
      <c r="J912" s="50">
        <f>I912/D903</f>
        <v>2.2799999999999998</v>
      </c>
      <c r="K912" s="50">
        <f>32281/D903</f>
        <v>2.2799999999999998</v>
      </c>
    </row>
    <row r="913" spans="1:11" ht="47.25" customHeight="1" x14ac:dyDescent="0.25">
      <c r="A913" s="217"/>
      <c r="B913" s="217"/>
      <c r="C913" s="219"/>
      <c r="D913" s="221"/>
      <c r="E913" s="217"/>
      <c r="F913" s="217"/>
      <c r="G913" s="102" t="s">
        <v>630</v>
      </c>
      <c r="H913" s="57" t="s">
        <v>168</v>
      </c>
      <c r="I913" s="50">
        <f t="shared" si="36"/>
        <v>32281</v>
      </c>
      <c r="J913" s="50">
        <f>I913/D903</f>
        <v>2.2799999999999998</v>
      </c>
      <c r="K913" s="50">
        <f>32281/D903</f>
        <v>2.2799999999999998</v>
      </c>
    </row>
    <row r="914" spans="1:11" ht="47.25" customHeight="1" x14ac:dyDescent="0.25">
      <c r="A914" s="217"/>
      <c r="B914" s="217"/>
      <c r="C914" s="219"/>
      <c r="D914" s="221"/>
      <c r="E914" s="217"/>
      <c r="F914" s="217"/>
      <c r="G914" s="102" t="s">
        <v>631</v>
      </c>
      <c r="H914" s="57" t="s">
        <v>168</v>
      </c>
      <c r="I914" s="50">
        <f t="shared" si="36"/>
        <v>32281</v>
      </c>
      <c r="J914" s="50">
        <f>I914/D903</f>
        <v>2.2799999999999998</v>
      </c>
      <c r="K914" s="50">
        <f>32281/D903</f>
        <v>2.2799999999999998</v>
      </c>
    </row>
    <row r="915" spans="1:11" ht="15.75" customHeight="1" x14ac:dyDescent="0.25">
      <c r="A915" s="216">
        <f>A903+1</f>
        <v>133</v>
      </c>
      <c r="B915" s="216">
        <v>2393</v>
      </c>
      <c r="C915" s="218" t="s">
        <v>632</v>
      </c>
      <c r="D915" s="220">
        <v>6768.3</v>
      </c>
      <c r="E915" s="216" t="s">
        <v>64</v>
      </c>
      <c r="F915" s="216">
        <v>10</v>
      </c>
      <c r="G915" s="105"/>
      <c r="H915" s="57" t="s">
        <v>66</v>
      </c>
      <c r="I915" s="50">
        <f>I916+I917+I918+I919+I920+I921+I922+I923+I924</f>
        <v>6912101.6699999999</v>
      </c>
      <c r="J915" s="50">
        <f>J916+J917+J918+J919+J920+J921+J922+J923+J924</f>
        <v>1021.25</v>
      </c>
      <c r="K915" s="50">
        <f>K916+K917+K918+K919+K920+K921+K922+K923+K924</f>
        <v>1029.18</v>
      </c>
    </row>
    <row r="916" spans="1:11" ht="47.25" customHeight="1" x14ac:dyDescent="0.25">
      <c r="A916" s="217"/>
      <c r="B916" s="217"/>
      <c r="C916" s="219"/>
      <c r="D916" s="221"/>
      <c r="E916" s="217"/>
      <c r="F916" s="217"/>
      <c r="G916" s="216" t="s">
        <v>170</v>
      </c>
      <c r="H916" s="57" t="s">
        <v>168</v>
      </c>
      <c r="I916" s="50">
        <f>22681+9600</f>
        <v>32281</v>
      </c>
      <c r="J916" s="50">
        <f>I916/D915</f>
        <v>4.7699999999999996</v>
      </c>
      <c r="K916" s="50">
        <f>32281/D915</f>
        <v>4.7699999999999996</v>
      </c>
    </row>
    <row r="917" spans="1:11" ht="15.75" customHeight="1" x14ac:dyDescent="0.25">
      <c r="A917" s="217"/>
      <c r="B917" s="217"/>
      <c r="C917" s="219"/>
      <c r="D917" s="221"/>
      <c r="E917" s="217"/>
      <c r="F917" s="217"/>
      <c r="G917" s="217"/>
      <c r="H917" s="57" t="s">
        <v>171</v>
      </c>
      <c r="I917" s="50">
        <v>2224155.9500000002</v>
      </c>
      <c r="J917" s="50">
        <f>I917/D915+0.01</f>
        <v>328.62</v>
      </c>
      <c r="K917" s="50">
        <f>2241647/D915</f>
        <v>331.2</v>
      </c>
    </row>
    <row r="918" spans="1:11" ht="15.75" customHeight="1" x14ac:dyDescent="0.25">
      <c r="A918" s="217"/>
      <c r="B918" s="217"/>
      <c r="C918" s="219"/>
      <c r="D918" s="221"/>
      <c r="E918" s="217"/>
      <c r="F918" s="217"/>
      <c r="G918" s="222"/>
      <c r="H918" s="57" t="s">
        <v>69</v>
      </c>
      <c r="I918" s="50">
        <f>I917*0.0214</f>
        <v>47596.94</v>
      </c>
      <c r="J918" s="50">
        <f>I918/D915</f>
        <v>7.03</v>
      </c>
      <c r="K918" s="50">
        <f>47971/D915</f>
        <v>7.09</v>
      </c>
    </row>
    <row r="919" spans="1:11" ht="47.25" customHeight="1" x14ac:dyDescent="0.25">
      <c r="A919" s="217"/>
      <c r="B919" s="217"/>
      <c r="C919" s="219"/>
      <c r="D919" s="221"/>
      <c r="E919" s="217"/>
      <c r="F919" s="217"/>
      <c r="G919" s="216" t="s">
        <v>173</v>
      </c>
      <c r="H919" s="57" t="s">
        <v>168</v>
      </c>
      <c r="I919" s="50">
        <f>22681+9600</f>
        <v>32281</v>
      </c>
      <c r="J919" s="50">
        <f>I919/D915</f>
        <v>4.7699999999999996</v>
      </c>
      <c r="K919" s="50">
        <f>32281/D915</f>
        <v>4.7699999999999996</v>
      </c>
    </row>
    <row r="920" spans="1:11" ht="15.75" customHeight="1" x14ac:dyDescent="0.25">
      <c r="A920" s="217"/>
      <c r="B920" s="217"/>
      <c r="C920" s="219"/>
      <c r="D920" s="221"/>
      <c r="E920" s="217"/>
      <c r="F920" s="217"/>
      <c r="G920" s="217"/>
      <c r="H920" s="57" t="s">
        <v>171</v>
      </c>
      <c r="I920" s="50">
        <v>2224155.9500000002</v>
      </c>
      <c r="J920" s="50">
        <f>I920/D915</f>
        <v>328.61</v>
      </c>
      <c r="K920" s="50">
        <f>2241647/D915</f>
        <v>331.2</v>
      </c>
    </row>
    <row r="921" spans="1:11" ht="15.75" customHeight="1" x14ac:dyDescent="0.25">
      <c r="A921" s="217"/>
      <c r="B921" s="217"/>
      <c r="C921" s="219"/>
      <c r="D921" s="221"/>
      <c r="E921" s="217"/>
      <c r="F921" s="217"/>
      <c r="G921" s="222"/>
      <c r="H921" s="57" t="s">
        <v>69</v>
      </c>
      <c r="I921" s="50">
        <f>I920*0.0214</f>
        <v>47596.94</v>
      </c>
      <c r="J921" s="50">
        <f>I921/D915</f>
        <v>7.03</v>
      </c>
      <c r="K921" s="50">
        <f>47971/D915</f>
        <v>7.09</v>
      </c>
    </row>
    <row r="922" spans="1:11" ht="47.25" customHeight="1" x14ac:dyDescent="0.25">
      <c r="A922" s="217"/>
      <c r="B922" s="217"/>
      <c r="C922" s="219"/>
      <c r="D922" s="221"/>
      <c r="E922" s="217"/>
      <c r="F922" s="217"/>
      <c r="G922" s="216" t="s">
        <v>174</v>
      </c>
      <c r="H922" s="57" t="s">
        <v>168</v>
      </c>
      <c r="I922" s="50">
        <f>22681+9600</f>
        <v>32281</v>
      </c>
      <c r="J922" s="50">
        <f>I922/D915</f>
        <v>4.7699999999999996</v>
      </c>
      <c r="K922" s="50">
        <f>32281/D915</f>
        <v>4.7699999999999996</v>
      </c>
    </row>
    <row r="923" spans="1:11" ht="15.75" customHeight="1" x14ac:dyDescent="0.25">
      <c r="A923" s="217"/>
      <c r="B923" s="217"/>
      <c r="C923" s="219"/>
      <c r="D923" s="221"/>
      <c r="E923" s="217"/>
      <c r="F923" s="217"/>
      <c r="G923" s="217"/>
      <c r="H923" s="57" t="s">
        <v>171</v>
      </c>
      <c r="I923" s="50">
        <v>2224155.9500000002</v>
      </c>
      <c r="J923" s="50">
        <f>I923/D915+0.01</f>
        <v>328.62</v>
      </c>
      <c r="K923" s="50">
        <f>2241647/D915</f>
        <v>331.2</v>
      </c>
    </row>
    <row r="924" spans="1:11" ht="15.75" customHeight="1" x14ac:dyDescent="0.25">
      <c r="A924" s="217"/>
      <c r="B924" s="217"/>
      <c r="C924" s="219"/>
      <c r="D924" s="221"/>
      <c r="E924" s="217"/>
      <c r="F924" s="217"/>
      <c r="G924" s="222"/>
      <c r="H924" s="57" t="s">
        <v>69</v>
      </c>
      <c r="I924" s="50">
        <f>I923*0.0214</f>
        <v>47596.94</v>
      </c>
      <c r="J924" s="50">
        <f>I924/D915</f>
        <v>7.03</v>
      </c>
      <c r="K924" s="50">
        <f>47971/D915</f>
        <v>7.09</v>
      </c>
    </row>
    <row r="925" spans="1:11" ht="15.75" customHeight="1" x14ac:dyDescent="0.25">
      <c r="A925" s="216">
        <f>A915+1</f>
        <v>134</v>
      </c>
      <c r="B925" s="216">
        <v>2394</v>
      </c>
      <c r="C925" s="218" t="s">
        <v>633</v>
      </c>
      <c r="D925" s="220">
        <v>2686.6</v>
      </c>
      <c r="E925" s="216" t="s">
        <v>64</v>
      </c>
      <c r="F925" s="216">
        <v>10</v>
      </c>
      <c r="G925" s="105"/>
      <c r="H925" s="57" t="s">
        <v>66</v>
      </c>
      <c r="I925" s="50">
        <f>I926+I927</f>
        <v>64562</v>
      </c>
      <c r="J925" s="50">
        <f t="shared" ref="J925:K925" si="37">J926+J927</f>
        <v>24.03</v>
      </c>
      <c r="K925" s="50">
        <f t="shared" si="37"/>
        <v>24.03</v>
      </c>
    </row>
    <row r="926" spans="1:11" ht="47.25" customHeight="1" x14ac:dyDescent="0.25">
      <c r="A926" s="217"/>
      <c r="B926" s="217"/>
      <c r="C926" s="219"/>
      <c r="D926" s="221"/>
      <c r="E926" s="217"/>
      <c r="F926" s="217"/>
      <c r="G926" s="102" t="s">
        <v>170</v>
      </c>
      <c r="H926" s="57" t="s">
        <v>168</v>
      </c>
      <c r="I926" s="50">
        <f>22681+9600</f>
        <v>32281</v>
      </c>
      <c r="J926" s="50">
        <f>I926/D925-0.01</f>
        <v>12.01</v>
      </c>
      <c r="K926" s="50">
        <f>32281/D925-0.01</f>
        <v>12.01</v>
      </c>
    </row>
    <row r="927" spans="1:11" ht="47.25" customHeight="1" x14ac:dyDescent="0.25">
      <c r="A927" s="217"/>
      <c r="B927" s="217"/>
      <c r="C927" s="219"/>
      <c r="D927" s="221"/>
      <c r="E927" s="217"/>
      <c r="F927" s="217"/>
      <c r="G927" s="102" t="s">
        <v>173</v>
      </c>
      <c r="H927" s="57" t="s">
        <v>168</v>
      </c>
      <c r="I927" s="50">
        <f>22681+9600</f>
        <v>32281</v>
      </c>
      <c r="J927" s="50">
        <f>I927/D925</f>
        <v>12.02</v>
      </c>
      <c r="K927" s="50">
        <f>32281/D925</f>
        <v>12.02</v>
      </c>
    </row>
    <row r="928" spans="1:11" ht="15.75" customHeight="1" x14ac:dyDescent="0.25">
      <c r="A928" s="216">
        <f>A925+1</f>
        <v>135</v>
      </c>
      <c r="B928" s="216">
        <v>2395</v>
      </c>
      <c r="C928" s="218" t="s">
        <v>634</v>
      </c>
      <c r="D928" s="220">
        <v>2878.2</v>
      </c>
      <c r="E928" s="216" t="s">
        <v>64</v>
      </c>
      <c r="F928" s="216">
        <v>10</v>
      </c>
      <c r="G928" s="105"/>
      <c r="H928" s="57" t="s">
        <v>66</v>
      </c>
      <c r="I928" s="50">
        <f>I929+I930</f>
        <v>64562</v>
      </c>
      <c r="J928" s="50">
        <f t="shared" ref="J928" si="38">J929+J930</f>
        <v>22.43</v>
      </c>
      <c r="K928" s="50">
        <f t="shared" ref="K928" si="39">K929+K930</f>
        <v>22.43</v>
      </c>
    </row>
    <row r="929" spans="1:11" ht="47.25" customHeight="1" x14ac:dyDescent="0.25">
      <c r="A929" s="217"/>
      <c r="B929" s="217"/>
      <c r="C929" s="219"/>
      <c r="D929" s="221"/>
      <c r="E929" s="217"/>
      <c r="F929" s="217"/>
      <c r="G929" s="102" t="s">
        <v>170</v>
      </c>
      <c r="H929" s="57" t="s">
        <v>168</v>
      </c>
      <c r="I929" s="50">
        <f>22681+9600</f>
        <v>32281</v>
      </c>
      <c r="J929" s="50">
        <f>I929/D928-0.01</f>
        <v>11.21</v>
      </c>
      <c r="K929" s="50">
        <f>32281/D928-0.01</f>
        <v>11.21</v>
      </c>
    </row>
    <row r="930" spans="1:11" ht="47.25" customHeight="1" x14ac:dyDescent="0.25">
      <c r="A930" s="217"/>
      <c r="B930" s="217"/>
      <c r="C930" s="219"/>
      <c r="D930" s="221"/>
      <c r="E930" s="217"/>
      <c r="F930" s="217"/>
      <c r="G930" s="102" t="s">
        <v>173</v>
      </c>
      <c r="H930" s="57" t="s">
        <v>168</v>
      </c>
      <c r="I930" s="50">
        <f>22681+9600</f>
        <v>32281</v>
      </c>
      <c r="J930" s="50">
        <f>I930/D928</f>
        <v>11.22</v>
      </c>
      <c r="K930" s="50">
        <f>32281/D928</f>
        <v>11.22</v>
      </c>
    </row>
    <row r="931" spans="1:11" x14ac:dyDescent="0.25">
      <c r="A931" s="51" t="s">
        <v>31</v>
      </c>
      <c r="B931" s="51"/>
      <c r="C931" s="165"/>
      <c r="D931" s="109">
        <f>D932+D934+D936</f>
        <v>1928</v>
      </c>
      <c r="E931" s="50"/>
      <c r="F931" s="50"/>
      <c r="G931" s="109"/>
      <c r="H931" s="55"/>
      <c r="I931" s="50">
        <f>I932+I934+I936</f>
        <v>5340360.78</v>
      </c>
      <c r="J931" s="50"/>
      <c r="K931" s="50"/>
    </row>
    <row r="932" spans="1:11" ht="15.75" customHeight="1" x14ac:dyDescent="0.25">
      <c r="A932" s="216">
        <v>1</v>
      </c>
      <c r="B932" s="216">
        <v>4859</v>
      </c>
      <c r="C932" s="218" t="s">
        <v>439</v>
      </c>
      <c r="D932" s="220">
        <v>336</v>
      </c>
      <c r="E932" s="228" t="s">
        <v>68</v>
      </c>
      <c r="F932" s="228">
        <v>2</v>
      </c>
      <c r="G932" s="110"/>
      <c r="H932" s="57" t="s">
        <v>66</v>
      </c>
      <c r="I932" s="50">
        <f>I933</f>
        <v>13582.8</v>
      </c>
      <c r="J932" s="50">
        <f>J933</f>
        <v>40.43</v>
      </c>
      <c r="K932" s="50">
        <f>K933</f>
        <v>42</v>
      </c>
    </row>
    <row r="933" spans="1:11" ht="63" x14ac:dyDescent="0.25">
      <c r="A933" s="217">
        <v>15</v>
      </c>
      <c r="B933" s="222"/>
      <c r="C933" s="219"/>
      <c r="D933" s="221"/>
      <c r="E933" s="229"/>
      <c r="F933" s="229"/>
      <c r="G933" s="102" t="s">
        <v>71</v>
      </c>
      <c r="H933" s="57" t="s">
        <v>168</v>
      </c>
      <c r="I933" s="50">
        <v>13582.8</v>
      </c>
      <c r="J933" s="50">
        <f>I933/D932</f>
        <v>40.43</v>
      </c>
      <c r="K933" s="50">
        <f>21+21</f>
        <v>42</v>
      </c>
    </row>
    <row r="934" spans="1:11" ht="15.75" customHeight="1" x14ac:dyDescent="0.25">
      <c r="A934" s="216">
        <f>A932+1</f>
        <v>2</v>
      </c>
      <c r="B934" s="216">
        <v>8046</v>
      </c>
      <c r="C934" s="218" t="s">
        <v>289</v>
      </c>
      <c r="D934" s="220">
        <v>325</v>
      </c>
      <c r="E934" s="220" t="s">
        <v>167</v>
      </c>
      <c r="F934" s="228">
        <v>2</v>
      </c>
      <c r="G934" s="110"/>
      <c r="H934" s="57" t="s">
        <v>66</v>
      </c>
      <c r="I934" s="50">
        <f>I935</f>
        <v>80502.5</v>
      </c>
      <c r="J934" s="50">
        <f>J935</f>
        <v>247.7</v>
      </c>
      <c r="K934" s="50">
        <f>K935</f>
        <v>260</v>
      </c>
    </row>
    <row r="935" spans="1:11" ht="63" x14ac:dyDescent="0.25">
      <c r="A935" s="217"/>
      <c r="B935" s="217"/>
      <c r="C935" s="219"/>
      <c r="D935" s="221"/>
      <c r="E935" s="221"/>
      <c r="F935" s="229"/>
      <c r="G935" s="102" t="s">
        <v>65</v>
      </c>
      <c r="H935" s="57" t="s">
        <v>178</v>
      </c>
      <c r="I935" s="50">
        <v>80502.5</v>
      </c>
      <c r="J935" s="50">
        <f>I935/D934</f>
        <v>247.7</v>
      </c>
      <c r="K935" s="50">
        <f>164+96</f>
        <v>260</v>
      </c>
    </row>
    <row r="936" spans="1:11" ht="15.75" customHeight="1" x14ac:dyDescent="0.25">
      <c r="A936" s="215">
        <f>A934+1</f>
        <v>3</v>
      </c>
      <c r="B936" s="216">
        <v>4850</v>
      </c>
      <c r="C936" s="218" t="s">
        <v>157</v>
      </c>
      <c r="D936" s="220">
        <v>1267</v>
      </c>
      <c r="E936" s="220" t="s">
        <v>68</v>
      </c>
      <c r="F936" s="228">
        <v>3</v>
      </c>
      <c r="G936" s="216" t="s">
        <v>65</v>
      </c>
      <c r="H936" s="57" t="s">
        <v>66</v>
      </c>
      <c r="I936" s="50">
        <f>I937+I938</f>
        <v>5246275.4800000004</v>
      </c>
      <c r="J936" s="50">
        <f>J937+J938</f>
        <v>4140.71</v>
      </c>
      <c r="K936" s="50">
        <f>K937+K938</f>
        <v>5144</v>
      </c>
    </row>
    <row r="937" spans="1:11" x14ac:dyDescent="0.25">
      <c r="A937" s="215">
        <v>15</v>
      </c>
      <c r="B937" s="217"/>
      <c r="C937" s="219"/>
      <c r="D937" s="221"/>
      <c r="E937" s="221"/>
      <c r="F937" s="229"/>
      <c r="G937" s="217"/>
      <c r="H937" s="57" t="s">
        <v>67</v>
      </c>
      <c r="I937" s="50">
        <v>5136357.43</v>
      </c>
      <c r="J937" s="50">
        <f>I937/D936+0.01</f>
        <v>4053.96</v>
      </c>
      <c r="K937" s="50">
        <v>5036</v>
      </c>
    </row>
    <row r="938" spans="1:11" x14ac:dyDescent="0.25">
      <c r="A938" s="215">
        <v>16</v>
      </c>
      <c r="B938" s="222"/>
      <c r="C938" s="226"/>
      <c r="D938" s="227"/>
      <c r="E938" s="227"/>
      <c r="F938" s="230"/>
      <c r="G938" s="222"/>
      <c r="H938" s="57" t="s">
        <v>69</v>
      </c>
      <c r="I938" s="50">
        <v>109918.05</v>
      </c>
      <c r="J938" s="50">
        <f>I938/D936</f>
        <v>86.75</v>
      </c>
      <c r="K938" s="50">
        <v>108</v>
      </c>
    </row>
    <row r="939" spans="1:11" x14ac:dyDescent="0.25">
      <c r="A939" s="51" t="s">
        <v>32</v>
      </c>
      <c r="B939" s="51"/>
      <c r="C939" s="165"/>
      <c r="D939" s="50">
        <f>D940+D942+D944+D947+D949+D954</f>
        <v>2284.29</v>
      </c>
      <c r="E939" s="50"/>
      <c r="F939" s="50"/>
      <c r="G939" s="109"/>
      <c r="H939" s="64"/>
      <c r="I939" s="55">
        <f>I940+I942+I944+I947+I949+I954</f>
        <v>2550005.59</v>
      </c>
      <c r="J939" s="55"/>
      <c r="K939" s="55"/>
    </row>
    <row r="940" spans="1:11" ht="15.75" customHeight="1" x14ac:dyDescent="0.25">
      <c r="A940" s="216">
        <v>1</v>
      </c>
      <c r="B940" s="216">
        <v>7260</v>
      </c>
      <c r="C940" s="218" t="s">
        <v>454</v>
      </c>
      <c r="D940" s="220">
        <v>335.4</v>
      </c>
      <c r="E940" s="220" t="s">
        <v>167</v>
      </c>
      <c r="F940" s="228">
        <v>2</v>
      </c>
      <c r="G940" s="216" t="s">
        <v>65</v>
      </c>
      <c r="H940" s="57" t="s">
        <v>66</v>
      </c>
      <c r="I940" s="50">
        <f>I941</f>
        <v>64556.85</v>
      </c>
      <c r="J940" s="50">
        <f>J941</f>
        <v>192.48</v>
      </c>
      <c r="K940" s="50">
        <f>K941</f>
        <v>259</v>
      </c>
    </row>
    <row r="941" spans="1:11" ht="63" x14ac:dyDescent="0.25">
      <c r="A941" s="217"/>
      <c r="B941" s="217"/>
      <c r="C941" s="219"/>
      <c r="D941" s="221"/>
      <c r="E941" s="221"/>
      <c r="F941" s="229"/>
      <c r="G941" s="222"/>
      <c r="H941" s="62" t="s">
        <v>178</v>
      </c>
      <c r="I941" s="50">
        <v>64556.85</v>
      </c>
      <c r="J941" s="50">
        <f>I941/D940</f>
        <v>192.48</v>
      </c>
      <c r="K941" s="50">
        <f>163+96</f>
        <v>259</v>
      </c>
    </row>
    <row r="942" spans="1:11" ht="15.75" customHeight="1" x14ac:dyDescent="0.25">
      <c r="A942" s="216">
        <f>A940+1</f>
        <v>2</v>
      </c>
      <c r="B942" s="216">
        <v>7261</v>
      </c>
      <c r="C942" s="218" t="s">
        <v>455</v>
      </c>
      <c r="D942" s="220">
        <v>344.34</v>
      </c>
      <c r="E942" s="220" t="s">
        <v>167</v>
      </c>
      <c r="F942" s="228">
        <v>2</v>
      </c>
      <c r="G942" s="216" t="s">
        <v>65</v>
      </c>
      <c r="H942" s="57" t="s">
        <v>66</v>
      </c>
      <c r="I942" s="50">
        <f>I943</f>
        <v>63331.74</v>
      </c>
      <c r="J942" s="50">
        <f>J943</f>
        <v>183.92</v>
      </c>
      <c r="K942" s="50">
        <f>K943</f>
        <v>259</v>
      </c>
    </row>
    <row r="943" spans="1:11" ht="63" x14ac:dyDescent="0.25">
      <c r="A943" s="217"/>
      <c r="B943" s="217"/>
      <c r="C943" s="219"/>
      <c r="D943" s="221"/>
      <c r="E943" s="221"/>
      <c r="F943" s="229"/>
      <c r="G943" s="222"/>
      <c r="H943" s="62" t="s">
        <v>178</v>
      </c>
      <c r="I943" s="50">
        <v>63331.74</v>
      </c>
      <c r="J943" s="50">
        <f>I943/D942</f>
        <v>183.92</v>
      </c>
      <c r="K943" s="50">
        <f>163+96</f>
        <v>259</v>
      </c>
    </row>
    <row r="944" spans="1:11" ht="15.75" customHeight="1" x14ac:dyDescent="0.25">
      <c r="A944" s="216">
        <v>3</v>
      </c>
      <c r="B944" s="216">
        <v>7275</v>
      </c>
      <c r="C944" s="218" t="s">
        <v>503</v>
      </c>
      <c r="D944" s="220">
        <v>365.52</v>
      </c>
      <c r="E944" s="220" t="s">
        <v>167</v>
      </c>
      <c r="F944" s="228">
        <v>2</v>
      </c>
      <c r="G944" s="215" t="s">
        <v>182</v>
      </c>
      <c r="H944" s="57" t="s">
        <v>66</v>
      </c>
      <c r="I944" s="50">
        <f>I945+I946</f>
        <v>158388.94</v>
      </c>
      <c r="J944" s="50">
        <f>J945+J946</f>
        <v>433.32</v>
      </c>
      <c r="K944" s="50">
        <f>K945+K946</f>
        <v>464</v>
      </c>
    </row>
    <row r="945" spans="1:11" ht="63" x14ac:dyDescent="0.25">
      <c r="A945" s="217"/>
      <c r="B945" s="217"/>
      <c r="C945" s="219"/>
      <c r="D945" s="221"/>
      <c r="E945" s="221"/>
      <c r="F945" s="229"/>
      <c r="G945" s="215"/>
      <c r="H945" s="62" t="s">
        <v>178</v>
      </c>
      <c r="I945" s="50">
        <v>88309.63</v>
      </c>
      <c r="J945" s="50">
        <f>I945/D944</f>
        <v>241.6</v>
      </c>
      <c r="K945" s="50">
        <f>232+27</f>
        <v>259</v>
      </c>
    </row>
    <row r="946" spans="1:11" ht="63" x14ac:dyDescent="0.25">
      <c r="A946" s="217"/>
      <c r="B946" s="217"/>
      <c r="C946" s="219"/>
      <c r="D946" s="221"/>
      <c r="E946" s="221"/>
      <c r="F946" s="229"/>
      <c r="G946" s="215"/>
      <c r="H946" s="57" t="s">
        <v>504</v>
      </c>
      <c r="I946" s="50">
        <v>70079.31</v>
      </c>
      <c r="J946" s="50">
        <f>I946/D944</f>
        <v>191.72</v>
      </c>
      <c r="K946" s="50">
        <f>177+28</f>
        <v>205</v>
      </c>
    </row>
    <row r="947" spans="1:11" ht="15.75" customHeight="1" x14ac:dyDescent="0.25">
      <c r="A947" s="216">
        <v>4</v>
      </c>
      <c r="B947" s="216">
        <v>7317</v>
      </c>
      <c r="C947" s="218" t="s">
        <v>505</v>
      </c>
      <c r="D947" s="220">
        <v>519.54</v>
      </c>
      <c r="E947" s="220" t="s">
        <v>167</v>
      </c>
      <c r="F947" s="228">
        <v>2</v>
      </c>
      <c r="G947" s="215" t="s">
        <v>65</v>
      </c>
      <c r="H947" s="57" t="s">
        <v>66</v>
      </c>
      <c r="I947" s="50">
        <f>I948</f>
        <v>128209.48</v>
      </c>
      <c r="J947" s="50">
        <f>J948</f>
        <v>246.77</v>
      </c>
      <c r="K947" s="50">
        <f>K948</f>
        <v>259</v>
      </c>
    </row>
    <row r="948" spans="1:11" ht="63" x14ac:dyDescent="0.25">
      <c r="A948" s="217"/>
      <c r="B948" s="217"/>
      <c r="C948" s="219"/>
      <c r="D948" s="221"/>
      <c r="E948" s="221"/>
      <c r="F948" s="229"/>
      <c r="G948" s="215"/>
      <c r="H948" s="62" t="s">
        <v>178</v>
      </c>
      <c r="I948" s="50">
        <v>128209.48</v>
      </c>
      <c r="J948" s="50">
        <f>I948/D947</f>
        <v>246.77</v>
      </c>
      <c r="K948" s="50">
        <f>163+96</f>
        <v>259</v>
      </c>
    </row>
    <row r="949" spans="1:11" x14ac:dyDescent="0.25">
      <c r="A949" s="216">
        <f>A947+1</f>
        <v>5</v>
      </c>
      <c r="B949" s="216">
        <v>7343</v>
      </c>
      <c r="C949" s="218" t="s">
        <v>244</v>
      </c>
      <c r="D949" s="220">
        <v>332.66</v>
      </c>
      <c r="E949" s="220" t="s">
        <v>68</v>
      </c>
      <c r="F949" s="228">
        <v>2</v>
      </c>
      <c r="G949" s="217" t="s">
        <v>182</v>
      </c>
      <c r="H949" s="57" t="s">
        <v>66</v>
      </c>
      <c r="I949" s="50">
        <f>I950+I951+I952+I953</f>
        <v>2009044.51</v>
      </c>
      <c r="J949" s="50">
        <f>J950+J951+J952+J953</f>
        <v>6039.33</v>
      </c>
      <c r="K949" s="50">
        <f>K950+K951+K952+K953</f>
        <v>7493</v>
      </c>
    </row>
    <row r="950" spans="1:11" x14ac:dyDescent="0.25">
      <c r="A950" s="217"/>
      <c r="B950" s="217"/>
      <c r="C950" s="219"/>
      <c r="D950" s="221"/>
      <c r="E950" s="221"/>
      <c r="F950" s="229"/>
      <c r="G950" s="217"/>
      <c r="H950" s="57" t="s">
        <v>67</v>
      </c>
      <c r="I950" s="50">
        <v>835645.45</v>
      </c>
      <c r="J950" s="50">
        <f>I950/D949</f>
        <v>2512.0100000000002</v>
      </c>
      <c r="K950" s="50">
        <v>2915</v>
      </c>
    </row>
    <row r="951" spans="1:11" x14ac:dyDescent="0.25">
      <c r="A951" s="217"/>
      <c r="B951" s="217"/>
      <c r="C951" s="219"/>
      <c r="D951" s="221"/>
      <c r="E951" s="221"/>
      <c r="F951" s="229"/>
      <c r="G951" s="217"/>
      <c r="H951" s="57" t="s">
        <v>69</v>
      </c>
      <c r="I951" s="50">
        <v>18535.82</v>
      </c>
      <c r="J951" s="50">
        <f>I951/D949</f>
        <v>55.72</v>
      </c>
      <c r="K951" s="50">
        <v>62</v>
      </c>
    </row>
    <row r="952" spans="1:11" x14ac:dyDescent="0.25">
      <c r="A952" s="217"/>
      <c r="B952" s="217"/>
      <c r="C952" s="219"/>
      <c r="D952" s="221"/>
      <c r="E952" s="221"/>
      <c r="F952" s="229"/>
      <c r="G952" s="217"/>
      <c r="H952" s="57" t="s">
        <v>179</v>
      </c>
      <c r="I952" s="50">
        <v>1126066.53</v>
      </c>
      <c r="J952" s="50">
        <f>I952/D949</f>
        <v>3385.04</v>
      </c>
      <c r="K952" s="50">
        <v>4421</v>
      </c>
    </row>
    <row r="953" spans="1:11" x14ac:dyDescent="0.25">
      <c r="A953" s="222"/>
      <c r="B953" s="222"/>
      <c r="C953" s="226"/>
      <c r="D953" s="227"/>
      <c r="E953" s="227"/>
      <c r="F953" s="230"/>
      <c r="G953" s="222"/>
      <c r="H953" s="57" t="s">
        <v>69</v>
      </c>
      <c r="I953" s="50">
        <v>28796.71</v>
      </c>
      <c r="J953" s="50">
        <f>I953/D949</f>
        <v>86.56</v>
      </c>
      <c r="K953" s="50">
        <v>95</v>
      </c>
    </row>
    <row r="954" spans="1:11" x14ac:dyDescent="0.25">
      <c r="A954" s="216">
        <f>A949+1</f>
        <v>6</v>
      </c>
      <c r="B954" s="216">
        <v>7357</v>
      </c>
      <c r="C954" s="218" t="s">
        <v>506</v>
      </c>
      <c r="D954" s="220">
        <v>386.83</v>
      </c>
      <c r="E954" s="220" t="s">
        <v>68</v>
      </c>
      <c r="F954" s="228">
        <v>2</v>
      </c>
      <c r="G954" s="217" t="s">
        <v>182</v>
      </c>
      <c r="H954" s="57" t="s">
        <v>66</v>
      </c>
      <c r="I954" s="50">
        <f>I955+I956</f>
        <v>126474.07</v>
      </c>
      <c r="J954" s="50">
        <f>J955+J956</f>
        <v>326.95</v>
      </c>
      <c r="K954" s="50">
        <f>K955+K956</f>
        <v>349</v>
      </c>
    </row>
    <row r="955" spans="1:11" ht="63" x14ac:dyDescent="0.25">
      <c r="A955" s="217"/>
      <c r="B955" s="217"/>
      <c r="C955" s="219"/>
      <c r="D955" s="221"/>
      <c r="E955" s="221"/>
      <c r="F955" s="229"/>
      <c r="G955" s="217"/>
      <c r="H955" s="62" t="s">
        <v>178</v>
      </c>
      <c r="I955" s="50">
        <v>52309.09</v>
      </c>
      <c r="J955" s="50">
        <f>I955/D954</f>
        <v>135.22999999999999</v>
      </c>
      <c r="K955" s="50">
        <f>117+27</f>
        <v>144</v>
      </c>
    </row>
    <row r="956" spans="1:11" ht="63" x14ac:dyDescent="0.25">
      <c r="A956" s="217"/>
      <c r="B956" s="217"/>
      <c r="C956" s="219"/>
      <c r="D956" s="221"/>
      <c r="E956" s="221"/>
      <c r="F956" s="229"/>
      <c r="G956" s="217"/>
      <c r="H956" s="57" t="s">
        <v>504</v>
      </c>
      <c r="I956" s="50">
        <v>74164.98</v>
      </c>
      <c r="J956" s="50">
        <f>I956/D954</f>
        <v>191.72</v>
      </c>
      <c r="K956" s="50">
        <f>177+28</f>
        <v>205</v>
      </c>
    </row>
    <row r="957" spans="1:11" x14ac:dyDescent="0.25">
      <c r="A957" s="51" t="s">
        <v>34</v>
      </c>
      <c r="B957" s="51"/>
      <c r="C957" s="165"/>
      <c r="D957" s="109">
        <f>D958+D961+D964+D966+D969+D972</f>
        <v>5288.8</v>
      </c>
      <c r="E957" s="109"/>
      <c r="F957" s="109"/>
      <c r="G957" s="109"/>
      <c r="H957" s="64"/>
      <c r="I957" s="55">
        <f>I958+I961+I964+I966+I969+I972</f>
        <v>945522.77</v>
      </c>
      <c r="J957" s="55"/>
      <c r="K957" s="55"/>
    </row>
    <row r="958" spans="1:11" x14ac:dyDescent="0.25">
      <c r="A958" s="215">
        <v>1</v>
      </c>
      <c r="B958" s="215">
        <v>6737</v>
      </c>
      <c r="C958" s="223" t="s">
        <v>291</v>
      </c>
      <c r="D958" s="220">
        <v>699.5</v>
      </c>
      <c r="E958" s="220" t="s">
        <v>68</v>
      </c>
      <c r="F958" s="228">
        <v>3</v>
      </c>
      <c r="G958" s="110"/>
      <c r="H958" s="57" t="s">
        <v>66</v>
      </c>
      <c r="I958" s="50">
        <f>I959+I960</f>
        <v>125210.5</v>
      </c>
      <c r="J958" s="50">
        <f>J959+J960</f>
        <v>179</v>
      </c>
      <c r="K958" s="50">
        <f>K959+K960</f>
        <v>179</v>
      </c>
    </row>
    <row r="959" spans="1:11" ht="63" x14ac:dyDescent="0.25">
      <c r="A959" s="215"/>
      <c r="B959" s="215"/>
      <c r="C959" s="223"/>
      <c r="D959" s="221"/>
      <c r="E959" s="221"/>
      <c r="F959" s="229"/>
      <c r="G959" s="102" t="s">
        <v>70</v>
      </c>
      <c r="H959" s="57" t="s">
        <v>168</v>
      </c>
      <c r="I959" s="50">
        <f>D958*K959</f>
        <v>95831.5</v>
      </c>
      <c r="J959" s="50">
        <f>I959/D958</f>
        <v>137</v>
      </c>
      <c r="K959" s="50">
        <f>116+21</f>
        <v>137</v>
      </c>
    </row>
    <row r="960" spans="1:11" ht="63" x14ac:dyDescent="0.25">
      <c r="A960" s="215"/>
      <c r="B960" s="215"/>
      <c r="C960" s="223"/>
      <c r="D960" s="221"/>
      <c r="E960" s="221"/>
      <c r="F960" s="229"/>
      <c r="G960" s="102" t="s">
        <v>71</v>
      </c>
      <c r="H960" s="57" t="s">
        <v>168</v>
      </c>
      <c r="I960" s="50">
        <f>D958*K960</f>
        <v>29379</v>
      </c>
      <c r="J960" s="50">
        <f>I960/D958</f>
        <v>42</v>
      </c>
      <c r="K960" s="50">
        <f>21+21</f>
        <v>42</v>
      </c>
    </row>
    <row r="961" spans="1:11" x14ac:dyDescent="0.25">
      <c r="A961" s="215">
        <f>A958+1</f>
        <v>2</v>
      </c>
      <c r="B961" s="215">
        <v>6719</v>
      </c>
      <c r="C961" s="223" t="s">
        <v>507</v>
      </c>
      <c r="D961" s="220">
        <v>3419.4</v>
      </c>
      <c r="E961" s="220" t="s">
        <v>64</v>
      </c>
      <c r="F961" s="228">
        <v>5</v>
      </c>
      <c r="G961" s="110"/>
      <c r="H961" s="57" t="s">
        <v>66</v>
      </c>
      <c r="I961" s="50">
        <f>I962+I963</f>
        <v>541273.77</v>
      </c>
      <c r="J961" s="50">
        <f>J962+J963</f>
        <v>158.29</v>
      </c>
      <c r="K961" s="50">
        <f>K962+K963</f>
        <v>407</v>
      </c>
    </row>
    <row r="962" spans="1:11" x14ac:dyDescent="0.25">
      <c r="A962" s="215"/>
      <c r="B962" s="215"/>
      <c r="C962" s="223"/>
      <c r="D962" s="221"/>
      <c r="E962" s="221"/>
      <c r="F962" s="229"/>
      <c r="G962" s="215" t="s">
        <v>74</v>
      </c>
      <c r="H962" s="57" t="s">
        <v>67</v>
      </c>
      <c r="I962" s="50">
        <v>529933.19999999995</v>
      </c>
      <c r="J962" s="50">
        <f>I962/D961-0.01</f>
        <v>154.97</v>
      </c>
      <c r="K962" s="50">
        <v>398</v>
      </c>
    </row>
    <row r="963" spans="1:11" x14ac:dyDescent="0.25">
      <c r="A963" s="215"/>
      <c r="B963" s="215"/>
      <c r="C963" s="223"/>
      <c r="D963" s="227"/>
      <c r="E963" s="227"/>
      <c r="F963" s="230"/>
      <c r="G963" s="215"/>
      <c r="H963" s="57" t="s">
        <v>69</v>
      </c>
      <c r="I963" s="50">
        <v>11340.57</v>
      </c>
      <c r="J963" s="50">
        <f>I963/D961</f>
        <v>3.32</v>
      </c>
      <c r="K963" s="50">
        <v>9</v>
      </c>
    </row>
    <row r="964" spans="1:11" x14ac:dyDescent="0.25">
      <c r="A964" s="215">
        <f>A961+1</f>
        <v>3</v>
      </c>
      <c r="B964" s="215">
        <v>6749</v>
      </c>
      <c r="C964" s="223" t="s">
        <v>292</v>
      </c>
      <c r="D964" s="220">
        <v>288.7</v>
      </c>
      <c r="E964" s="220" t="s">
        <v>68</v>
      </c>
      <c r="F964" s="228">
        <v>2</v>
      </c>
      <c r="G964" s="110"/>
      <c r="H964" s="57" t="s">
        <v>66</v>
      </c>
      <c r="I964" s="50">
        <f>I965</f>
        <v>34355.300000000003</v>
      </c>
      <c r="J964" s="50">
        <f t="shared" ref="J964:K964" si="40">J965</f>
        <v>119</v>
      </c>
      <c r="K964" s="50">
        <f t="shared" si="40"/>
        <v>119</v>
      </c>
    </row>
    <row r="965" spans="1:11" ht="63" x14ac:dyDescent="0.25">
      <c r="A965" s="215"/>
      <c r="B965" s="215"/>
      <c r="C965" s="223"/>
      <c r="D965" s="221"/>
      <c r="E965" s="221"/>
      <c r="F965" s="229"/>
      <c r="G965" s="102" t="s">
        <v>71</v>
      </c>
      <c r="H965" s="57" t="s">
        <v>168</v>
      </c>
      <c r="I965" s="50">
        <f>D964*K965</f>
        <v>34355.300000000003</v>
      </c>
      <c r="J965" s="50">
        <f>I965/D964</f>
        <v>119</v>
      </c>
      <c r="K965" s="50">
        <f>21+98</f>
        <v>119</v>
      </c>
    </row>
    <row r="966" spans="1:11" x14ac:dyDescent="0.25">
      <c r="A966" s="215">
        <f>A964+1</f>
        <v>4</v>
      </c>
      <c r="B966" s="215">
        <v>6727</v>
      </c>
      <c r="C966" s="223" t="s">
        <v>293</v>
      </c>
      <c r="D966" s="220">
        <v>316.60000000000002</v>
      </c>
      <c r="E966" s="220" t="s">
        <v>68</v>
      </c>
      <c r="F966" s="228">
        <v>2</v>
      </c>
      <c r="G966" s="110"/>
      <c r="H966" s="57" t="s">
        <v>66</v>
      </c>
      <c r="I966" s="50">
        <f>I967+I968</f>
        <v>56671.4</v>
      </c>
      <c r="J966" s="50">
        <f>J967+J968</f>
        <v>179</v>
      </c>
      <c r="K966" s="50">
        <f>K967+K968</f>
        <v>179</v>
      </c>
    </row>
    <row r="967" spans="1:11" ht="63" x14ac:dyDescent="0.25">
      <c r="A967" s="215"/>
      <c r="B967" s="215"/>
      <c r="C967" s="223"/>
      <c r="D967" s="221"/>
      <c r="E967" s="221"/>
      <c r="F967" s="229"/>
      <c r="G967" s="102" t="s">
        <v>70</v>
      </c>
      <c r="H967" s="57" t="s">
        <v>168</v>
      </c>
      <c r="I967" s="50">
        <f>D966*K967</f>
        <v>43374.2</v>
      </c>
      <c r="J967" s="50">
        <f>I967/D966</f>
        <v>137</v>
      </c>
      <c r="K967" s="50">
        <f>116+21</f>
        <v>137</v>
      </c>
    </row>
    <row r="968" spans="1:11" ht="63" x14ac:dyDescent="0.25">
      <c r="A968" s="215"/>
      <c r="B968" s="215"/>
      <c r="C968" s="223"/>
      <c r="D968" s="221"/>
      <c r="E968" s="221"/>
      <c r="F968" s="229"/>
      <c r="G968" s="102" t="s">
        <v>71</v>
      </c>
      <c r="H968" s="57" t="s">
        <v>168</v>
      </c>
      <c r="I968" s="50">
        <f>D966*K968</f>
        <v>13297.2</v>
      </c>
      <c r="J968" s="50">
        <f>I968/D966</f>
        <v>42</v>
      </c>
      <c r="K968" s="50">
        <f>21+21</f>
        <v>42</v>
      </c>
    </row>
    <row r="969" spans="1:11" x14ac:dyDescent="0.25">
      <c r="A969" s="215">
        <f>A966+1</f>
        <v>5</v>
      </c>
      <c r="B969" s="215">
        <v>6732</v>
      </c>
      <c r="C969" s="223" t="s">
        <v>294</v>
      </c>
      <c r="D969" s="220">
        <v>291.3</v>
      </c>
      <c r="E969" s="220" t="s">
        <v>68</v>
      </c>
      <c r="F969" s="228">
        <v>2</v>
      </c>
      <c r="G969" s="110"/>
      <c r="H969" s="57" t="s">
        <v>66</v>
      </c>
      <c r="I969" s="50">
        <f>I970+I971</f>
        <v>97002.9</v>
      </c>
      <c r="J969" s="50">
        <f>J970+J971</f>
        <v>333</v>
      </c>
      <c r="K969" s="50">
        <f>K970+K971</f>
        <v>333</v>
      </c>
    </row>
    <row r="970" spans="1:11" ht="63" x14ac:dyDescent="0.25">
      <c r="A970" s="215"/>
      <c r="B970" s="215"/>
      <c r="C970" s="223"/>
      <c r="D970" s="221"/>
      <c r="E970" s="221"/>
      <c r="F970" s="229"/>
      <c r="G970" s="102" t="s">
        <v>70</v>
      </c>
      <c r="H970" s="57" t="s">
        <v>168</v>
      </c>
      <c r="I970" s="50">
        <f>D969*K970</f>
        <v>62338.2</v>
      </c>
      <c r="J970" s="50">
        <f>I970/D969</f>
        <v>214</v>
      </c>
      <c r="K970" s="50">
        <f>116+98</f>
        <v>214</v>
      </c>
    </row>
    <row r="971" spans="1:11" ht="63" x14ac:dyDescent="0.25">
      <c r="A971" s="215"/>
      <c r="B971" s="215"/>
      <c r="C971" s="223"/>
      <c r="D971" s="221"/>
      <c r="E971" s="221"/>
      <c r="F971" s="229"/>
      <c r="G971" s="102" t="s">
        <v>71</v>
      </c>
      <c r="H971" s="57" t="s">
        <v>168</v>
      </c>
      <c r="I971" s="50">
        <f>D969*K971</f>
        <v>34664.699999999997</v>
      </c>
      <c r="J971" s="50">
        <f>I971/D969</f>
        <v>119</v>
      </c>
      <c r="K971" s="50">
        <f>21+98</f>
        <v>119</v>
      </c>
    </row>
    <row r="972" spans="1:11" x14ac:dyDescent="0.25">
      <c r="A972" s="215">
        <f>A969+1</f>
        <v>6</v>
      </c>
      <c r="B972" s="215">
        <v>6733</v>
      </c>
      <c r="C972" s="223" t="s">
        <v>295</v>
      </c>
      <c r="D972" s="220">
        <v>273.3</v>
      </c>
      <c r="E972" s="220" t="s">
        <v>68</v>
      </c>
      <c r="F972" s="228">
        <v>2</v>
      </c>
      <c r="G972" s="110"/>
      <c r="H972" s="57" t="s">
        <v>66</v>
      </c>
      <c r="I972" s="50">
        <f>I973+I974</f>
        <v>91008.9</v>
      </c>
      <c r="J972" s="50">
        <f>J973+J974</f>
        <v>333</v>
      </c>
      <c r="K972" s="50">
        <f>K973+K974</f>
        <v>333</v>
      </c>
    </row>
    <row r="973" spans="1:11" ht="63" x14ac:dyDescent="0.25">
      <c r="A973" s="215"/>
      <c r="B973" s="215"/>
      <c r="C973" s="223"/>
      <c r="D973" s="221"/>
      <c r="E973" s="221"/>
      <c r="F973" s="229"/>
      <c r="G973" s="102" t="s">
        <v>70</v>
      </c>
      <c r="H973" s="57" t="s">
        <v>168</v>
      </c>
      <c r="I973" s="50">
        <f>D972*K973</f>
        <v>58486.2</v>
      </c>
      <c r="J973" s="50">
        <f>I973/D972</f>
        <v>214</v>
      </c>
      <c r="K973" s="50">
        <f>116+98</f>
        <v>214</v>
      </c>
    </row>
    <row r="974" spans="1:11" ht="63" x14ac:dyDescent="0.25">
      <c r="A974" s="215"/>
      <c r="B974" s="215"/>
      <c r="C974" s="223"/>
      <c r="D974" s="221"/>
      <c r="E974" s="221"/>
      <c r="F974" s="229"/>
      <c r="G974" s="102" t="s">
        <v>71</v>
      </c>
      <c r="H974" s="57" t="s">
        <v>168</v>
      </c>
      <c r="I974" s="50">
        <f>D972*K974</f>
        <v>32522.7</v>
      </c>
      <c r="J974" s="50">
        <f>I974/D972</f>
        <v>119</v>
      </c>
      <c r="K974" s="50">
        <f>21+98</f>
        <v>119</v>
      </c>
    </row>
    <row r="975" spans="1:11" x14ac:dyDescent="0.25">
      <c r="A975" s="51" t="s">
        <v>35</v>
      </c>
      <c r="B975" s="51"/>
      <c r="C975" s="165"/>
      <c r="D975" s="50">
        <f>D976+D978+D981+D988+D990+D992+D995+D998+D1000+D1002+D1004+D1006+D1008+D1010+D1012+D1014+D1016+D1018+D1021</f>
        <v>10255.4</v>
      </c>
      <c r="E975" s="50"/>
      <c r="F975" s="50"/>
      <c r="G975" s="109"/>
      <c r="H975" s="64"/>
      <c r="I975" s="55">
        <f>I976+I978+I981+I988+I990+I992+I995+I998+I1000+I1002+I1004+I1006+I1008+I1010+I1012+I1014+I1016+I1018+I1021</f>
        <v>10238573.369999999</v>
      </c>
      <c r="J975" s="55"/>
      <c r="K975" s="55"/>
    </row>
    <row r="976" spans="1:11" x14ac:dyDescent="0.25">
      <c r="A976" s="216">
        <v>1</v>
      </c>
      <c r="B976" s="216">
        <v>5672</v>
      </c>
      <c r="C976" s="218" t="s">
        <v>508</v>
      </c>
      <c r="D976" s="220">
        <v>327.60000000000002</v>
      </c>
      <c r="E976" s="220" t="s">
        <v>167</v>
      </c>
      <c r="F976" s="228">
        <v>2</v>
      </c>
      <c r="G976" s="108"/>
      <c r="H976" s="57" t="s">
        <v>66</v>
      </c>
      <c r="I976" s="50">
        <f>SUM(I977)</f>
        <v>235281</v>
      </c>
      <c r="J976" s="50">
        <f t="shared" ref="J976:K976" si="41">SUM(J977)</f>
        <v>718.2</v>
      </c>
      <c r="K976" s="50">
        <f t="shared" si="41"/>
        <v>838</v>
      </c>
    </row>
    <row r="977" spans="1:11" ht="63" x14ac:dyDescent="0.25">
      <c r="A977" s="217"/>
      <c r="B977" s="217"/>
      <c r="C977" s="219"/>
      <c r="D977" s="221"/>
      <c r="E977" s="221"/>
      <c r="F977" s="229"/>
      <c r="G977" s="105" t="s">
        <v>478</v>
      </c>
      <c r="H977" s="66" t="s">
        <v>168</v>
      </c>
      <c r="I977" s="50">
        <v>235281</v>
      </c>
      <c r="J977" s="50">
        <f>I977/D976</f>
        <v>718.2</v>
      </c>
      <c r="K977" s="50">
        <f>790+48</f>
        <v>838</v>
      </c>
    </row>
    <row r="978" spans="1:11" x14ac:dyDescent="0.25">
      <c r="A978" s="216">
        <f>A976+1</f>
        <v>2</v>
      </c>
      <c r="B978" s="216">
        <v>5674</v>
      </c>
      <c r="C978" s="218" t="s">
        <v>509</v>
      </c>
      <c r="D978" s="220">
        <v>519.4</v>
      </c>
      <c r="E978" s="220" t="s">
        <v>167</v>
      </c>
      <c r="F978" s="228">
        <v>2</v>
      </c>
      <c r="G978" s="108"/>
      <c r="H978" s="57" t="s">
        <v>66</v>
      </c>
      <c r="I978" s="50">
        <f>SUM(I979:I980)</f>
        <v>96608.4</v>
      </c>
      <c r="J978" s="50">
        <f>SUM(J979:J980)</f>
        <v>186</v>
      </c>
      <c r="K978" s="50">
        <f>SUM(K979:K980)</f>
        <v>186</v>
      </c>
    </row>
    <row r="979" spans="1:11" ht="63" x14ac:dyDescent="0.25">
      <c r="A979" s="217"/>
      <c r="B979" s="217"/>
      <c r="C979" s="219"/>
      <c r="D979" s="221"/>
      <c r="E979" s="221"/>
      <c r="F979" s="229"/>
      <c r="G979" s="105" t="s">
        <v>70</v>
      </c>
      <c r="H979" s="66" t="s">
        <v>168</v>
      </c>
      <c r="I979" s="50">
        <f>D978*K979</f>
        <v>72716</v>
      </c>
      <c r="J979" s="50">
        <f>I979/D978</f>
        <v>140</v>
      </c>
      <c r="K979" s="50">
        <f>119+21</f>
        <v>140</v>
      </c>
    </row>
    <row r="980" spans="1:11" ht="63" x14ac:dyDescent="0.25">
      <c r="A980" s="217"/>
      <c r="B980" s="217"/>
      <c r="C980" s="219"/>
      <c r="D980" s="221"/>
      <c r="E980" s="221"/>
      <c r="F980" s="229"/>
      <c r="G980" s="105" t="s">
        <v>71</v>
      </c>
      <c r="H980" s="57" t="s">
        <v>168</v>
      </c>
      <c r="I980" s="50">
        <f>D978*K980</f>
        <v>23892.400000000001</v>
      </c>
      <c r="J980" s="50">
        <f>I980/D978</f>
        <v>46</v>
      </c>
      <c r="K980" s="50">
        <f>25+21</f>
        <v>46</v>
      </c>
    </row>
    <row r="981" spans="1:11" x14ac:dyDescent="0.25">
      <c r="A981" s="295">
        <f>A978+1</f>
        <v>3</v>
      </c>
      <c r="B981" s="295">
        <v>5611</v>
      </c>
      <c r="C981" s="218" t="s">
        <v>437</v>
      </c>
      <c r="D981" s="295">
        <v>458.4</v>
      </c>
      <c r="E981" s="295" t="s">
        <v>167</v>
      </c>
      <c r="F981" s="295">
        <v>2</v>
      </c>
      <c r="G981" s="110"/>
      <c r="H981" s="57" t="s">
        <v>66</v>
      </c>
      <c r="I981" s="50">
        <f>SUM(I982:I987)</f>
        <v>3535555.81</v>
      </c>
      <c r="J981" s="50">
        <f>SUM(J982:J987)</f>
        <v>7712.82</v>
      </c>
      <c r="K981" s="50">
        <f>SUM(K982:K987)</f>
        <v>10911</v>
      </c>
    </row>
    <row r="982" spans="1:11" ht="63" x14ac:dyDescent="0.25">
      <c r="A982" s="296"/>
      <c r="B982" s="296"/>
      <c r="C982" s="219"/>
      <c r="D982" s="296"/>
      <c r="E982" s="296"/>
      <c r="F982" s="296"/>
      <c r="G982" s="217" t="s">
        <v>75</v>
      </c>
      <c r="H982" s="57" t="s">
        <v>168</v>
      </c>
      <c r="I982" s="50">
        <f>102131.35+12376.8</f>
        <v>114508.15</v>
      </c>
      <c r="J982" s="50">
        <f>I982/D981</f>
        <v>249.8</v>
      </c>
      <c r="K982" s="50">
        <f>232+27</f>
        <v>259</v>
      </c>
    </row>
    <row r="983" spans="1:11" x14ac:dyDescent="0.25">
      <c r="A983" s="296"/>
      <c r="B983" s="296"/>
      <c r="C983" s="219"/>
      <c r="D983" s="296"/>
      <c r="E983" s="296"/>
      <c r="F983" s="296"/>
      <c r="G983" s="217"/>
      <c r="H983" s="57" t="s">
        <v>67</v>
      </c>
      <c r="I983" s="50">
        <v>1755871.64</v>
      </c>
      <c r="J983" s="50">
        <f>I983/D981-0.01</f>
        <v>3830.43</v>
      </c>
      <c r="K983" s="50">
        <v>5807</v>
      </c>
    </row>
    <row r="984" spans="1:11" x14ac:dyDescent="0.25">
      <c r="A984" s="296"/>
      <c r="B984" s="296"/>
      <c r="C984" s="219"/>
      <c r="D984" s="296"/>
      <c r="E984" s="296"/>
      <c r="F984" s="296"/>
      <c r="G984" s="217"/>
      <c r="H984" s="57" t="s">
        <v>69</v>
      </c>
      <c r="I984" s="50">
        <f>I983*0.0214</f>
        <v>37575.65</v>
      </c>
      <c r="J984" s="50">
        <f>I984/D981</f>
        <v>81.97</v>
      </c>
      <c r="K984" s="50">
        <v>124</v>
      </c>
    </row>
    <row r="985" spans="1:11" ht="63" x14ac:dyDescent="0.25">
      <c r="A985" s="296"/>
      <c r="B985" s="296"/>
      <c r="C985" s="219"/>
      <c r="D985" s="296"/>
      <c r="E985" s="296"/>
      <c r="F985" s="296"/>
      <c r="G985" s="217"/>
      <c r="H985" s="57" t="s">
        <v>168</v>
      </c>
      <c r="I985" s="50">
        <f>80731.12+5680</f>
        <v>86411.12</v>
      </c>
      <c r="J985" s="50">
        <f>I985/D981</f>
        <v>188.51</v>
      </c>
      <c r="K985" s="50">
        <f>177+28</f>
        <v>205</v>
      </c>
    </row>
    <row r="986" spans="1:11" x14ac:dyDescent="0.25">
      <c r="A986" s="296"/>
      <c r="B986" s="296"/>
      <c r="C986" s="219"/>
      <c r="D986" s="296"/>
      <c r="E986" s="296"/>
      <c r="F986" s="296"/>
      <c r="G986" s="217"/>
      <c r="H986" s="57" t="s">
        <v>179</v>
      </c>
      <c r="I986" s="50">
        <v>1512012.1</v>
      </c>
      <c r="J986" s="50">
        <f>I986/D981</f>
        <v>3298.46</v>
      </c>
      <c r="K986" s="50">
        <v>4421</v>
      </c>
    </row>
    <row r="987" spans="1:11" x14ac:dyDescent="0.25">
      <c r="A987" s="297"/>
      <c r="B987" s="297"/>
      <c r="C987" s="226"/>
      <c r="D987" s="297"/>
      <c r="E987" s="297"/>
      <c r="F987" s="297"/>
      <c r="G987" s="222"/>
      <c r="H987" s="57" t="s">
        <v>69</v>
      </c>
      <c r="I987" s="50">
        <v>29177.15</v>
      </c>
      <c r="J987" s="50">
        <f>I987/D981</f>
        <v>63.65</v>
      </c>
      <c r="K987" s="50">
        <v>95</v>
      </c>
    </row>
    <row r="988" spans="1:11" x14ac:dyDescent="0.25">
      <c r="A988" s="216">
        <f>A981+1</f>
        <v>4</v>
      </c>
      <c r="B988" s="216">
        <v>5397</v>
      </c>
      <c r="C988" s="218" t="s">
        <v>590</v>
      </c>
      <c r="D988" s="220">
        <v>524.29999999999995</v>
      </c>
      <c r="E988" s="220" t="s">
        <v>167</v>
      </c>
      <c r="F988" s="228">
        <v>2</v>
      </c>
      <c r="G988" s="216" t="s">
        <v>65</v>
      </c>
      <c r="H988" s="57" t="s">
        <v>66</v>
      </c>
      <c r="I988" s="50">
        <f>SUM(I989:I989)</f>
        <v>87802.95</v>
      </c>
      <c r="J988" s="50">
        <f>SUM(J989:J989)</f>
        <v>167.47</v>
      </c>
      <c r="K988" s="50">
        <f>SUM(K989:K989)</f>
        <v>259</v>
      </c>
    </row>
    <row r="989" spans="1:11" ht="63" x14ac:dyDescent="0.25">
      <c r="A989" s="217"/>
      <c r="B989" s="217"/>
      <c r="C989" s="219"/>
      <c r="D989" s="221"/>
      <c r="E989" s="221"/>
      <c r="F989" s="229"/>
      <c r="G989" s="222"/>
      <c r="H989" s="66" t="s">
        <v>178</v>
      </c>
      <c r="I989" s="50">
        <v>87802.95</v>
      </c>
      <c r="J989" s="50">
        <f>I989/D988</f>
        <v>167.47</v>
      </c>
      <c r="K989" s="50">
        <f>163+96</f>
        <v>259</v>
      </c>
    </row>
    <row r="990" spans="1:11" x14ac:dyDescent="0.25">
      <c r="A990" s="216">
        <f>A988+1</f>
        <v>5</v>
      </c>
      <c r="B990" s="216">
        <v>5623</v>
      </c>
      <c r="C990" s="218" t="s">
        <v>512</v>
      </c>
      <c r="D990" s="220">
        <v>705.5</v>
      </c>
      <c r="E990" s="220" t="s">
        <v>167</v>
      </c>
      <c r="F990" s="228">
        <v>2</v>
      </c>
      <c r="G990" s="108"/>
      <c r="H990" s="57" t="s">
        <v>66</v>
      </c>
      <c r="I990" s="50">
        <f>SUM(I991:I991)</f>
        <v>290592</v>
      </c>
      <c r="J990" s="50">
        <f>SUM(J991:J991)</f>
        <v>411.9</v>
      </c>
      <c r="K990" s="50">
        <f>SUM(K991:K991)</f>
        <v>838</v>
      </c>
    </row>
    <row r="991" spans="1:11" ht="63" x14ac:dyDescent="0.25">
      <c r="A991" s="217"/>
      <c r="B991" s="217"/>
      <c r="C991" s="219"/>
      <c r="D991" s="221"/>
      <c r="E991" s="221"/>
      <c r="F991" s="229"/>
      <c r="G991" s="105" t="s">
        <v>478</v>
      </c>
      <c r="H991" s="66" t="s">
        <v>168</v>
      </c>
      <c r="I991" s="50">
        <f>8080+282512</f>
        <v>290592</v>
      </c>
      <c r="J991" s="50">
        <f>I991/D990</f>
        <v>411.9</v>
      </c>
      <c r="K991" s="50">
        <f>790+48</f>
        <v>838</v>
      </c>
    </row>
    <row r="992" spans="1:11" x14ac:dyDescent="0.25">
      <c r="A992" s="216">
        <f>A990+1</f>
        <v>6</v>
      </c>
      <c r="B992" s="216">
        <v>5464</v>
      </c>
      <c r="C992" s="218" t="s">
        <v>159</v>
      </c>
      <c r="D992" s="220">
        <v>381.8</v>
      </c>
      <c r="E992" s="220" t="s">
        <v>167</v>
      </c>
      <c r="F992" s="228">
        <v>2</v>
      </c>
      <c r="G992" s="110"/>
      <c r="H992" s="57" t="s">
        <v>66</v>
      </c>
      <c r="I992" s="50">
        <f>I993+I994</f>
        <v>1984973.45</v>
      </c>
      <c r="J992" s="50">
        <f t="shared" ref="J992:K992" si="42">J993+J994</f>
        <v>5198.99</v>
      </c>
      <c r="K992" s="50">
        <f t="shared" si="42"/>
        <v>8203</v>
      </c>
    </row>
    <row r="993" spans="1:11" x14ac:dyDescent="0.25">
      <c r="A993" s="217"/>
      <c r="B993" s="217"/>
      <c r="C993" s="219"/>
      <c r="D993" s="221"/>
      <c r="E993" s="221"/>
      <c r="F993" s="229"/>
      <c r="G993" s="215" t="s">
        <v>65</v>
      </c>
      <c r="H993" s="57" t="s">
        <v>67</v>
      </c>
      <c r="I993" s="50">
        <v>1943385.01</v>
      </c>
      <c r="J993" s="50">
        <f>I993/D992</f>
        <v>5090.0600000000004</v>
      </c>
      <c r="K993" s="50">
        <v>8031</v>
      </c>
    </row>
    <row r="994" spans="1:11" x14ac:dyDescent="0.25">
      <c r="A994" s="217"/>
      <c r="B994" s="217"/>
      <c r="C994" s="219"/>
      <c r="D994" s="221"/>
      <c r="E994" s="221"/>
      <c r="F994" s="229"/>
      <c r="G994" s="215"/>
      <c r="H994" s="57" t="s">
        <v>69</v>
      </c>
      <c r="I994" s="50">
        <v>41588.44</v>
      </c>
      <c r="J994" s="50">
        <f>I994/D992</f>
        <v>108.93</v>
      </c>
      <c r="K994" s="50">
        <v>172</v>
      </c>
    </row>
    <row r="995" spans="1:11" x14ac:dyDescent="0.25">
      <c r="A995" s="216">
        <f>A992+1</f>
        <v>7</v>
      </c>
      <c r="B995" s="216">
        <v>5468</v>
      </c>
      <c r="C995" s="218" t="s">
        <v>424</v>
      </c>
      <c r="D995" s="220">
        <v>404</v>
      </c>
      <c r="E995" s="220" t="s">
        <v>167</v>
      </c>
      <c r="F995" s="228">
        <v>2</v>
      </c>
      <c r="G995" s="209" t="s">
        <v>75</v>
      </c>
      <c r="H995" s="57" t="s">
        <v>66</v>
      </c>
      <c r="I995" s="50">
        <f>SUM(I996:I997)</f>
        <v>170319.27</v>
      </c>
      <c r="J995" s="50">
        <f>SUM(J996:J997)</f>
        <v>421.58</v>
      </c>
      <c r="K995" s="50">
        <f>SUM(K996:K997)</f>
        <v>464</v>
      </c>
    </row>
    <row r="996" spans="1:11" ht="63" x14ac:dyDescent="0.25">
      <c r="A996" s="217"/>
      <c r="B996" s="217"/>
      <c r="C996" s="219"/>
      <c r="D996" s="221"/>
      <c r="E996" s="221"/>
      <c r="F996" s="229"/>
      <c r="G996" s="210"/>
      <c r="H996" s="66" t="s">
        <v>178</v>
      </c>
      <c r="I996" s="50">
        <v>95088.81</v>
      </c>
      <c r="J996" s="50">
        <f>I996/D995</f>
        <v>235.37</v>
      </c>
      <c r="K996" s="50">
        <f>232+27</f>
        <v>259</v>
      </c>
    </row>
    <row r="997" spans="1:11" ht="63" x14ac:dyDescent="0.25">
      <c r="A997" s="217"/>
      <c r="B997" s="217"/>
      <c r="C997" s="219"/>
      <c r="D997" s="221"/>
      <c r="E997" s="221"/>
      <c r="F997" s="229"/>
      <c r="G997" s="211"/>
      <c r="H997" s="57" t="s">
        <v>504</v>
      </c>
      <c r="I997" s="50">
        <v>75230.460000000006</v>
      </c>
      <c r="J997" s="50">
        <f>I997/D995</f>
        <v>186.21</v>
      </c>
      <c r="K997" s="50">
        <f>177+28</f>
        <v>205</v>
      </c>
    </row>
    <row r="998" spans="1:11" x14ac:dyDescent="0.25">
      <c r="A998" s="216">
        <f>A995+1</f>
        <v>8</v>
      </c>
      <c r="B998" s="216">
        <v>5469</v>
      </c>
      <c r="C998" s="218" t="s">
        <v>425</v>
      </c>
      <c r="D998" s="220">
        <v>327.9</v>
      </c>
      <c r="E998" s="220" t="s">
        <v>167</v>
      </c>
      <c r="F998" s="228">
        <v>2</v>
      </c>
      <c r="G998" s="216" t="s">
        <v>478</v>
      </c>
      <c r="H998" s="57" t="s">
        <v>66</v>
      </c>
      <c r="I998" s="50">
        <f>SUM(I999:I999)</f>
        <v>245104</v>
      </c>
      <c r="J998" s="50">
        <f>SUM(J999:J999)</f>
        <v>747.5</v>
      </c>
      <c r="K998" s="50">
        <f>SUM(K999:K999)</f>
        <v>838</v>
      </c>
    </row>
    <row r="999" spans="1:11" ht="63" x14ac:dyDescent="0.25">
      <c r="A999" s="217"/>
      <c r="B999" s="217"/>
      <c r="C999" s="219"/>
      <c r="D999" s="221"/>
      <c r="E999" s="221"/>
      <c r="F999" s="229"/>
      <c r="G999" s="222"/>
      <c r="H999" s="66" t="s">
        <v>168</v>
      </c>
      <c r="I999" s="50">
        <v>245104</v>
      </c>
      <c r="J999" s="50">
        <f>I999/D998</f>
        <v>747.5</v>
      </c>
      <c r="K999" s="50">
        <f>790+48</f>
        <v>838</v>
      </c>
    </row>
    <row r="1000" spans="1:11" x14ac:dyDescent="0.25">
      <c r="A1000" s="216">
        <f>A998+1</f>
        <v>9</v>
      </c>
      <c r="B1000" s="216">
        <v>5470</v>
      </c>
      <c r="C1000" s="218" t="s">
        <v>426</v>
      </c>
      <c r="D1000" s="220">
        <v>321.39999999999998</v>
      </c>
      <c r="E1000" s="220" t="s">
        <v>167</v>
      </c>
      <c r="F1000" s="228">
        <v>2</v>
      </c>
      <c r="G1000" s="216" t="s">
        <v>65</v>
      </c>
      <c r="H1000" s="57" t="s">
        <v>66</v>
      </c>
      <c r="I1000" s="50">
        <f>SUM(I1001:I1001)</f>
        <v>64926.26</v>
      </c>
      <c r="J1000" s="50">
        <f>SUM(J1001:J1001)</f>
        <v>202.01</v>
      </c>
      <c r="K1000" s="50">
        <f>SUM(K1001:K1001)</f>
        <v>259</v>
      </c>
    </row>
    <row r="1001" spans="1:11" ht="63" x14ac:dyDescent="0.25">
      <c r="A1001" s="217"/>
      <c r="B1001" s="217"/>
      <c r="C1001" s="219"/>
      <c r="D1001" s="221"/>
      <c r="E1001" s="221"/>
      <c r="F1001" s="229"/>
      <c r="G1001" s="222"/>
      <c r="H1001" s="66" t="s">
        <v>178</v>
      </c>
      <c r="I1001" s="50">
        <v>64926.26</v>
      </c>
      <c r="J1001" s="50">
        <f>I1001/D1000</f>
        <v>202.01</v>
      </c>
      <c r="K1001" s="50">
        <f>163+96</f>
        <v>259</v>
      </c>
    </row>
    <row r="1002" spans="1:11" x14ac:dyDescent="0.25">
      <c r="A1002" s="216">
        <f>A1000+1</f>
        <v>10</v>
      </c>
      <c r="B1002" s="216">
        <v>5473</v>
      </c>
      <c r="C1002" s="218" t="s">
        <v>427</v>
      </c>
      <c r="D1002" s="220">
        <v>403.1</v>
      </c>
      <c r="E1002" s="220" t="s">
        <v>167</v>
      </c>
      <c r="F1002" s="228">
        <v>2</v>
      </c>
      <c r="G1002" s="216" t="s">
        <v>65</v>
      </c>
      <c r="H1002" s="57" t="s">
        <v>66</v>
      </c>
      <c r="I1002" s="50">
        <f>SUM(I1003:I1003)</f>
        <v>77216.77</v>
      </c>
      <c r="J1002" s="50">
        <f>SUM(J1003:J1003)</f>
        <v>191.56</v>
      </c>
      <c r="K1002" s="50">
        <f>SUM(K1003:K1003)</f>
        <v>259</v>
      </c>
    </row>
    <row r="1003" spans="1:11" ht="63" x14ac:dyDescent="0.25">
      <c r="A1003" s="217"/>
      <c r="B1003" s="217"/>
      <c r="C1003" s="219"/>
      <c r="D1003" s="221"/>
      <c r="E1003" s="221"/>
      <c r="F1003" s="229"/>
      <c r="G1003" s="222"/>
      <c r="H1003" s="66" t="s">
        <v>178</v>
      </c>
      <c r="I1003" s="50">
        <v>77216.77</v>
      </c>
      <c r="J1003" s="50">
        <f>I1003/D1002</f>
        <v>191.56</v>
      </c>
      <c r="K1003" s="50">
        <f>163+96</f>
        <v>259</v>
      </c>
    </row>
    <row r="1004" spans="1:11" x14ac:dyDescent="0.25">
      <c r="A1004" s="216">
        <f>A1002+1</f>
        <v>11</v>
      </c>
      <c r="B1004" s="216">
        <v>5491</v>
      </c>
      <c r="C1004" s="218" t="s">
        <v>521</v>
      </c>
      <c r="D1004" s="220">
        <v>639.5</v>
      </c>
      <c r="E1004" s="220" t="s">
        <v>68</v>
      </c>
      <c r="F1004" s="228">
        <v>2</v>
      </c>
      <c r="G1004" s="216" t="s">
        <v>65</v>
      </c>
      <c r="H1004" s="57" t="s">
        <v>66</v>
      </c>
      <c r="I1004" s="50">
        <f>I1005</f>
        <v>105167.7</v>
      </c>
      <c r="J1004" s="50">
        <f>J1005</f>
        <v>164.45</v>
      </c>
      <c r="K1004" s="50">
        <f>K1005</f>
        <v>250</v>
      </c>
    </row>
    <row r="1005" spans="1:11" ht="63" x14ac:dyDescent="0.25">
      <c r="A1005" s="222"/>
      <c r="B1005" s="222"/>
      <c r="C1005" s="226"/>
      <c r="D1005" s="227"/>
      <c r="E1005" s="227"/>
      <c r="F1005" s="230"/>
      <c r="G1005" s="222"/>
      <c r="H1005" s="66" t="s">
        <v>168</v>
      </c>
      <c r="I1005" s="50">
        <v>105167.7</v>
      </c>
      <c r="J1005" s="50">
        <f>I1005/D1004</f>
        <v>164.45</v>
      </c>
      <c r="K1005" s="50">
        <f>154+96</f>
        <v>250</v>
      </c>
    </row>
    <row r="1006" spans="1:11" x14ac:dyDescent="0.25">
      <c r="A1006" s="216">
        <f>A1004+1</f>
        <v>12</v>
      </c>
      <c r="B1006" s="216">
        <v>5493</v>
      </c>
      <c r="C1006" s="218" t="s">
        <v>428</v>
      </c>
      <c r="D1006" s="220">
        <v>1503.6</v>
      </c>
      <c r="E1006" s="220" t="s">
        <v>68</v>
      </c>
      <c r="F1006" s="228">
        <v>3</v>
      </c>
      <c r="G1006" s="216" t="s">
        <v>65</v>
      </c>
      <c r="H1006" s="57" t="s">
        <v>66</v>
      </c>
      <c r="I1006" s="50">
        <f>I1007</f>
        <v>150488.22</v>
      </c>
      <c r="J1006" s="50">
        <f>J1007</f>
        <v>100.09</v>
      </c>
      <c r="K1006" s="50">
        <f>K1007</f>
        <v>242</v>
      </c>
    </row>
    <row r="1007" spans="1:11" ht="63" x14ac:dyDescent="0.25">
      <c r="A1007" s="222"/>
      <c r="B1007" s="222"/>
      <c r="C1007" s="226"/>
      <c r="D1007" s="227"/>
      <c r="E1007" s="227"/>
      <c r="F1007" s="230"/>
      <c r="G1007" s="222"/>
      <c r="H1007" s="66" t="s">
        <v>168</v>
      </c>
      <c r="I1007" s="50">
        <v>150488.22</v>
      </c>
      <c r="J1007" s="50">
        <f>I1007/D1006</f>
        <v>100.09</v>
      </c>
      <c r="K1007" s="50">
        <f>154+88</f>
        <v>242</v>
      </c>
    </row>
    <row r="1008" spans="1:11" x14ac:dyDescent="0.25">
      <c r="A1008" s="216">
        <f>A1006+1</f>
        <v>13</v>
      </c>
      <c r="B1008" s="216">
        <v>5494</v>
      </c>
      <c r="C1008" s="218" t="s">
        <v>516</v>
      </c>
      <c r="D1008" s="220">
        <v>1504.3</v>
      </c>
      <c r="E1008" s="220" t="s">
        <v>68</v>
      </c>
      <c r="F1008" s="228">
        <v>3</v>
      </c>
      <c r="G1008" s="216" t="s">
        <v>65</v>
      </c>
      <c r="H1008" s="57" t="s">
        <v>66</v>
      </c>
      <c r="I1008" s="50">
        <f>SUM(I1009:I1009)</f>
        <v>148948.17000000001</v>
      </c>
      <c r="J1008" s="50">
        <f>SUM(J1009:J1009)</f>
        <v>99.01</v>
      </c>
      <c r="K1008" s="50">
        <f>SUM(K1009:K1009)</f>
        <v>242</v>
      </c>
    </row>
    <row r="1009" spans="1:11" ht="63" x14ac:dyDescent="0.25">
      <c r="A1009" s="217"/>
      <c r="B1009" s="217"/>
      <c r="C1009" s="219"/>
      <c r="D1009" s="221"/>
      <c r="E1009" s="221"/>
      <c r="F1009" s="229"/>
      <c r="G1009" s="222"/>
      <c r="H1009" s="66" t="s">
        <v>168</v>
      </c>
      <c r="I1009" s="50">
        <v>148948.17000000001</v>
      </c>
      <c r="J1009" s="50">
        <f>I1009/D1008</f>
        <v>99.01</v>
      </c>
      <c r="K1009" s="50">
        <f>154+88</f>
        <v>242</v>
      </c>
    </row>
    <row r="1010" spans="1:11" x14ac:dyDescent="0.25">
      <c r="A1010" s="216">
        <f>A1008+1</f>
        <v>14</v>
      </c>
      <c r="B1010" s="216">
        <v>5482</v>
      </c>
      <c r="C1010" s="218" t="s">
        <v>429</v>
      </c>
      <c r="D1010" s="220">
        <v>323.60000000000002</v>
      </c>
      <c r="E1010" s="220" t="s">
        <v>167</v>
      </c>
      <c r="F1010" s="228">
        <v>2</v>
      </c>
      <c r="G1010" s="216" t="s">
        <v>65</v>
      </c>
      <c r="H1010" s="57" t="s">
        <v>66</v>
      </c>
      <c r="I1010" s="50">
        <f>SUM(I1011:I1011)</f>
        <v>63116.7</v>
      </c>
      <c r="J1010" s="50">
        <f>SUM(J1011:J1011)</f>
        <v>195.05</v>
      </c>
      <c r="K1010" s="50">
        <f>SUM(K1011:K1011)</f>
        <v>259</v>
      </c>
    </row>
    <row r="1011" spans="1:11" ht="63" x14ac:dyDescent="0.25">
      <c r="A1011" s="217"/>
      <c r="B1011" s="217"/>
      <c r="C1011" s="219"/>
      <c r="D1011" s="221"/>
      <c r="E1011" s="221"/>
      <c r="F1011" s="229"/>
      <c r="G1011" s="222"/>
      <c r="H1011" s="66" t="s">
        <v>168</v>
      </c>
      <c r="I1011" s="50">
        <v>63116.7</v>
      </c>
      <c r="J1011" s="50">
        <f>I1011/D1010</f>
        <v>195.05</v>
      </c>
      <c r="K1011" s="50">
        <f>163+96</f>
        <v>259</v>
      </c>
    </row>
    <row r="1012" spans="1:11" x14ac:dyDescent="0.25">
      <c r="A1012" s="216">
        <f>A1010+1</f>
        <v>15</v>
      </c>
      <c r="B1012" s="216">
        <v>5485</v>
      </c>
      <c r="C1012" s="218" t="s">
        <v>519</v>
      </c>
      <c r="D1012" s="220">
        <v>394.2</v>
      </c>
      <c r="E1012" s="220" t="s">
        <v>167</v>
      </c>
      <c r="F1012" s="228">
        <v>2</v>
      </c>
      <c r="G1012" s="108"/>
      <c r="H1012" s="57" t="s">
        <v>66</v>
      </c>
      <c r="I1012" s="50">
        <f>SUM(I1013:I1013)</f>
        <v>18133.2</v>
      </c>
      <c r="J1012" s="50">
        <f>SUM(J1013:J1013)</f>
        <v>46</v>
      </c>
      <c r="K1012" s="50">
        <f>SUM(K1013:K1013)</f>
        <v>46</v>
      </c>
    </row>
    <row r="1013" spans="1:11" ht="63" x14ac:dyDescent="0.25">
      <c r="A1013" s="217"/>
      <c r="B1013" s="217"/>
      <c r="C1013" s="219"/>
      <c r="D1013" s="221"/>
      <c r="E1013" s="221"/>
      <c r="F1013" s="229"/>
      <c r="G1013" s="105" t="s">
        <v>71</v>
      </c>
      <c r="H1013" s="66" t="s">
        <v>168</v>
      </c>
      <c r="I1013" s="50">
        <f>D1012*K1013</f>
        <v>18133.2</v>
      </c>
      <c r="J1013" s="50">
        <f>I1013/D1012</f>
        <v>46</v>
      </c>
      <c r="K1013" s="50">
        <f>25+21</f>
        <v>46</v>
      </c>
    </row>
    <row r="1014" spans="1:11" x14ac:dyDescent="0.25">
      <c r="A1014" s="216">
        <f>A1012+1</f>
        <v>16</v>
      </c>
      <c r="B1014" s="216">
        <v>5486</v>
      </c>
      <c r="C1014" s="218" t="s">
        <v>520</v>
      </c>
      <c r="D1014" s="220">
        <v>398.4</v>
      </c>
      <c r="E1014" s="220" t="s">
        <v>167</v>
      </c>
      <c r="F1014" s="228">
        <v>2</v>
      </c>
      <c r="G1014" s="108"/>
      <c r="H1014" s="57" t="s">
        <v>66</v>
      </c>
      <c r="I1014" s="50">
        <f>SUM(I1015:I1015)</f>
        <v>18326.400000000001</v>
      </c>
      <c r="J1014" s="50">
        <f>SUM(J1015:J1015)</f>
        <v>46</v>
      </c>
      <c r="K1014" s="50">
        <f>SUM(K1015:K1015)</f>
        <v>46</v>
      </c>
    </row>
    <row r="1015" spans="1:11" ht="63" x14ac:dyDescent="0.25">
      <c r="A1015" s="217"/>
      <c r="B1015" s="217"/>
      <c r="C1015" s="219"/>
      <c r="D1015" s="221"/>
      <c r="E1015" s="221"/>
      <c r="F1015" s="229"/>
      <c r="G1015" s="102" t="s">
        <v>71</v>
      </c>
      <c r="H1015" s="67" t="s">
        <v>168</v>
      </c>
      <c r="I1015" s="60">
        <f>D1014*K1015</f>
        <v>18326.400000000001</v>
      </c>
      <c r="J1015" s="60">
        <f>I1015/D1014</f>
        <v>46</v>
      </c>
      <c r="K1015" s="60">
        <f>25+21</f>
        <v>46</v>
      </c>
    </row>
    <row r="1016" spans="1:11" x14ac:dyDescent="0.25">
      <c r="A1016" s="215">
        <f>A1014+1</f>
        <v>17</v>
      </c>
      <c r="B1016" s="215">
        <v>5545</v>
      </c>
      <c r="C1016" s="223" t="s">
        <v>513</v>
      </c>
      <c r="D1016" s="224">
        <v>356.8</v>
      </c>
      <c r="E1016" s="220" t="s">
        <v>68</v>
      </c>
      <c r="F1016" s="228">
        <v>2</v>
      </c>
      <c r="G1016" s="216" t="s">
        <v>65</v>
      </c>
      <c r="H1016" s="57" t="s">
        <v>66</v>
      </c>
      <c r="I1016" s="50">
        <f>I1017</f>
        <v>69872.460000000006</v>
      </c>
      <c r="J1016" s="50">
        <f>J1017</f>
        <v>195.83</v>
      </c>
      <c r="K1016" s="50">
        <f>K1017</f>
        <v>250</v>
      </c>
    </row>
    <row r="1017" spans="1:11" ht="63" x14ac:dyDescent="0.25">
      <c r="A1017" s="215"/>
      <c r="B1017" s="215"/>
      <c r="C1017" s="223"/>
      <c r="D1017" s="224"/>
      <c r="E1017" s="221"/>
      <c r="F1017" s="229"/>
      <c r="G1017" s="222"/>
      <c r="H1017" s="66" t="s">
        <v>168</v>
      </c>
      <c r="I1017" s="50">
        <v>69872.460000000006</v>
      </c>
      <c r="J1017" s="50">
        <f>I1017/D1016</f>
        <v>195.83</v>
      </c>
      <c r="K1017" s="50">
        <f>154+96</f>
        <v>250</v>
      </c>
    </row>
    <row r="1018" spans="1:11" x14ac:dyDescent="0.25">
      <c r="A1018" s="216">
        <f>A1016+1</f>
        <v>18</v>
      </c>
      <c r="B1018" s="216">
        <v>5820</v>
      </c>
      <c r="C1018" s="218" t="s">
        <v>160</v>
      </c>
      <c r="D1018" s="220">
        <v>409.2</v>
      </c>
      <c r="E1018" s="220" t="s">
        <v>167</v>
      </c>
      <c r="F1018" s="228">
        <v>2</v>
      </c>
      <c r="G1018" s="108"/>
      <c r="H1018" s="57" t="s">
        <v>66</v>
      </c>
      <c r="I1018" s="50">
        <f>I1019+I1020</f>
        <v>2808351.01</v>
      </c>
      <c r="J1018" s="50">
        <f>J1019+J1020</f>
        <v>6863.03</v>
      </c>
      <c r="K1018" s="50">
        <f>K1019+K1020</f>
        <v>8203</v>
      </c>
    </row>
    <row r="1019" spans="1:11" x14ac:dyDescent="0.25">
      <c r="A1019" s="217"/>
      <c r="B1019" s="217"/>
      <c r="C1019" s="219"/>
      <c r="D1019" s="221"/>
      <c r="E1019" s="221"/>
      <c r="F1019" s="229"/>
      <c r="G1019" s="215" t="s">
        <v>65</v>
      </c>
      <c r="H1019" s="57" t="s">
        <v>67</v>
      </c>
      <c r="I1019" s="50">
        <v>2749511.46</v>
      </c>
      <c r="J1019" s="50">
        <f>I1019/D1018</f>
        <v>6719.24</v>
      </c>
      <c r="K1019" s="50">
        <v>8031</v>
      </c>
    </row>
    <row r="1020" spans="1:11" x14ac:dyDescent="0.25">
      <c r="A1020" s="222"/>
      <c r="B1020" s="222"/>
      <c r="C1020" s="226"/>
      <c r="D1020" s="227"/>
      <c r="E1020" s="227"/>
      <c r="F1020" s="230"/>
      <c r="G1020" s="215"/>
      <c r="H1020" s="57" t="s">
        <v>69</v>
      </c>
      <c r="I1020" s="50">
        <v>58839.55</v>
      </c>
      <c r="J1020" s="50">
        <f>I1020/D1018</f>
        <v>143.79</v>
      </c>
      <c r="K1020" s="50">
        <v>172</v>
      </c>
    </row>
    <row r="1021" spans="1:11" x14ac:dyDescent="0.25">
      <c r="A1021" s="215">
        <f>A1018+1</f>
        <v>19</v>
      </c>
      <c r="B1021" s="215">
        <v>5799</v>
      </c>
      <c r="C1021" s="223" t="s">
        <v>515</v>
      </c>
      <c r="D1021" s="224">
        <v>352.4</v>
      </c>
      <c r="E1021" s="220" t="s">
        <v>68</v>
      </c>
      <c r="F1021" s="228">
        <v>2</v>
      </c>
      <c r="G1021" s="108"/>
      <c r="H1021" s="57" t="s">
        <v>66</v>
      </c>
      <c r="I1021" s="50">
        <f>I1022</f>
        <v>67789.600000000006</v>
      </c>
      <c r="J1021" s="50">
        <f>J1022</f>
        <v>192.37</v>
      </c>
      <c r="K1021" s="50">
        <f>K1022</f>
        <v>250</v>
      </c>
    </row>
    <row r="1022" spans="1:11" ht="63" x14ac:dyDescent="0.25">
      <c r="A1022" s="215"/>
      <c r="B1022" s="215"/>
      <c r="C1022" s="223"/>
      <c r="D1022" s="224"/>
      <c r="E1022" s="221"/>
      <c r="F1022" s="229"/>
      <c r="G1022" s="105" t="s">
        <v>65</v>
      </c>
      <c r="H1022" s="66" t="s">
        <v>168</v>
      </c>
      <c r="I1022" s="50">
        <v>67789.600000000006</v>
      </c>
      <c r="J1022" s="50">
        <f>I1022/D1021</f>
        <v>192.37</v>
      </c>
      <c r="K1022" s="50">
        <f>154+96</f>
        <v>250</v>
      </c>
    </row>
    <row r="1023" spans="1:11" ht="15" customHeight="1" x14ac:dyDescent="0.25">
      <c r="A1023" s="51" t="s">
        <v>36</v>
      </c>
      <c r="B1023" s="51"/>
      <c r="C1023" s="165"/>
      <c r="D1023" s="50">
        <f>D1024+D1026+D1029+D1034+D1039+D1042</f>
        <v>3471.2</v>
      </c>
      <c r="E1023" s="50"/>
      <c r="F1023" s="50"/>
      <c r="G1023" s="109"/>
      <c r="H1023" s="64"/>
      <c r="I1023" s="55">
        <f>I1024+I1026+I1029+I1034+I1039+I1042</f>
        <v>3741627.03</v>
      </c>
      <c r="J1023" s="55"/>
      <c r="K1023" s="55"/>
    </row>
    <row r="1024" spans="1:11" x14ac:dyDescent="0.25">
      <c r="A1024" s="274">
        <v>1</v>
      </c>
      <c r="B1024" s="215">
        <v>4901</v>
      </c>
      <c r="C1024" s="223" t="s">
        <v>297</v>
      </c>
      <c r="D1024" s="224">
        <v>331.3</v>
      </c>
      <c r="E1024" s="225" t="s">
        <v>68</v>
      </c>
      <c r="F1024" s="225">
        <v>2</v>
      </c>
      <c r="G1024" s="105"/>
      <c r="H1024" s="57" t="s">
        <v>66</v>
      </c>
      <c r="I1024" s="50">
        <f>I1025</f>
        <v>14618.61</v>
      </c>
      <c r="J1024" s="50">
        <f>J1025</f>
        <v>44.12</v>
      </c>
      <c r="K1024" s="50">
        <f>K1025</f>
        <v>46</v>
      </c>
    </row>
    <row r="1025" spans="1:11" ht="63" x14ac:dyDescent="0.25">
      <c r="A1025" s="274"/>
      <c r="B1025" s="215"/>
      <c r="C1025" s="223"/>
      <c r="D1025" s="224"/>
      <c r="E1025" s="225"/>
      <c r="F1025" s="225"/>
      <c r="G1025" s="105" t="s">
        <v>71</v>
      </c>
      <c r="H1025" s="57" t="s">
        <v>231</v>
      </c>
      <c r="I1025" s="50">
        <v>14618.61</v>
      </c>
      <c r="J1025" s="50">
        <f>I1025/D1024</f>
        <v>44.12</v>
      </c>
      <c r="K1025" s="50">
        <f>25+21</f>
        <v>46</v>
      </c>
    </row>
    <row r="1026" spans="1:11" x14ac:dyDescent="0.25">
      <c r="A1026" s="274">
        <f>A1024+1</f>
        <v>2</v>
      </c>
      <c r="B1026" s="215">
        <v>4905</v>
      </c>
      <c r="C1026" s="223" t="s">
        <v>298</v>
      </c>
      <c r="D1026" s="224">
        <v>1060.7</v>
      </c>
      <c r="E1026" s="225" t="s">
        <v>68</v>
      </c>
      <c r="F1026" s="225">
        <v>3</v>
      </c>
      <c r="G1026" s="108"/>
      <c r="H1026" s="57" t="s">
        <v>66</v>
      </c>
      <c r="I1026" s="50">
        <f>I1027+I1028</f>
        <v>157934.84</v>
      </c>
      <c r="J1026" s="50">
        <f>J1027+J1028</f>
        <v>148.9</v>
      </c>
      <c r="K1026" s="50">
        <f>K1027+K1028</f>
        <v>180</v>
      </c>
    </row>
    <row r="1027" spans="1:11" ht="63" x14ac:dyDescent="0.25">
      <c r="A1027" s="274"/>
      <c r="B1027" s="215"/>
      <c r="C1027" s="223"/>
      <c r="D1027" s="224"/>
      <c r="E1027" s="225"/>
      <c r="F1027" s="225"/>
      <c r="G1027" s="105" t="s">
        <v>70</v>
      </c>
      <c r="H1027" s="57" t="s">
        <v>231</v>
      </c>
      <c r="I1027" s="50">
        <v>122889.94</v>
      </c>
      <c r="J1027" s="50">
        <f>I1027/D1026</f>
        <v>115.86</v>
      </c>
      <c r="K1027" s="50">
        <f>119+21</f>
        <v>140</v>
      </c>
    </row>
    <row r="1028" spans="1:11" ht="63" x14ac:dyDescent="0.25">
      <c r="A1028" s="274"/>
      <c r="B1028" s="215"/>
      <c r="C1028" s="223"/>
      <c r="D1028" s="224"/>
      <c r="E1028" s="225"/>
      <c r="F1028" s="225"/>
      <c r="G1028" s="105" t="s">
        <v>71</v>
      </c>
      <c r="H1028" s="57" t="s">
        <v>231</v>
      </c>
      <c r="I1028" s="50">
        <v>35044.9</v>
      </c>
      <c r="J1028" s="50">
        <f>I1028/D1026</f>
        <v>33.04</v>
      </c>
      <c r="K1028" s="50">
        <f>31+9</f>
        <v>40</v>
      </c>
    </row>
    <row r="1029" spans="1:11" x14ac:dyDescent="0.25">
      <c r="A1029" s="274">
        <f>A1026+1</f>
        <v>3</v>
      </c>
      <c r="B1029" s="215">
        <v>4915</v>
      </c>
      <c r="C1029" s="223" t="s">
        <v>267</v>
      </c>
      <c r="D1029" s="224">
        <v>713.5</v>
      </c>
      <c r="E1029" s="225" t="s">
        <v>68</v>
      </c>
      <c r="F1029" s="225">
        <v>2</v>
      </c>
      <c r="G1029" s="110"/>
      <c r="H1029" s="57" t="s">
        <v>66</v>
      </c>
      <c r="I1029" s="50">
        <f>I1030+I1031+I1032+I1033</f>
        <v>715138.9</v>
      </c>
      <c r="J1029" s="50">
        <f>J1030+J1031+J1032+J1033</f>
        <v>1002.3</v>
      </c>
      <c r="K1029" s="50">
        <f>K1030+K1031+K1032+K1033</f>
        <v>1169</v>
      </c>
    </row>
    <row r="1030" spans="1:11" x14ac:dyDescent="0.25">
      <c r="A1030" s="274"/>
      <c r="B1030" s="215"/>
      <c r="C1030" s="223"/>
      <c r="D1030" s="224"/>
      <c r="E1030" s="225"/>
      <c r="F1030" s="225"/>
      <c r="G1030" s="216" t="s">
        <v>78</v>
      </c>
      <c r="H1030" s="57" t="s">
        <v>67</v>
      </c>
      <c r="I1030" s="50">
        <v>374134.43</v>
      </c>
      <c r="J1030" s="50">
        <f>I1030/D1029</f>
        <v>524.37</v>
      </c>
      <c r="K1030" s="50">
        <v>527</v>
      </c>
    </row>
    <row r="1031" spans="1:11" x14ac:dyDescent="0.25">
      <c r="A1031" s="274"/>
      <c r="B1031" s="215"/>
      <c r="C1031" s="223"/>
      <c r="D1031" s="224"/>
      <c r="E1031" s="225"/>
      <c r="F1031" s="225"/>
      <c r="G1031" s="222"/>
      <c r="H1031" s="57" t="s">
        <v>69</v>
      </c>
      <c r="I1031" s="50">
        <v>8006.48</v>
      </c>
      <c r="J1031" s="50">
        <f>I1031/D1029</f>
        <v>11.22</v>
      </c>
      <c r="K1031" s="50">
        <v>11</v>
      </c>
    </row>
    <row r="1032" spans="1:11" x14ac:dyDescent="0.25">
      <c r="A1032" s="274"/>
      <c r="B1032" s="215"/>
      <c r="C1032" s="223"/>
      <c r="D1032" s="224"/>
      <c r="E1032" s="225"/>
      <c r="F1032" s="225"/>
      <c r="G1032" s="217" t="s">
        <v>71</v>
      </c>
      <c r="H1032" s="57" t="s">
        <v>67</v>
      </c>
      <c r="I1032" s="50">
        <v>326021.14</v>
      </c>
      <c r="J1032" s="50">
        <f>I1032/D1029</f>
        <v>456.93</v>
      </c>
      <c r="K1032" s="50">
        <v>618</v>
      </c>
    </row>
    <row r="1033" spans="1:11" x14ac:dyDescent="0.25">
      <c r="A1033" s="274"/>
      <c r="B1033" s="215"/>
      <c r="C1033" s="223"/>
      <c r="D1033" s="224"/>
      <c r="E1033" s="225"/>
      <c r="F1033" s="225"/>
      <c r="G1033" s="222"/>
      <c r="H1033" s="57" t="s">
        <v>69</v>
      </c>
      <c r="I1033" s="50">
        <v>6976.85</v>
      </c>
      <c r="J1033" s="50">
        <f>I1033/D1029</f>
        <v>9.7799999999999994</v>
      </c>
      <c r="K1033" s="50">
        <v>13</v>
      </c>
    </row>
    <row r="1034" spans="1:11" x14ac:dyDescent="0.25">
      <c r="A1034" s="274">
        <f>A1029+1</f>
        <v>4</v>
      </c>
      <c r="B1034" s="215">
        <v>4916</v>
      </c>
      <c r="C1034" s="223" t="s">
        <v>268</v>
      </c>
      <c r="D1034" s="224">
        <v>338.2</v>
      </c>
      <c r="E1034" s="225" t="s">
        <v>68</v>
      </c>
      <c r="F1034" s="225">
        <v>2</v>
      </c>
      <c r="G1034" s="110"/>
      <c r="H1034" s="57" t="s">
        <v>66</v>
      </c>
      <c r="I1034" s="50">
        <f>I1035+I1036+I1037+I1038</f>
        <v>984861.49</v>
      </c>
      <c r="J1034" s="50">
        <f>J1035+J1036+J1037+J1038</f>
        <v>2912.07</v>
      </c>
      <c r="K1034" s="50">
        <f>K1035+K1036+K1037+K1038</f>
        <v>3661</v>
      </c>
    </row>
    <row r="1035" spans="1:11" x14ac:dyDescent="0.25">
      <c r="A1035" s="274"/>
      <c r="B1035" s="215"/>
      <c r="C1035" s="223"/>
      <c r="D1035" s="224"/>
      <c r="E1035" s="225"/>
      <c r="F1035" s="225"/>
      <c r="G1035" s="216" t="s">
        <v>70</v>
      </c>
      <c r="H1035" s="57" t="s">
        <v>67</v>
      </c>
      <c r="I1035" s="50">
        <v>756264.47</v>
      </c>
      <c r="J1035" s="50">
        <f>I1035/D1034</f>
        <v>2236.15</v>
      </c>
      <c r="K1035" s="50">
        <v>2967</v>
      </c>
    </row>
    <row r="1036" spans="1:11" x14ac:dyDescent="0.25">
      <c r="A1036" s="274"/>
      <c r="B1036" s="215"/>
      <c r="C1036" s="223"/>
      <c r="D1036" s="224"/>
      <c r="E1036" s="225"/>
      <c r="F1036" s="225"/>
      <c r="G1036" s="222"/>
      <c r="H1036" s="57" t="s">
        <v>69</v>
      </c>
      <c r="I1036" s="50">
        <v>16184.06</v>
      </c>
      <c r="J1036" s="50">
        <f>I1036/D1034</f>
        <v>47.85</v>
      </c>
      <c r="K1036" s="50">
        <v>63</v>
      </c>
    </row>
    <row r="1037" spans="1:11" x14ac:dyDescent="0.25">
      <c r="A1037" s="274"/>
      <c r="B1037" s="215"/>
      <c r="C1037" s="223"/>
      <c r="D1037" s="224"/>
      <c r="E1037" s="225"/>
      <c r="F1037" s="225"/>
      <c r="G1037" s="217" t="s">
        <v>71</v>
      </c>
      <c r="H1037" s="57" t="s">
        <v>67</v>
      </c>
      <c r="I1037" s="50">
        <v>207962.56</v>
      </c>
      <c r="J1037" s="50">
        <f>I1037/D1034</f>
        <v>614.91</v>
      </c>
      <c r="K1037" s="50">
        <v>618</v>
      </c>
    </row>
    <row r="1038" spans="1:11" x14ac:dyDescent="0.25">
      <c r="A1038" s="274"/>
      <c r="B1038" s="215"/>
      <c r="C1038" s="223"/>
      <c r="D1038" s="224"/>
      <c r="E1038" s="225"/>
      <c r="F1038" s="225"/>
      <c r="G1038" s="222"/>
      <c r="H1038" s="57" t="s">
        <v>69</v>
      </c>
      <c r="I1038" s="50">
        <v>4450.3999999999996</v>
      </c>
      <c r="J1038" s="50">
        <f>I1038/D1034</f>
        <v>13.16</v>
      </c>
      <c r="K1038" s="50">
        <v>13</v>
      </c>
    </row>
    <row r="1039" spans="1:11" x14ac:dyDescent="0.25">
      <c r="A1039" s="274">
        <f>A1034+1</f>
        <v>5</v>
      </c>
      <c r="B1039" s="215">
        <v>4918</v>
      </c>
      <c r="C1039" s="223" t="s">
        <v>269</v>
      </c>
      <c r="D1039" s="224">
        <v>324.2</v>
      </c>
      <c r="E1039" s="225" t="s">
        <v>68</v>
      </c>
      <c r="F1039" s="225">
        <v>2</v>
      </c>
      <c r="G1039" s="110"/>
      <c r="H1039" s="57" t="s">
        <v>66</v>
      </c>
      <c r="I1039" s="50">
        <f>I1040+I1041</f>
        <v>723574.06</v>
      </c>
      <c r="J1039" s="50">
        <f t="shared" ref="J1039:K1039" si="43">J1040+J1041</f>
        <v>2231.88</v>
      </c>
      <c r="K1039" s="50">
        <f t="shared" si="43"/>
        <v>3030</v>
      </c>
    </row>
    <row r="1040" spans="1:11" x14ac:dyDescent="0.25">
      <c r="A1040" s="274"/>
      <c r="B1040" s="215"/>
      <c r="C1040" s="223"/>
      <c r="D1040" s="224"/>
      <c r="E1040" s="225"/>
      <c r="F1040" s="225"/>
      <c r="G1040" s="216" t="s">
        <v>70</v>
      </c>
      <c r="H1040" s="57" t="s">
        <v>67</v>
      </c>
      <c r="I1040" s="50">
        <v>708414</v>
      </c>
      <c r="J1040" s="50">
        <f>I1040/D1039+0.01</f>
        <v>2185.12</v>
      </c>
      <c r="K1040" s="50">
        <v>2967</v>
      </c>
    </row>
    <row r="1041" spans="1:160" x14ac:dyDescent="0.25">
      <c r="A1041" s="274"/>
      <c r="B1041" s="215"/>
      <c r="C1041" s="223"/>
      <c r="D1041" s="224"/>
      <c r="E1041" s="225"/>
      <c r="F1041" s="225"/>
      <c r="G1041" s="222"/>
      <c r="H1041" s="57" t="s">
        <v>69</v>
      </c>
      <c r="I1041" s="50">
        <v>15160.06</v>
      </c>
      <c r="J1041" s="50">
        <f>I1041/D1039</f>
        <v>46.76</v>
      </c>
      <c r="K1041" s="50">
        <v>63</v>
      </c>
    </row>
    <row r="1042" spans="1:160" ht="15.75" customHeight="1" x14ac:dyDescent="0.25">
      <c r="A1042" s="274">
        <f>A1039+1</f>
        <v>6</v>
      </c>
      <c r="B1042" s="215">
        <v>4927</v>
      </c>
      <c r="C1042" s="223" t="s">
        <v>270</v>
      </c>
      <c r="D1042" s="224">
        <v>703.3</v>
      </c>
      <c r="E1042" s="225" t="s">
        <v>68</v>
      </c>
      <c r="F1042" s="225">
        <v>2</v>
      </c>
      <c r="G1042" s="110"/>
      <c r="H1042" s="57" t="s">
        <v>66</v>
      </c>
      <c r="I1042" s="50">
        <f>I1043+I1044</f>
        <v>1145499.1299999999</v>
      </c>
      <c r="J1042" s="50">
        <f t="shared" ref="J1042:K1042" si="44">J1043+J1044</f>
        <v>1628.75</v>
      </c>
      <c r="K1042" s="50">
        <f t="shared" si="44"/>
        <v>3030</v>
      </c>
    </row>
    <row r="1043" spans="1:160" x14ac:dyDescent="0.25">
      <c r="A1043" s="274"/>
      <c r="B1043" s="215"/>
      <c r="C1043" s="223"/>
      <c r="D1043" s="224"/>
      <c r="E1043" s="225"/>
      <c r="F1043" s="225"/>
      <c r="G1043" s="216" t="s">
        <v>70</v>
      </c>
      <c r="H1043" s="57" t="s">
        <v>67</v>
      </c>
      <c r="I1043" s="50">
        <v>1121499.05</v>
      </c>
      <c r="J1043" s="50">
        <f>I1043/D1042+0.01</f>
        <v>1594.63</v>
      </c>
      <c r="K1043" s="50">
        <v>2967</v>
      </c>
    </row>
    <row r="1044" spans="1:160" x14ac:dyDescent="0.25">
      <c r="A1044" s="274"/>
      <c r="B1044" s="215"/>
      <c r="C1044" s="223"/>
      <c r="D1044" s="224"/>
      <c r="E1044" s="225"/>
      <c r="F1044" s="225"/>
      <c r="G1044" s="222"/>
      <c r="H1044" s="57" t="s">
        <v>69</v>
      </c>
      <c r="I1044" s="50">
        <v>24000.080000000002</v>
      </c>
      <c r="J1044" s="50">
        <f>I1044/D1042</f>
        <v>34.119999999999997</v>
      </c>
      <c r="K1044" s="50">
        <v>63</v>
      </c>
    </row>
    <row r="1045" spans="1:160" s="41" customFormat="1" x14ac:dyDescent="0.25">
      <c r="A1045" s="51" t="s">
        <v>37</v>
      </c>
      <c r="B1045" s="51"/>
      <c r="C1045" s="165"/>
      <c r="D1045" s="50">
        <f>D1046+D1049+D1052</f>
        <v>992.5</v>
      </c>
      <c r="E1045" s="50"/>
      <c r="F1045" s="50"/>
      <c r="G1045" s="109"/>
      <c r="H1045" s="64"/>
      <c r="I1045" s="55">
        <f>I1046+I1049+I1052</f>
        <v>2894551.75</v>
      </c>
      <c r="J1045" s="55"/>
      <c r="K1045" s="55"/>
      <c r="L1045" s="42"/>
      <c r="M1045" s="42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  <c r="AB1045" s="42"/>
      <c r="AC1045" s="42"/>
      <c r="AD1045" s="42"/>
      <c r="AE1045" s="42"/>
      <c r="AF1045" s="42"/>
      <c r="AG1045" s="42"/>
      <c r="AH1045" s="42"/>
      <c r="AI1045" s="42"/>
      <c r="AJ1045" s="42"/>
      <c r="AK1045" s="42"/>
      <c r="AL1045" s="42"/>
      <c r="AM1045" s="42"/>
      <c r="AN1045" s="42"/>
      <c r="AO1045" s="42"/>
      <c r="AP1045" s="42"/>
      <c r="AQ1045" s="42"/>
      <c r="AR1045" s="42"/>
      <c r="AS1045" s="42"/>
      <c r="AT1045" s="42"/>
      <c r="AU1045" s="42"/>
      <c r="AV1045" s="42"/>
      <c r="AW1045" s="42"/>
      <c r="AX1045" s="42"/>
      <c r="AY1045" s="42"/>
      <c r="AZ1045" s="42"/>
      <c r="BA1045" s="42"/>
      <c r="BB1045" s="42"/>
      <c r="BC1045" s="42"/>
      <c r="BD1045" s="42"/>
      <c r="BE1045" s="42"/>
      <c r="BF1045" s="42"/>
      <c r="BG1045" s="42"/>
      <c r="BH1045" s="42"/>
      <c r="BI1045" s="42"/>
      <c r="BJ1045" s="42"/>
      <c r="BK1045" s="42"/>
      <c r="BL1045" s="42"/>
      <c r="BM1045" s="42"/>
      <c r="BN1045" s="42"/>
      <c r="BO1045" s="42"/>
      <c r="BP1045" s="42"/>
      <c r="BQ1045" s="42"/>
      <c r="BR1045" s="42"/>
      <c r="BS1045" s="42"/>
      <c r="BT1045" s="42"/>
      <c r="BU1045" s="42"/>
      <c r="BV1045" s="42"/>
      <c r="BW1045" s="42"/>
      <c r="BX1045" s="42"/>
      <c r="BY1045" s="42"/>
      <c r="BZ1045" s="42"/>
      <c r="CA1045" s="42"/>
      <c r="CB1045" s="42"/>
      <c r="CC1045" s="42"/>
      <c r="CD1045" s="42"/>
      <c r="CE1045" s="42"/>
      <c r="CF1045" s="42"/>
      <c r="CG1045" s="42"/>
      <c r="CH1045" s="42"/>
      <c r="CI1045" s="42"/>
      <c r="CJ1045" s="42"/>
      <c r="CK1045" s="42"/>
      <c r="CL1045" s="42"/>
      <c r="CM1045" s="42"/>
      <c r="CN1045" s="42"/>
      <c r="CO1045" s="42"/>
      <c r="CP1045" s="42"/>
      <c r="CQ1045" s="42"/>
      <c r="CR1045" s="42"/>
      <c r="CS1045" s="42"/>
      <c r="CT1045" s="42"/>
      <c r="CU1045" s="42"/>
      <c r="CV1045" s="42"/>
      <c r="CW1045" s="42"/>
      <c r="CX1045" s="42"/>
      <c r="CY1045" s="42"/>
      <c r="CZ1045" s="42"/>
      <c r="DA1045" s="42"/>
      <c r="DB1045" s="42"/>
      <c r="DC1045" s="42"/>
      <c r="DD1045" s="42"/>
      <c r="DE1045" s="42"/>
      <c r="DF1045" s="42"/>
      <c r="DG1045" s="42"/>
      <c r="DH1045" s="42"/>
      <c r="DI1045" s="42"/>
      <c r="DJ1045" s="42"/>
      <c r="DK1045" s="42"/>
      <c r="DL1045" s="42"/>
      <c r="DM1045" s="42"/>
      <c r="DN1045" s="42"/>
      <c r="DO1045" s="42"/>
      <c r="DP1045" s="42"/>
      <c r="DQ1045" s="42"/>
      <c r="DR1045" s="42"/>
      <c r="DS1045" s="42"/>
      <c r="DT1045" s="42"/>
      <c r="DU1045" s="42"/>
      <c r="DV1045" s="42"/>
      <c r="DW1045" s="42"/>
      <c r="DX1045" s="42"/>
      <c r="DY1045" s="42"/>
      <c r="DZ1045" s="42"/>
      <c r="EA1045" s="42"/>
      <c r="EB1045" s="42"/>
      <c r="EC1045" s="42"/>
      <c r="ED1045" s="42"/>
      <c r="EE1045" s="42"/>
      <c r="EF1045" s="42"/>
      <c r="EG1045" s="42"/>
      <c r="EH1045" s="42"/>
      <c r="EI1045" s="42"/>
      <c r="EJ1045" s="42"/>
      <c r="EK1045" s="42"/>
      <c r="EL1045" s="42"/>
      <c r="EM1045" s="42"/>
      <c r="EN1045" s="42"/>
      <c r="EO1045" s="42"/>
      <c r="EP1045" s="42"/>
      <c r="EQ1045" s="42"/>
      <c r="ER1045" s="42"/>
      <c r="ES1045" s="42"/>
      <c r="ET1045" s="42"/>
      <c r="EU1045" s="42"/>
      <c r="EV1045" s="42"/>
      <c r="EW1045" s="42"/>
      <c r="EX1045" s="42"/>
      <c r="EY1045" s="42"/>
      <c r="EZ1045" s="42"/>
      <c r="FA1045" s="42"/>
      <c r="FB1045" s="42"/>
      <c r="FC1045" s="42"/>
      <c r="FD1045" s="42"/>
    </row>
    <row r="1046" spans="1:160" s="41" customFormat="1" x14ac:dyDescent="0.25">
      <c r="A1046" s="216">
        <v>1</v>
      </c>
      <c r="B1046" s="216">
        <v>6786</v>
      </c>
      <c r="C1046" s="218" t="s">
        <v>301</v>
      </c>
      <c r="D1046" s="220">
        <v>229</v>
      </c>
      <c r="E1046" s="228" t="s">
        <v>68</v>
      </c>
      <c r="F1046" s="228">
        <v>2</v>
      </c>
      <c r="G1046" s="110"/>
      <c r="H1046" s="57" t="s">
        <v>66</v>
      </c>
      <c r="I1046" s="50">
        <f>I1047+I1048</f>
        <v>75386.8</v>
      </c>
      <c r="J1046" s="50">
        <f>J1047+J1048</f>
        <v>329.2</v>
      </c>
      <c r="K1046" s="50">
        <f>K1047+K1048</f>
        <v>340</v>
      </c>
      <c r="L1046" s="42"/>
      <c r="M1046" s="42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2"/>
      <c r="AH1046" s="42"/>
      <c r="AI1046" s="42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2"/>
      <c r="AV1046" s="42"/>
      <c r="AW1046" s="42"/>
      <c r="AX1046" s="42"/>
      <c r="AY1046" s="42"/>
      <c r="AZ1046" s="42"/>
      <c r="BA1046" s="42"/>
      <c r="BB1046" s="42"/>
      <c r="BC1046" s="42"/>
      <c r="BD1046" s="42"/>
      <c r="BE1046" s="42"/>
      <c r="BF1046" s="42"/>
      <c r="BG1046" s="42"/>
      <c r="BH1046" s="42"/>
      <c r="BI1046" s="42"/>
      <c r="BJ1046" s="42"/>
      <c r="BK1046" s="42"/>
      <c r="BL1046" s="42"/>
      <c r="BM1046" s="42"/>
      <c r="BN1046" s="42"/>
      <c r="BO1046" s="42"/>
      <c r="BP1046" s="42"/>
      <c r="BQ1046" s="42"/>
      <c r="BR1046" s="42"/>
      <c r="BS1046" s="42"/>
      <c r="BT1046" s="42"/>
      <c r="BU1046" s="42"/>
      <c r="BV1046" s="42"/>
      <c r="BW1046" s="42"/>
      <c r="BX1046" s="42"/>
      <c r="BY1046" s="42"/>
      <c r="BZ1046" s="42"/>
      <c r="CA1046" s="42"/>
      <c r="CB1046" s="42"/>
      <c r="CC1046" s="42"/>
      <c r="CD1046" s="42"/>
      <c r="CE1046" s="42"/>
      <c r="CF1046" s="42"/>
      <c r="CG1046" s="42"/>
      <c r="CH1046" s="42"/>
      <c r="CI1046" s="42"/>
      <c r="CJ1046" s="42"/>
      <c r="CK1046" s="42"/>
      <c r="CL1046" s="42"/>
      <c r="CM1046" s="42"/>
      <c r="CN1046" s="42"/>
      <c r="CO1046" s="42"/>
      <c r="CP1046" s="42"/>
      <c r="CQ1046" s="42"/>
      <c r="CR1046" s="42"/>
      <c r="CS1046" s="42"/>
      <c r="CT1046" s="42"/>
      <c r="CU1046" s="42"/>
      <c r="CV1046" s="42"/>
      <c r="CW1046" s="42"/>
      <c r="CX1046" s="42"/>
      <c r="CY1046" s="42"/>
      <c r="CZ1046" s="42"/>
      <c r="DA1046" s="42"/>
      <c r="DB1046" s="42"/>
      <c r="DC1046" s="42"/>
      <c r="DD1046" s="42"/>
      <c r="DE1046" s="42"/>
      <c r="DF1046" s="42"/>
      <c r="DG1046" s="42"/>
      <c r="DH1046" s="42"/>
      <c r="DI1046" s="42"/>
      <c r="DJ1046" s="42"/>
      <c r="DK1046" s="42"/>
      <c r="DL1046" s="42"/>
      <c r="DM1046" s="42"/>
      <c r="DN1046" s="42"/>
      <c r="DO1046" s="42"/>
      <c r="DP1046" s="42"/>
      <c r="DQ1046" s="42"/>
      <c r="DR1046" s="42"/>
      <c r="DS1046" s="42"/>
      <c r="DT1046" s="42"/>
      <c r="DU1046" s="42"/>
      <c r="DV1046" s="42"/>
      <c r="DW1046" s="42"/>
      <c r="DX1046" s="42"/>
      <c r="DY1046" s="42"/>
      <c r="DZ1046" s="42"/>
      <c r="EA1046" s="42"/>
      <c r="EB1046" s="42"/>
      <c r="EC1046" s="42"/>
      <c r="ED1046" s="42"/>
      <c r="EE1046" s="42"/>
      <c r="EF1046" s="42"/>
      <c r="EG1046" s="42"/>
      <c r="EH1046" s="42"/>
      <c r="EI1046" s="42"/>
      <c r="EJ1046" s="42"/>
      <c r="EK1046" s="42"/>
      <c r="EL1046" s="42"/>
      <c r="EM1046" s="42"/>
      <c r="EN1046" s="42"/>
      <c r="EO1046" s="42"/>
      <c r="EP1046" s="42"/>
      <c r="EQ1046" s="42"/>
      <c r="ER1046" s="42"/>
      <c r="ES1046" s="42"/>
      <c r="ET1046" s="42"/>
      <c r="EU1046" s="42"/>
      <c r="EV1046" s="42"/>
      <c r="EW1046" s="42"/>
      <c r="EX1046" s="42"/>
      <c r="EY1046" s="42"/>
      <c r="EZ1046" s="42"/>
      <c r="FA1046" s="42"/>
      <c r="FB1046" s="42"/>
      <c r="FC1046" s="42"/>
      <c r="FD1046" s="42"/>
    </row>
    <row r="1047" spans="1:160" s="41" customFormat="1" ht="63" x14ac:dyDescent="0.25">
      <c r="A1047" s="217"/>
      <c r="B1047" s="217"/>
      <c r="C1047" s="219"/>
      <c r="D1047" s="221"/>
      <c r="E1047" s="229"/>
      <c r="F1047" s="229"/>
      <c r="G1047" s="105" t="s">
        <v>70</v>
      </c>
      <c r="H1047" s="57" t="s">
        <v>168</v>
      </c>
      <c r="I1047" s="50">
        <v>47649.18</v>
      </c>
      <c r="J1047" s="50">
        <f>I1047/D1046</f>
        <v>208.08</v>
      </c>
      <c r="K1047" s="50">
        <f>119+98</f>
        <v>217</v>
      </c>
      <c r="L1047" s="42"/>
      <c r="M1047" s="42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  <c r="AB1047" s="42"/>
      <c r="AC1047" s="42"/>
      <c r="AD1047" s="42"/>
      <c r="AE1047" s="42"/>
      <c r="AF1047" s="42"/>
      <c r="AG1047" s="42"/>
      <c r="AH1047" s="42"/>
      <c r="AI1047" s="42"/>
      <c r="AJ1047" s="42"/>
      <c r="AK1047" s="42"/>
      <c r="AL1047" s="42"/>
      <c r="AM1047" s="42"/>
      <c r="AN1047" s="42"/>
      <c r="AO1047" s="42"/>
      <c r="AP1047" s="42"/>
      <c r="AQ1047" s="42"/>
      <c r="AR1047" s="42"/>
      <c r="AS1047" s="42"/>
      <c r="AT1047" s="42"/>
      <c r="AU1047" s="42"/>
      <c r="AV1047" s="42"/>
      <c r="AW1047" s="42"/>
      <c r="AX1047" s="42"/>
      <c r="AY1047" s="42"/>
      <c r="AZ1047" s="42"/>
      <c r="BA1047" s="42"/>
      <c r="BB1047" s="42"/>
      <c r="BC1047" s="42"/>
      <c r="BD1047" s="42"/>
      <c r="BE1047" s="42"/>
      <c r="BF1047" s="42"/>
      <c r="BG1047" s="42"/>
      <c r="BH1047" s="42"/>
      <c r="BI1047" s="42"/>
      <c r="BJ1047" s="42"/>
      <c r="BK1047" s="42"/>
      <c r="BL1047" s="42"/>
      <c r="BM1047" s="42"/>
      <c r="BN1047" s="42"/>
      <c r="BO1047" s="42"/>
      <c r="BP1047" s="42"/>
      <c r="BQ1047" s="42"/>
      <c r="BR1047" s="42"/>
      <c r="BS1047" s="42"/>
      <c r="BT1047" s="42"/>
      <c r="BU1047" s="42"/>
      <c r="BV1047" s="42"/>
      <c r="BW1047" s="42"/>
      <c r="BX1047" s="42"/>
      <c r="BY1047" s="42"/>
      <c r="BZ1047" s="42"/>
      <c r="CA1047" s="42"/>
      <c r="CB1047" s="42"/>
      <c r="CC1047" s="42"/>
      <c r="CD1047" s="42"/>
      <c r="CE1047" s="42"/>
      <c r="CF1047" s="42"/>
      <c r="CG1047" s="42"/>
      <c r="CH1047" s="42"/>
      <c r="CI1047" s="42"/>
      <c r="CJ1047" s="42"/>
      <c r="CK1047" s="42"/>
      <c r="CL1047" s="42"/>
      <c r="CM1047" s="42"/>
      <c r="CN1047" s="42"/>
      <c r="CO1047" s="42"/>
      <c r="CP1047" s="42"/>
      <c r="CQ1047" s="42"/>
      <c r="CR1047" s="42"/>
      <c r="CS1047" s="42"/>
      <c r="CT1047" s="42"/>
      <c r="CU1047" s="42"/>
      <c r="CV1047" s="42"/>
      <c r="CW1047" s="42"/>
      <c r="CX1047" s="42"/>
      <c r="CY1047" s="42"/>
      <c r="CZ1047" s="42"/>
      <c r="DA1047" s="42"/>
      <c r="DB1047" s="42"/>
      <c r="DC1047" s="42"/>
      <c r="DD1047" s="42"/>
      <c r="DE1047" s="42"/>
      <c r="DF1047" s="42"/>
      <c r="DG1047" s="42"/>
      <c r="DH1047" s="42"/>
      <c r="DI1047" s="42"/>
      <c r="DJ1047" s="42"/>
      <c r="DK1047" s="42"/>
      <c r="DL1047" s="42"/>
      <c r="DM1047" s="42"/>
      <c r="DN1047" s="42"/>
      <c r="DO1047" s="42"/>
      <c r="DP1047" s="42"/>
      <c r="DQ1047" s="42"/>
      <c r="DR1047" s="42"/>
      <c r="DS1047" s="42"/>
      <c r="DT1047" s="42"/>
      <c r="DU1047" s="42"/>
      <c r="DV1047" s="42"/>
      <c r="DW1047" s="42"/>
      <c r="DX1047" s="42"/>
      <c r="DY1047" s="42"/>
      <c r="DZ1047" s="42"/>
      <c r="EA1047" s="42"/>
      <c r="EB1047" s="42"/>
      <c r="EC1047" s="42"/>
      <c r="ED1047" s="42"/>
      <c r="EE1047" s="42"/>
      <c r="EF1047" s="42"/>
      <c r="EG1047" s="42"/>
      <c r="EH1047" s="42"/>
      <c r="EI1047" s="42"/>
      <c r="EJ1047" s="42"/>
      <c r="EK1047" s="42"/>
      <c r="EL1047" s="42"/>
      <c r="EM1047" s="42"/>
      <c r="EN1047" s="42"/>
      <c r="EO1047" s="42"/>
      <c r="EP1047" s="42"/>
      <c r="EQ1047" s="42"/>
      <c r="ER1047" s="42"/>
      <c r="ES1047" s="42"/>
      <c r="ET1047" s="42"/>
      <c r="EU1047" s="42"/>
      <c r="EV1047" s="42"/>
      <c r="EW1047" s="42"/>
      <c r="EX1047" s="42"/>
      <c r="EY1047" s="42"/>
      <c r="EZ1047" s="42"/>
      <c r="FA1047" s="42"/>
      <c r="FB1047" s="42"/>
      <c r="FC1047" s="42"/>
      <c r="FD1047" s="42"/>
    </row>
    <row r="1048" spans="1:160" s="41" customFormat="1" ht="63" x14ac:dyDescent="0.25">
      <c r="A1048" s="217"/>
      <c r="B1048" s="217"/>
      <c r="C1048" s="219"/>
      <c r="D1048" s="221"/>
      <c r="E1048" s="229"/>
      <c r="F1048" s="229"/>
      <c r="G1048" s="105" t="s">
        <v>71</v>
      </c>
      <c r="H1048" s="57" t="s">
        <v>168</v>
      </c>
      <c r="I1048" s="50">
        <v>27737.62</v>
      </c>
      <c r="J1048" s="50">
        <f>I1048/D1046</f>
        <v>121.12</v>
      </c>
      <c r="K1048" s="50">
        <f>25+98</f>
        <v>123</v>
      </c>
      <c r="L1048" s="42"/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2"/>
      <c r="AH1048" s="42"/>
      <c r="AI1048" s="42"/>
      <c r="AJ1048" s="42"/>
      <c r="AK1048" s="42"/>
      <c r="AL1048" s="42"/>
      <c r="AM1048" s="42"/>
      <c r="AN1048" s="42"/>
      <c r="AO1048" s="42"/>
      <c r="AP1048" s="42"/>
      <c r="AQ1048" s="42"/>
      <c r="AR1048" s="42"/>
      <c r="AS1048" s="42"/>
      <c r="AT1048" s="42"/>
      <c r="AU1048" s="42"/>
      <c r="AV1048" s="42"/>
      <c r="AW1048" s="42"/>
      <c r="AX1048" s="42"/>
      <c r="AY1048" s="42"/>
      <c r="AZ1048" s="42"/>
      <c r="BA1048" s="42"/>
      <c r="BB1048" s="42"/>
      <c r="BC1048" s="42"/>
      <c r="BD1048" s="42"/>
      <c r="BE1048" s="42"/>
      <c r="BF1048" s="42"/>
      <c r="BG1048" s="42"/>
      <c r="BH1048" s="42"/>
      <c r="BI1048" s="42"/>
      <c r="BJ1048" s="42"/>
      <c r="BK1048" s="42"/>
      <c r="BL1048" s="42"/>
      <c r="BM1048" s="42"/>
      <c r="BN1048" s="42"/>
      <c r="BO1048" s="42"/>
      <c r="BP1048" s="42"/>
      <c r="BQ1048" s="42"/>
      <c r="BR1048" s="42"/>
      <c r="BS1048" s="42"/>
      <c r="BT1048" s="42"/>
      <c r="BU1048" s="42"/>
      <c r="BV1048" s="42"/>
      <c r="BW1048" s="42"/>
      <c r="BX1048" s="42"/>
      <c r="BY1048" s="42"/>
      <c r="BZ1048" s="42"/>
      <c r="CA1048" s="42"/>
      <c r="CB1048" s="42"/>
      <c r="CC1048" s="42"/>
      <c r="CD1048" s="42"/>
      <c r="CE1048" s="42"/>
      <c r="CF1048" s="42"/>
      <c r="CG1048" s="42"/>
      <c r="CH1048" s="42"/>
      <c r="CI1048" s="42"/>
      <c r="CJ1048" s="42"/>
      <c r="CK1048" s="42"/>
      <c r="CL1048" s="42"/>
      <c r="CM1048" s="42"/>
      <c r="CN1048" s="42"/>
      <c r="CO1048" s="42"/>
      <c r="CP1048" s="42"/>
      <c r="CQ1048" s="42"/>
      <c r="CR1048" s="42"/>
      <c r="CS1048" s="42"/>
      <c r="CT1048" s="42"/>
      <c r="CU1048" s="42"/>
      <c r="CV1048" s="42"/>
      <c r="CW1048" s="42"/>
      <c r="CX1048" s="42"/>
      <c r="CY1048" s="42"/>
      <c r="CZ1048" s="42"/>
      <c r="DA1048" s="42"/>
      <c r="DB1048" s="42"/>
      <c r="DC1048" s="42"/>
      <c r="DD1048" s="42"/>
      <c r="DE1048" s="42"/>
      <c r="DF1048" s="42"/>
      <c r="DG1048" s="42"/>
      <c r="DH1048" s="42"/>
      <c r="DI1048" s="42"/>
      <c r="DJ1048" s="42"/>
      <c r="DK1048" s="42"/>
      <c r="DL1048" s="42"/>
      <c r="DM1048" s="42"/>
      <c r="DN1048" s="42"/>
      <c r="DO1048" s="42"/>
      <c r="DP1048" s="42"/>
      <c r="DQ1048" s="42"/>
      <c r="DR1048" s="42"/>
      <c r="DS1048" s="42"/>
      <c r="DT1048" s="42"/>
      <c r="DU1048" s="42"/>
      <c r="DV1048" s="42"/>
      <c r="DW1048" s="42"/>
      <c r="DX1048" s="42"/>
      <c r="DY1048" s="42"/>
      <c r="DZ1048" s="42"/>
      <c r="EA1048" s="42"/>
      <c r="EB1048" s="42"/>
      <c r="EC1048" s="42"/>
      <c r="ED1048" s="42"/>
      <c r="EE1048" s="42"/>
      <c r="EF1048" s="42"/>
      <c r="EG1048" s="42"/>
      <c r="EH1048" s="42"/>
      <c r="EI1048" s="42"/>
      <c r="EJ1048" s="42"/>
      <c r="EK1048" s="42"/>
      <c r="EL1048" s="42"/>
      <c r="EM1048" s="42"/>
      <c r="EN1048" s="42"/>
      <c r="EO1048" s="42"/>
      <c r="EP1048" s="42"/>
      <c r="EQ1048" s="42"/>
      <c r="ER1048" s="42"/>
      <c r="ES1048" s="42"/>
      <c r="ET1048" s="42"/>
      <c r="EU1048" s="42"/>
      <c r="EV1048" s="42"/>
      <c r="EW1048" s="42"/>
      <c r="EX1048" s="42"/>
      <c r="EY1048" s="42"/>
      <c r="EZ1048" s="42"/>
      <c r="FA1048" s="42"/>
      <c r="FB1048" s="42"/>
      <c r="FC1048" s="42"/>
      <c r="FD1048" s="42"/>
    </row>
    <row r="1049" spans="1:160" ht="15.75" customHeight="1" x14ac:dyDescent="0.25">
      <c r="A1049" s="216">
        <f>A1046+1</f>
        <v>2</v>
      </c>
      <c r="B1049" s="216">
        <v>6789</v>
      </c>
      <c r="C1049" s="218" t="s">
        <v>299</v>
      </c>
      <c r="D1049" s="220">
        <v>417.5</v>
      </c>
      <c r="E1049" s="228" t="s">
        <v>167</v>
      </c>
      <c r="F1049" s="228">
        <v>2</v>
      </c>
      <c r="G1049" s="216" t="s">
        <v>65</v>
      </c>
      <c r="H1049" s="57" t="s">
        <v>66</v>
      </c>
      <c r="I1049" s="50">
        <f>I1050+I1051</f>
        <v>2754808.95</v>
      </c>
      <c r="J1049" s="50">
        <f t="shared" ref="J1049:K1049" si="45">J1050+J1051</f>
        <v>6598.34</v>
      </c>
      <c r="K1049" s="50">
        <f t="shared" si="45"/>
        <v>8203</v>
      </c>
    </row>
    <row r="1050" spans="1:160" x14ac:dyDescent="0.25">
      <c r="A1050" s="217"/>
      <c r="B1050" s="217"/>
      <c r="C1050" s="219"/>
      <c r="D1050" s="221"/>
      <c r="E1050" s="229"/>
      <c r="F1050" s="229"/>
      <c r="G1050" s="217"/>
      <c r="H1050" s="57" t="s">
        <v>67</v>
      </c>
      <c r="I1050" s="50">
        <v>2697091.2</v>
      </c>
      <c r="J1050" s="50">
        <f>I1050/D1049-0.01</f>
        <v>6460.09</v>
      </c>
      <c r="K1050" s="50">
        <v>8031</v>
      </c>
    </row>
    <row r="1051" spans="1:160" x14ac:dyDescent="0.25">
      <c r="A1051" s="217"/>
      <c r="B1051" s="217"/>
      <c r="C1051" s="219"/>
      <c r="D1051" s="221"/>
      <c r="E1051" s="229"/>
      <c r="F1051" s="229"/>
      <c r="G1051" s="222"/>
      <c r="H1051" s="57" t="s">
        <v>69</v>
      </c>
      <c r="I1051" s="50">
        <v>57717.75</v>
      </c>
      <c r="J1051" s="50">
        <f>I1051/D1049</f>
        <v>138.25</v>
      </c>
      <c r="K1051" s="50">
        <v>172</v>
      </c>
    </row>
    <row r="1052" spans="1:160" x14ac:dyDescent="0.25">
      <c r="A1052" s="216">
        <f>A1049+1</f>
        <v>3</v>
      </c>
      <c r="B1052" s="216">
        <v>6770</v>
      </c>
      <c r="C1052" s="218" t="s">
        <v>300</v>
      </c>
      <c r="D1052" s="220">
        <v>346</v>
      </c>
      <c r="E1052" s="228" t="s">
        <v>68</v>
      </c>
      <c r="F1052" s="228">
        <v>2</v>
      </c>
      <c r="G1052" s="110"/>
      <c r="H1052" s="57" t="s">
        <v>66</v>
      </c>
      <c r="I1052" s="50">
        <f>I1053+I1054</f>
        <v>64356</v>
      </c>
      <c r="J1052" s="50">
        <f>J1053+J1054</f>
        <v>186</v>
      </c>
      <c r="K1052" s="50">
        <f>K1053+K1054</f>
        <v>186</v>
      </c>
    </row>
    <row r="1053" spans="1:160" ht="63" x14ac:dyDescent="0.25">
      <c r="A1053" s="217"/>
      <c r="B1053" s="217"/>
      <c r="C1053" s="219"/>
      <c r="D1053" s="221"/>
      <c r="E1053" s="229"/>
      <c r="F1053" s="229"/>
      <c r="G1053" s="105" t="s">
        <v>70</v>
      </c>
      <c r="H1053" s="57" t="s">
        <v>168</v>
      </c>
      <c r="I1053" s="50">
        <f>D1052*K1053</f>
        <v>48440</v>
      </c>
      <c r="J1053" s="50">
        <f>I1053/D1052</f>
        <v>140</v>
      </c>
      <c r="K1053" s="50">
        <f>119+21</f>
        <v>140</v>
      </c>
    </row>
    <row r="1054" spans="1:160" ht="63" x14ac:dyDescent="0.25">
      <c r="A1054" s="217"/>
      <c r="B1054" s="217"/>
      <c r="C1054" s="219"/>
      <c r="D1054" s="221"/>
      <c r="E1054" s="229"/>
      <c r="F1054" s="229"/>
      <c r="G1054" s="105" t="s">
        <v>71</v>
      </c>
      <c r="H1054" s="57" t="s">
        <v>168</v>
      </c>
      <c r="I1054" s="50">
        <f>D1052*K1054</f>
        <v>15916</v>
      </c>
      <c r="J1054" s="50">
        <f>I1054/D1052</f>
        <v>46</v>
      </c>
      <c r="K1054" s="50">
        <f>25+21</f>
        <v>46</v>
      </c>
    </row>
    <row r="1055" spans="1:160" s="41" customFormat="1" x14ac:dyDescent="0.25">
      <c r="A1055" s="51" t="s">
        <v>38</v>
      </c>
      <c r="B1055" s="51"/>
      <c r="C1055" s="165"/>
      <c r="D1055" s="50">
        <f>D1056+D1059+D1064+D1067</f>
        <v>2363.61</v>
      </c>
      <c r="E1055" s="50"/>
      <c r="F1055" s="50"/>
      <c r="G1055" s="109"/>
      <c r="H1055" s="64"/>
      <c r="I1055" s="55">
        <f>I1056+I1059+I1064+I1067</f>
        <v>3653781.46</v>
      </c>
      <c r="J1055" s="55"/>
      <c r="K1055" s="55"/>
      <c r="L1055" s="42"/>
      <c r="M1055" s="42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2"/>
      <c r="AH1055" s="42"/>
      <c r="AI1055" s="42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2"/>
      <c r="AV1055" s="42"/>
      <c r="AW1055" s="42"/>
      <c r="AX1055" s="42"/>
      <c r="AY1055" s="42"/>
      <c r="AZ1055" s="42"/>
      <c r="BA1055" s="42"/>
      <c r="BB1055" s="42"/>
      <c r="BC1055" s="42"/>
      <c r="BD1055" s="42"/>
      <c r="BE1055" s="42"/>
      <c r="BF1055" s="42"/>
      <c r="BG1055" s="42"/>
      <c r="BH1055" s="42"/>
      <c r="BI1055" s="42"/>
      <c r="BJ1055" s="42"/>
      <c r="BK1055" s="42"/>
      <c r="BL1055" s="42"/>
      <c r="BM1055" s="42"/>
      <c r="BN1055" s="42"/>
      <c r="BO1055" s="42"/>
      <c r="BP1055" s="42"/>
      <c r="BQ1055" s="42"/>
      <c r="BR1055" s="42"/>
      <c r="BS1055" s="42"/>
      <c r="BT1055" s="42"/>
      <c r="BU1055" s="42"/>
      <c r="BV1055" s="42"/>
      <c r="BW1055" s="42"/>
      <c r="BX1055" s="42"/>
      <c r="BY1055" s="42"/>
      <c r="BZ1055" s="42"/>
      <c r="CA1055" s="42"/>
      <c r="CB1055" s="42"/>
      <c r="CC1055" s="42"/>
      <c r="CD1055" s="42"/>
      <c r="CE1055" s="42"/>
      <c r="CF1055" s="42"/>
      <c r="CG1055" s="42"/>
      <c r="CH1055" s="42"/>
      <c r="CI1055" s="42"/>
      <c r="CJ1055" s="42"/>
      <c r="CK1055" s="42"/>
      <c r="CL1055" s="42"/>
      <c r="CM1055" s="42"/>
      <c r="CN1055" s="42"/>
      <c r="CO1055" s="42"/>
      <c r="CP1055" s="42"/>
      <c r="CQ1055" s="42"/>
      <c r="CR1055" s="42"/>
      <c r="CS1055" s="42"/>
      <c r="CT1055" s="42"/>
      <c r="CU1055" s="42"/>
      <c r="CV1055" s="42"/>
      <c r="CW1055" s="42"/>
      <c r="CX1055" s="42"/>
      <c r="CY1055" s="42"/>
      <c r="CZ1055" s="42"/>
      <c r="DA1055" s="42"/>
      <c r="DB1055" s="42"/>
      <c r="DC1055" s="42"/>
      <c r="DD1055" s="42"/>
      <c r="DE1055" s="42"/>
      <c r="DF1055" s="42"/>
      <c r="DG1055" s="42"/>
      <c r="DH1055" s="42"/>
      <c r="DI1055" s="42"/>
      <c r="DJ1055" s="42"/>
      <c r="DK1055" s="42"/>
      <c r="DL1055" s="42"/>
      <c r="DM1055" s="42"/>
      <c r="DN1055" s="42"/>
      <c r="DO1055" s="42"/>
      <c r="DP1055" s="42"/>
      <c r="DQ1055" s="42"/>
      <c r="DR1055" s="42"/>
      <c r="DS1055" s="42"/>
      <c r="DT1055" s="42"/>
      <c r="DU1055" s="42"/>
      <c r="DV1055" s="42"/>
      <c r="DW1055" s="42"/>
      <c r="DX1055" s="42"/>
      <c r="DY1055" s="42"/>
      <c r="DZ1055" s="42"/>
      <c r="EA1055" s="42"/>
      <c r="EB1055" s="42"/>
      <c r="EC1055" s="42"/>
      <c r="ED1055" s="42"/>
      <c r="EE1055" s="42"/>
      <c r="EF1055" s="42"/>
      <c r="EG1055" s="42"/>
      <c r="EH1055" s="42"/>
      <c r="EI1055" s="42"/>
      <c r="EJ1055" s="42"/>
      <c r="EK1055" s="42"/>
      <c r="EL1055" s="42"/>
      <c r="EM1055" s="42"/>
      <c r="EN1055" s="42"/>
      <c r="EO1055" s="42"/>
      <c r="EP1055" s="42"/>
      <c r="EQ1055" s="42"/>
      <c r="ER1055" s="42"/>
      <c r="ES1055" s="42"/>
      <c r="ET1055" s="42"/>
      <c r="EU1055" s="42"/>
      <c r="EV1055" s="42"/>
      <c r="EW1055" s="42"/>
      <c r="EX1055" s="42"/>
      <c r="EY1055" s="42"/>
      <c r="EZ1055" s="42"/>
      <c r="FA1055" s="42"/>
      <c r="FB1055" s="42"/>
      <c r="FC1055" s="42"/>
      <c r="FD1055" s="42"/>
    </row>
    <row r="1056" spans="1:160" x14ac:dyDescent="0.25">
      <c r="A1056" s="216">
        <v>1</v>
      </c>
      <c r="B1056" s="216">
        <v>4965</v>
      </c>
      <c r="C1056" s="218" t="s">
        <v>276</v>
      </c>
      <c r="D1056" s="220">
        <v>487.81</v>
      </c>
      <c r="E1056" s="228" t="s">
        <v>68</v>
      </c>
      <c r="F1056" s="228">
        <v>2</v>
      </c>
      <c r="G1056" s="216" t="s">
        <v>75</v>
      </c>
      <c r="H1056" s="57" t="s">
        <v>66</v>
      </c>
      <c r="I1056" s="50">
        <f>I1057+I1058</f>
        <v>1307444.52</v>
      </c>
      <c r="J1056" s="50">
        <f>J1057+J1058</f>
        <v>2680.23</v>
      </c>
      <c r="K1056" s="50">
        <f>K1057+K1058</f>
        <v>2977</v>
      </c>
    </row>
    <row r="1057" spans="1:160" x14ac:dyDescent="0.25">
      <c r="A1057" s="217"/>
      <c r="B1057" s="217"/>
      <c r="C1057" s="219"/>
      <c r="D1057" s="221"/>
      <c r="E1057" s="229"/>
      <c r="F1057" s="229"/>
      <c r="G1057" s="217"/>
      <c r="H1057" s="57" t="s">
        <v>67</v>
      </c>
      <c r="I1057" s="50">
        <v>1280263.75</v>
      </c>
      <c r="J1057" s="50">
        <f>I1057/D1056</f>
        <v>2624.51</v>
      </c>
      <c r="K1057" s="50">
        <v>2915</v>
      </c>
    </row>
    <row r="1058" spans="1:160" x14ac:dyDescent="0.25">
      <c r="A1058" s="217"/>
      <c r="B1058" s="217"/>
      <c r="C1058" s="219"/>
      <c r="D1058" s="221"/>
      <c r="E1058" s="229"/>
      <c r="F1058" s="229"/>
      <c r="G1058" s="222"/>
      <c r="H1058" s="57" t="s">
        <v>69</v>
      </c>
      <c r="I1058" s="50">
        <v>27180.77</v>
      </c>
      <c r="J1058" s="50">
        <f>I1058/D1056</f>
        <v>55.72</v>
      </c>
      <c r="K1058" s="50">
        <v>62</v>
      </c>
    </row>
    <row r="1059" spans="1:160" x14ac:dyDescent="0.25">
      <c r="A1059" s="216">
        <v>2</v>
      </c>
      <c r="B1059" s="216">
        <v>4971</v>
      </c>
      <c r="C1059" s="218" t="s">
        <v>525</v>
      </c>
      <c r="D1059" s="220">
        <v>643.9</v>
      </c>
      <c r="E1059" s="228" t="s">
        <v>68</v>
      </c>
      <c r="F1059" s="228">
        <v>2</v>
      </c>
      <c r="G1059" s="216" t="s">
        <v>75</v>
      </c>
      <c r="H1059" s="57" t="s">
        <v>66</v>
      </c>
      <c r="I1059" s="50">
        <f>I1060+I1061+I1062+I1063</f>
        <v>1985772.49</v>
      </c>
      <c r="J1059" s="50">
        <f t="shared" ref="J1059:K1059" si="46">J1060+J1061+J1062+J1063</f>
        <v>3083.98</v>
      </c>
      <c r="K1059" s="50">
        <f t="shared" si="46"/>
        <v>7493</v>
      </c>
    </row>
    <row r="1060" spans="1:160" x14ac:dyDescent="0.25">
      <c r="A1060" s="217"/>
      <c r="B1060" s="217"/>
      <c r="C1060" s="219"/>
      <c r="D1060" s="221"/>
      <c r="E1060" s="229"/>
      <c r="F1060" s="229"/>
      <c r="G1060" s="217"/>
      <c r="H1060" s="57" t="s">
        <v>67</v>
      </c>
      <c r="I1060" s="50">
        <f>1145420.1*0.7</f>
        <v>801794.07</v>
      </c>
      <c r="J1060" s="50">
        <f>I1060/D1059</f>
        <v>1245.22</v>
      </c>
      <c r="K1060" s="50">
        <v>2915</v>
      </c>
    </row>
    <row r="1061" spans="1:160" x14ac:dyDescent="0.25">
      <c r="A1061" s="217"/>
      <c r="B1061" s="217"/>
      <c r="C1061" s="219"/>
      <c r="D1061" s="221"/>
      <c r="E1061" s="229"/>
      <c r="F1061" s="229"/>
      <c r="G1061" s="217"/>
      <c r="H1061" s="57" t="s">
        <v>69</v>
      </c>
      <c r="I1061" s="50">
        <v>24449.599999999999</v>
      </c>
      <c r="J1061" s="50">
        <f>I1061/D1059</f>
        <v>37.97</v>
      </c>
      <c r="K1061" s="50">
        <v>62</v>
      </c>
    </row>
    <row r="1062" spans="1:160" x14ac:dyDescent="0.25">
      <c r="A1062" s="217"/>
      <c r="B1062" s="217"/>
      <c r="C1062" s="219"/>
      <c r="D1062" s="221"/>
      <c r="E1062" s="229"/>
      <c r="F1062" s="229"/>
      <c r="G1062" s="217"/>
      <c r="H1062" s="57" t="s">
        <v>179</v>
      </c>
      <c r="I1062" s="50">
        <f>1607331.33*0.7</f>
        <v>1125131.93</v>
      </c>
      <c r="J1062" s="50">
        <f>I1062/D1059</f>
        <v>1747.37</v>
      </c>
      <c r="K1062" s="50">
        <v>4421</v>
      </c>
    </row>
    <row r="1063" spans="1:160" x14ac:dyDescent="0.25">
      <c r="A1063" s="222"/>
      <c r="B1063" s="222"/>
      <c r="C1063" s="226"/>
      <c r="D1063" s="227"/>
      <c r="E1063" s="230"/>
      <c r="F1063" s="230"/>
      <c r="G1063" s="222"/>
      <c r="H1063" s="57" t="s">
        <v>69</v>
      </c>
      <c r="I1063" s="50">
        <v>34396.89</v>
      </c>
      <c r="J1063" s="50">
        <f>I1063/D1059</f>
        <v>53.42</v>
      </c>
      <c r="K1063" s="50">
        <v>95</v>
      </c>
    </row>
    <row r="1064" spans="1:160" x14ac:dyDescent="0.25">
      <c r="A1064" s="216">
        <v>3</v>
      </c>
      <c r="B1064" s="216">
        <v>4976</v>
      </c>
      <c r="C1064" s="218" t="s">
        <v>526</v>
      </c>
      <c r="D1064" s="220">
        <v>722.4</v>
      </c>
      <c r="E1064" s="228" t="s">
        <v>68</v>
      </c>
      <c r="F1064" s="228">
        <v>2</v>
      </c>
      <c r="G1064" s="216" t="s">
        <v>75</v>
      </c>
      <c r="H1064" s="57" t="s">
        <v>66</v>
      </c>
      <c r="I1064" s="50">
        <f>I1065+I1066</f>
        <v>186171.85</v>
      </c>
      <c r="J1064" s="50">
        <f t="shared" ref="J1064:K1064" si="47">J1065+J1066</f>
        <v>257.70999999999998</v>
      </c>
      <c r="K1064" s="50">
        <f t="shared" si="47"/>
        <v>349</v>
      </c>
    </row>
    <row r="1065" spans="1:160" ht="63" x14ac:dyDescent="0.25">
      <c r="A1065" s="217"/>
      <c r="B1065" s="217"/>
      <c r="C1065" s="219"/>
      <c r="D1065" s="221"/>
      <c r="E1065" s="229"/>
      <c r="F1065" s="229"/>
      <c r="G1065" s="217"/>
      <c r="H1065" s="57" t="s">
        <v>527</v>
      </c>
      <c r="I1065" s="50">
        <v>69574.13</v>
      </c>
      <c r="J1065" s="50">
        <f>I1065/D1064</f>
        <v>96.31</v>
      </c>
      <c r="K1065" s="50">
        <f>117+27</f>
        <v>144</v>
      </c>
    </row>
    <row r="1066" spans="1:160" ht="63" x14ac:dyDescent="0.25">
      <c r="A1066" s="217"/>
      <c r="B1066" s="217"/>
      <c r="C1066" s="219"/>
      <c r="D1066" s="221"/>
      <c r="E1066" s="229"/>
      <c r="F1066" s="229"/>
      <c r="G1066" s="222"/>
      <c r="H1066" s="57" t="s">
        <v>528</v>
      </c>
      <c r="I1066" s="50">
        <v>116597.72</v>
      </c>
      <c r="J1066" s="50">
        <f>I1066/D1064</f>
        <v>161.4</v>
      </c>
      <c r="K1066" s="50">
        <f>177+28</f>
        <v>205</v>
      </c>
    </row>
    <row r="1067" spans="1:160" x14ac:dyDescent="0.25">
      <c r="A1067" s="216">
        <v>4</v>
      </c>
      <c r="B1067" s="216">
        <v>4978</v>
      </c>
      <c r="C1067" s="218" t="s">
        <v>529</v>
      </c>
      <c r="D1067" s="220">
        <v>509.5</v>
      </c>
      <c r="E1067" s="228" t="s">
        <v>167</v>
      </c>
      <c r="F1067" s="228">
        <v>2</v>
      </c>
      <c r="G1067" s="216" t="s">
        <v>75</v>
      </c>
      <c r="H1067" s="57" t="s">
        <v>66</v>
      </c>
      <c r="I1067" s="50">
        <f>I1068+I1069</f>
        <v>174392.6</v>
      </c>
      <c r="J1067" s="50">
        <f t="shared" ref="J1067:K1067" si="48">J1068+J1069</f>
        <v>342.28</v>
      </c>
      <c r="K1067" s="50">
        <f t="shared" si="48"/>
        <v>464</v>
      </c>
    </row>
    <row r="1068" spans="1:160" ht="63" x14ac:dyDescent="0.25">
      <c r="A1068" s="217"/>
      <c r="B1068" s="217"/>
      <c r="C1068" s="219"/>
      <c r="D1068" s="221"/>
      <c r="E1068" s="229"/>
      <c r="F1068" s="229"/>
      <c r="G1068" s="217"/>
      <c r="H1068" s="57" t="s">
        <v>527</v>
      </c>
      <c r="I1068" s="50">
        <v>86510.07</v>
      </c>
      <c r="J1068" s="50">
        <f>I1068/D1067</f>
        <v>169.79</v>
      </c>
      <c r="K1068" s="50">
        <f>232+27</f>
        <v>259</v>
      </c>
    </row>
    <row r="1069" spans="1:160" ht="63" x14ac:dyDescent="0.25">
      <c r="A1069" s="217"/>
      <c r="B1069" s="217"/>
      <c r="C1069" s="219"/>
      <c r="D1069" s="221"/>
      <c r="E1069" s="229"/>
      <c r="F1069" s="229"/>
      <c r="G1069" s="222"/>
      <c r="H1069" s="57" t="s">
        <v>528</v>
      </c>
      <c r="I1069" s="50">
        <v>87882.53</v>
      </c>
      <c r="J1069" s="50">
        <f>I1069/D1067</f>
        <v>172.49</v>
      </c>
      <c r="K1069" s="50">
        <f>177+28</f>
        <v>205</v>
      </c>
    </row>
    <row r="1070" spans="1:160" s="41" customFormat="1" x14ac:dyDescent="0.25">
      <c r="A1070" s="51" t="s">
        <v>39</v>
      </c>
      <c r="B1070" s="63"/>
      <c r="C1070" s="51"/>
      <c r="D1070" s="109">
        <f>D1071+D1073+D1078+D1081+D1084</f>
        <v>1810.3</v>
      </c>
      <c r="E1070" s="112"/>
      <c r="F1070" s="112"/>
      <c r="G1070" s="109"/>
      <c r="H1070" s="64"/>
      <c r="I1070" s="55">
        <f>I1071+I1073+I1078+I1081+I1084</f>
        <v>7641021.3799999999</v>
      </c>
      <c r="J1070" s="55"/>
      <c r="K1070" s="55"/>
      <c r="L1070" s="42"/>
      <c r="M1070" s="42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2"/>
      <c r="AH1070" s="42"/>
      <c r="AI1070" s="42"/>
      <c r="AJ1070" s="42"/>
      <c r="AK1070" s="42"/>
      <c r="AL1070" s="42"/>
      <c r="AM1070" s="42"/>
      <c r="AN1070" s="42"/>
      <c r="AO1070" s="42"/>
      <c r="AP1070" s="42"/>
      <c r="AQ1070" s="42"/>
      <c r="AR1070" s="42"/>
      <c r="AS1070" s="42"/>
      <c r="AT1070" s="42"/>
      <c r="AU1070" s="42"/>
      <c r="AV1070" s="42"/>
      <c r="AW1070" s="42"/>
      <c r="AX1070" s="42"/>
      <c r="AY1070" s="42"/>
      <c r="AZ1070" s="42"/>
      <c r="BA1070" s="42"/>
      <c r="BB1070" s="42"/>
      <c r="BC1070" s="42"/>
      <c r="BD1070" s="42"/>
      <c r="BE1070" s="42"/>
      <c r="BF1070" s="42"/>
      <c r="BG1070" s="42"/>
      <c r="BH1070" s="42"/>
      <c r="BI1070" s="42"/>
      <c r="BJ1070" s="42"/>
      <c r="BK1070" s="42"/>
      <c r="BL1070" s="42"/>
      <c r="BM1070" s="42"/>
      <c r="BN1070" s="42"/>
      <c r="BO1070" s="42"/>
      <c r="BP1070" s="42"/>
      <c r="BQ1070" s="42"/>
      <c r="BR1070" s="42"/>
      <c r="BS1070" s="42"/>
      <c r="BT1070" s="42"/>
      <c r="BU1070" s="42"/>
      <c r="BV1070" s="42"/>
      <c r="BW1070" s="42"/>
      <c r="BX1070" s="42"/>
      <c r="BY1070" s="42"/>
      <c r="BZ1070" s="42"/>
      <c r="CA1070" s="42"/>
      <c r="CB1070" s="42"/>
      <c r="CC1070" s="42"/>
      <c r="CD1070" s="42"/>
      <c r="CE1070" s="42"/>
      <c r="CF1070" s="42"/>
      <c r="CG1070" s="42"/>
      <c r="CH1070" s="42"/>
      <c r="CI1070" s="42"/>
      <c r="CJ1070" s="42"/>
      <c r="CK1070" s="42"/>
      <c r="CL1070" s="42"/>
      <c r="CM1070" s="42"/>
      <c r="CN1070" s="42"/>
      <c r="CO1070" s="42"/>
      <c r="CP1070" s="42"/>
      <c r="CQ1070" s="42"/>
      <c r="CR1070" s="42"/>
      <c r="CS1070" s="42"/>
      <c r="CT1070" s="42"/>
      <c r="CU1070" s="42"/>
      <c r="CV1070" s="42"/>
      <c r="CW1070" s="42"/>
      <c r="CX1070" s="42"/>
      <c r="CY1070" s="42"/>
      <c r="CZ1070" s="42"/>
      <c r="DA1070" s="42"/>
      <c r="DB1070" s="42"/>
      <c r="DC1070" s="42"/>
      <c r="DD1070" s="42"/>
      <c r="DE1070" s="42"/>
      <c r="DF1070" s="42"/>
      <c r="DG1070" s="42"/>
      <c r="DH1070" s="42"/>
      <c r="DI1070" s="42"/>
      <c r="DJ1070" s="42"/>
      <c r="DK1070" s="42"/>
      <c r="DL1070" s="42"/>
      <c r="DM1070" s="42"/>
      <c r="DN1070" s="42"/>
      <c r="DO1070" s="42"/>
      <c r="DP1070" s="42"/>
      <c r="DQ1070" s="42"/>
      <c r="DR1070" s="42"/>
      <c r="DS1070" s="42"/>
      <c r="DT1070" s="42"/>
      <c r="DU1070" s="42"/>
      <c r="DV1070" s="42"/>
      <c r="DW1070" s="42"/>
      <c r="DX1070" s="42"/>
      <c r="DY1070" s="42"/>
      <c r="DZ1070" s="42"/>
      <c r="EA1070" s="42"/>
      <c r="EB1070" s="42"/>
      <c r="EC1070" s="42"/>
      <c r="ED1070" s="42"/>
      <c r="EE1070" s="42"/>
      <c r="EF1070" s="42"/>
      <c r="EG1070" s="42"/>
      <c r="EH1070" s="42"/>
      <c r="EI1070" s="42"/>
      <c r="EJ1070" s="42"/>
      <c r="EK1070" s="42"/>
      <c r="EL1070" s="42"/>
      <c r="EM1070" s="42"/>
      <c r="EN1070" s="42"/>
      <c r="EO1070" s="42"/>
      <c r="EP1070" s="42"/>
      <c r="EQ1070" s="42"/>
      <c r="ER1070" s="42"/>
      <c r="ES1070" s="42"/>
      <c r="ET1070" s="42"/>
      <c r="EU1070" s="42"/>
      <c r="EV1070" s="42"/>
      <c r="EW1070" s="42"/>
      <c r="EX1070" s="42"/>
      <c r="EY1070" s="42"/>
      <c r="EZ1070" s="42"/>
      <c r="FA1070" s="42"/>
      <c r="FB1070" s="42"/>
      <c r="FC1070" s="42"/>
      <c r="FD1070" s="42"/>
    </row>
    <row r="1071" spans="1:160" s="41" customFormat="1" x14ac:dyDescent="0.25">
      <c r="A1071" s="215">
        <v>1</v>
      </c>
      <c r="B1071" s="216">
        <v>7422</v>
      </c>
      <c r="C1071" s="223" t="s">
        <v>336</v>
      </c>
      <c r="D1071" s="224">
        <v>358.5</v>
      </c>
      <c r="E1071" s="225" t="s">
        <v>68</v>
      </c>
      <c r="F1071" s="225">
        <v>2</v>
      </c>
      <c r="G1071" s="215" t="s">
        <v>65</v>
      </c>
      <c r="H1071" s="57" t="s">
        <v>66</v>
      </c>
      <c r="I1071" s="50">
        <f>I1072</f>
        <v>47287.8</v>
      </c>
      <c r="J1071" s="50">
        <f>J1072</f>
        <v>131.9</v>
      </c>
      <c r="K1071" s="50">
        <f>K1072</f>
        <v>247</v>
      </c>
      <c r="L1071" s="42"/>
      <c r="M1071" s="42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  <c r="AB1071" s="42"/>
      <c r="AC1071" s="42"/>
      <c r="AD1071" s="42"/>
      <c r="AE1071" s="42"/>
      <c r="AF1071" s="42"/>
      <c r="AG1071" s="42"/>
      <c r="AH1071" s="42"/>
      <c r="AI1071" s="42"/>
      <c r="AJ1071" s="42"/>
      <c r="AK1071" s="42"/>
      <c r="AL1071" s="42"/>
      <c r="AM1071" s="42"/>
      <c r="AN1071" s="42"/>
      <c r="AO1071" s="42"/>
      <c r="AP1071" s="42"/>
      <c r="AQ1071" s="42"/>
      <c r="AR1071" s="42"/>
      <c r="AS1071" s="42"/>
      <c r="AT1071" s="42"/>
      <c r="AU1071" s="42"/>
      <c r="AV1071" s="42"/>
      <c r="AW1071" s="42"/>
      <c r="AX1071" s="42"/>
      <c r="AY1071" s="42"/>
      <c r="AZ1071" s="42"/>
      <c r="BA1071" s="42"/>
      <c r="BB1071" s="42"/>
      <c r="BC1071" s="42"/>
      <c r="BD1071" s="42"/>
      <c r="BE1071" s="42"/>
      <c r="BF1071" s="42"/>
      <c r="BG1071" s="42"/>
      <c r="BH1071" s="42"/>
      <c r="BI1071" s="42"/>
      <c r="BJ1071" s="42"/>
      <c r="BK1071" s="42"/>
      <c r="BL1071" s="42"/>
      <c r="BM1071" s="42"/>
      <c r="BN1071" s="42"/>
      <c r="BO1071" s="42"/>
      <c r="BP1071" s="42"/>
      <c r="BQ1071" s="42"/>
      <c r="BR1071" s="42"/>
      <c r="BS1071" s="42"/>
      <c r="BT1071" s="42"/>
      <c r="BU1071" s="42"/>
      <c r="BV1071" s="42"/>
      <c r="BW1071" s="42"/>
      <c r="BX1071" s="42"/>
      <c r="BY1071" s="42"/>
      <c r="BZ1071" s="42"/>
      <c r="CA1071" s="42"/>
      <c r="CB1071" s="42"/>
      <c r="CC1071" s="42"/>
      <c r="CD1071" s="42"/>
      <c r="CE1071" s="42"/>
      <c r="CF1071" s="42"/>
      <c r="CG1071" s="42"/>
      <c r="CH1071" s="42"/>
      <c r="CI1071" s="42"/>
      <c r="CJ1071" s="42"/>
      <c r="CK1071" s="42"/>
      <c r="CL1071" s="42"/>
      <c r="CM1071" s="42"/>
      <c r="CN1071" s="42"/>
      <c r="CO1071" s="42"/>
      <c r="CP1071" s="42"/>
      <c r="CQ1071" s="42"/>
      <c r="CR1071" s="42"/>
      <c r="CS1071" s="42"/>
      <c r="CT1071" s="42"/>
      <c r="CU1071" s="42"/>
      <c r="CV1071" s="42"/>
      <c r="CW1071" s="42"/>
      <c r="CX1071" s="42"/>
      <c r="CY1071" s="42"/>
      <c r="CZ1071" s="42"/>
      <c r="DA1071" s="42"/>
      <c r="DB1071" s="42"/>
      <c r="DC1071" s="42"/>
      <c r="DD1071" s="42"/>
      <c r="DE1071" s="42"/>
      <c r="DF1071" s="42"/>
      <c r="DG1071" s="42"/>
      <c r="DH1071" s="42"/>
      <c r="DI1071" s="42"/>
      <c r="DJ1071" s="42"/>
      <c r="DK1071" s="42"/>
      <c r="DL1071" s="42"/>
      <c r="DM1071" s="42"/>
      <c r="DN1071" s="42"/>
      <c r="DO1071" s="42"/>
      <c r="DP1071" s="42"/>
      <c r="DQ1071" s="42"/>
      <c r="DR1071" s="42"/>
      <c r="DS1071" s="42"/>
      <c r="DT1071" s="42"/>
      <c r="DU1071" s="42"/>
      <c r="DV1071" s="42"/>
      <c r="DW1071" s="42"/>
      <c r="DX1071" s="42"/>
      <c r="DY1071" s="42"/>
      <c r="DZ1071" s="42"/>
      <c r="EA1071" s="42"/>
      <c r="EB1071" s="42"/>
      <c r="EC1071" s="42"/>
      <c r="ED1071" s="42"/>
      <c r="EE1071" s="42"/>
      <c r="EF1071" s="42"/>
      <c r="EG1071" s="42"/>
      <c r="EH1071" s="42"/>
      <c r="EI1071" s="42"/>
      <c r="EJ1071" s="42"/>
      <c r="EK1071" s="42"/>
      <c r="EL1071" s="42"/>
      <c r="EM1071" s="42"/>
      <c r="EN1071" s="42"/>
      <c r="EO1071" s="42"/>
      <c r="EP1071" s="42"/>
      <c r="EQ1071" s="42"/>
      <c r="ER1071" s="42"/>
      <c r="ES1071" s="42"/>
      <c r="ET1071" s="42"/>
      <c r="EU1071" s="42"/>
      <c r="EV1071" s="42"/>
      <c r="EW1071" s="42"/>
      <c r="EX1071" s="42"/>
      <c r="EY1071" s="42"/>
      <c r="EZ1071" s="42"/>
      <c r="FA1071" s="42"/>
      <c r="FB1071" s="42"/>
      <c r="FC1071" s="42"/>
      <c r="FD1071" s="42"/>
    </row>
    <row r="1072" spans="1:160" s="41" customFormat="1" ht="63" x14ac:dyDescent="0.25">
      <c r="A1072" s="215"/>
      <c r="B1072" s="217"/>
      <c r="C1072" s="223"/>
      <c r="D1072" s="224"/>
      <c r="E1072" s="225"/>
      <c r="F1072" s="225"/>
      <c r="G1072" s="215"/>
      <c r="H1072" s="57" t="s">
        <v>178</v>
      </c>
      <c r="I1072" s="50">
        <v>47287.8</v>
      </c>
      <c r="J1072" s="50">
        <f>I1072/D1071</f>
        <v>131.9</v>
      </c>
      <c r="K1072" s="50">
        <f>151+96</f>
        <v>247</v>
      </c>
      <c r="L1072" s="42"/>
      <c r="M1072" s="42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2"/>
      <c r="AH1072" s="42"/>
      <c r="AI1072" s="42"/>
      <c r="AJ1072" s="42"/>
      <c r="AK1072" s="42"/>
      <c r="AL1072" s="42"/>
      <c r="AM1072" s="42"/>
      <c r="AN1072" s="42"/>
      <c r="AO1072" s="42"/>
      <c r="AP1072" s="42"/>
      <c r="AQ1072" s="42"/>
      <c r="AR1072" s="42"/>
      <c r="AS1072" s="42"/>
      <c r="AT1072" s="42"/>
      <c r="AU1072" s="42"/>
      <c r="AV1072" s="42"/>
      <c r="AW1072" s="42"/>
      <c r="AX1072" s="42"/>
      <c r="AY1072" s="42"/>
      <c r="AZ1072" s="42"/>
      <c r="BA1072" s="42"/>
      <c r="BB1072" s="42"/>
      <c r="BC1072" s="42"/>
      <c r="BD1072" s="42"/>
      <c r="BE1072" s="42"/>
      <c r="BF1072" s="42"/>
      <c r="BG1072" s="42"/>
      <c r="BH1072" s="42"/>
      <c r="BI1072" s="42"/>
      <c r="BJ1072" s="42"/>
      <c r="BK1072" s="42"/>
      <c r="BL1072" s="42"/>
      <c r="BM1072" s="42"/>
      <c r="BN1072" s="42"/>
      <c r="BO1072" s="42"/>
      <c r="BP1072" s="42"/>
      <c r="BQ1072" s="42"/>
      <c r="BR1072" s="42"/>
      <c r="BS1072" s="42"/>
      <c r="BT1072" s="42"/>
      <c r="BU1072" s="42"/>
      <c r="BV1072" s="42"/>
      <c r="BW1072" s="42"/>
      <c r="BX1072" s="42"/>
      <c r="BY1072" s="42"/>
      <c r="BZ1072" s="42"/>
      <c r="CA1072" s="42"/>
      <c r="CB1072" s="42"/>
      <c r="CC1072" s="42"/>
      <c r="CD1072" s="42"/>
      <c r="CE1072" s="42"/>
      <c r="CF1072" s="42"/>
      <c r="CG1072" s="42"/>
      <c r="CH1072" s="42"/>
      <c r="CI1072" s="42"/>
      <c r="CJ1072" s="42"/>
      <c r="CK1072" s="42"/>
      <c r="CL1072" s="42"/>
      <c r="CM1072" s="42"/>
      <c r="CN1072" s="42"/>
      <c r="CO1072" s="42"/>
      <c r="CP1072" s="42"/>
      <c r="CQ1072" s="42"/>
      <c r="CR1072" s="42"/>
      <c r="CS1072" s="42"/>
      <c r="CT1072" s="42"/>
      <c r="CU1072" s="42"/>
      <c r="CV1072" s="42"/>
      <c r="CW1072" s="42"/>
      <c r="CX1072" s="42"/>
      <c r="CY1072" s="42"/>
      <c r="CZ1072" s="42"/>
      <c r="DA1072" s="42"/>
      <c r="DB1072" s="42"/>
      <c r="DC1072" s="42"/>
      <c r="DD1072" s="42"/>
      <c r="DE1072" s="42"/>
      <c r="DF1072" s="42"/>
      <c r="DG1072" s="42"/>
      <c r="DH1072" s="42"/>
      <c r="DI1072" s="42"/>
      <c r="DJ1072" s="42"/>
      <c r="DK1072" s="42"/>
      <c r="DL1072" s="42"/>
      <c r="DM1072" s="42"/>
      <c r="DN1072" s="42"/>
      <c r="DO1072" s="42"/>
      <c r="DP1072" s="42"/>
      <c r="DQ1072" s="42"/>
      <c r="DR1072" s="42"/>
      <c r="DS1072" s="42"/>
      <c r="DT1072" s="42"/>
      <c r="DU1072" s="42"/>
      <c r="DV1072" s="42"/>
      <c r="DW1072" s="42"/>
      <c r="DX1072" s="42"/>
      <c r="DY1072" s="42"/>
      <c r="DZ1072" s="42"/>
      <c r="EA1072" s="42"/>
      <c r="EB1072" s="42"/>
      <c r="EC1072" s="42"/>
      <c r="ED1072" s="42"/>
      <c r="EE1072" s="42"/>
      <c r="EF1072" s="42"/>
      <c r="EG1072" s="42"/>
      <c r="EH1072" s="42"/>
      <c r="EI1072" s="42"/>
      <c r="EJ1072" s="42"/>
      <c r="EK1072" s="42"/>
      <c r="EL1072" s="42"/>
      <c r="EM1072" s="42"/>
      <c r="EN1072" s="42"/>
      <c r="EO1072" s="42"/>
      <c r="EP1072" s="42"/>
      <c r="EQ1072" s="42"/>
      <c r="ER1072" s="42"/>
      <c r="ES1072" s="42"/>
      <c r="ET1072" s="42"/>
      <c r="EU1072" s="42"/>
      <c r="EV1072" s="42"/>
      <c r="EW1072" s="42"/>
      <c r="EX1072" s="42"/>
      <c r="EY1072" s="42"/>
      <c r="EZ1072" s="42"/>
      <c r="FA1072" s="42"/>
      <c r="FB1072" s="42"/>
      <c r="FC1072" s="42"/>
      <c r="FD1072" s="42"/>
    </row>
    <row r="1073" spans="1:160" x14ac:dyDescent="0.25">
      <c r="A1073" s="216">
        <f>A1071+1</f>
        <v>2</v>
      </c>
      <c r="B1073" s="216">
        <v>7433</v>
      </c>
      <c r="C1073" s="218" t="s">
        <v>271</v>
      </c>
      <c r="D1073" s="220">
        <v>358.9</v>
      </c>
      <c r="E1073" s="228" t="s">
        <v>167</v>
      </c>
      <c r="F1073" s="228">
        <v>2</v>
      </c>
      <c r="G1073" s="215" t="s">
        <v>71</v>
      </c>
      <c r="H1073" s="57" t="s">
        <v>66</v>
      </c>
      <c r="I1073" s="50">
        <f>I1074+I1075+I1076+I1077</f>
        <v>294145.15999999997</v>
      </c>
      <c r="J1073" s="50">
        <f>J1074+J1075+J1076+J1077</f>
        <v>819.57</v>
      </c>
      <c r="K1073" s="50">
        <f>K1074+K1075+K1076+K1077</f>
        <v>1019</v>
      </c>
    </row>
    <row r="1074" spans="1:160" x14ac:dyDescent="0.25">
      <c r="A1074" s="217"/>
      <c r="B1074" s="217"/>
      <c r="C1074" s="219"/>
      <c r="D1074" s="221"/>
      <c r="E1074" s="229"/>
      <c r="F1074" s="229"/>
      <c r="G1074" s="215"/>
      <c r="H1074" s="57" t="s">
        <v>67</v>
      </c>
      <c r="I1074" s="50">
        <v>148609.37</v>
      </c>
      <c r="J1074" s="50">
        <f>I1074/D1073</f>
        <v>414.07</v>
      </c>
      <c r="K1074" s="50">
        <v>513</v>
      </c>
    </row>
    <row r="1075" spans="1:160" x14ac:dyDescent="0.25">
      <c r="A1075" s="217"/>
      <c r="B1075" s="217"/>
      <c r="C1075" s="219"/>
      <c r="D1075" s="221"/>
      <c r="E1075" s="229"/>
      <c r="F1075" s="229"/>
      <c r="G1075" s="215"/>
      <c r="H1075" s="57" t="s">
        <v>69</v>
      </c>
      <c r="I1075" s="50">
        <v>3180.24</v>
      </c>
      <c r="J1075" s="50">
        <f>I1075/D1073</f>
        <v>8.86</v>
      </c>
      <c r="K1075" s="50">
        <v>11</v>
      </c>
    </row>
    <row r="1076" spans="1:160" x14ac:dyDescent="0.25">
      <c r="A1076" s="217"/>
      <c r="B1076" s="217"/>
      <c r="C1076" s="219"/>
      <c r="D1076" s="221"/>
      <c r="E1076" s="229"/>
      <c r="F1076" s="229"/>
      <c r="G1076" s="215" t="s">
        <v>78</v>
      </c>
      <c r="H1076" s="57" t="s">
        <v>67</v>
      </c>
      <c r="I1076" s="50">
        <v>139372.97</v>
      </c>
      <c r="J1076" s="50">
        <f>I1076/D1073</f>
        <v>388.33</v>
      </c>
      <c r="K1076" s="50">
        <v>485</v>
      </c>
    </row>
    <row r="1077" spans="1:160" x14ac:dyDescent="0.25">
      <c r="A1077" s="222"/>
      <c r="B1077" s="222"/>
      <c r="C1077" s="226"/>
      <c r="D1077" s="227"/>
      <c r="E1077" s="230"/>
      <c r="F1077" s="230"/>
      <c r="G1077" s="215"/>
      <c r="H1077" s="57" t="s">
        <v>69</v>
      </c>
      <c r="I1077" s="50">
        <v>2982.58</v>
      </c>
      <c r="J1077" s="50">
        <f>I1077/D1073</f>
        <v>8.31</v>
      </c>
      <c r="K1077" s="50">
        <v>10</v>
      </c>
    </row>
    <row r="1078" spans="1:160" x14ac:dyDescent="0.25">
      <c r="A1078" s="215">
        <f>A1073+1</f>
        <v>3</v>
      </c>
      <c r="B1078" s="216">
        <v>7436</v>
      </c>
      <c r="C1078" s="223" t="s">
        <v>272</v>
      </c>
      <c r="D1078" s="224">
        <v>360</v>
      </c>
      <c r="E1078" s="225" t="s">
        <v>167</v>
      </c>
      <c r="F1078" s="225">
        <v>2</v>
      </c>
      <c r="G1078" s="215" t="s">
        <v>65</v>
      </c>
      <c r="H1078" s="57" t="s">
        <v>66</v>
      </c>
      <c r="I1078" s="50">
        <f>I1079+I1080</f>
        <v>2445227.92</v>
      </c>
      <c r="J1078" s="50">
        <f>J1079+J1080</f>
        <v>6792.3</v>
      </c>
      <c r="K1078" s="50">
        <f>K1079+K1080</f>
        <v>7688</v>
      </c>
    </row>
    <row r="1079" spans="1:160" x14ac:dyDescent="0.25">
      <c r="A1079" s="215">
        <v>1146</v>
      </c>
      <c r="B1079" s="217"/>
      <c r="C1079" s="223"/>
      <c r="D1079" s="224"/>
      <c r="E1079" s="225"/>
      <c r="F1079" s="225"/>
      <c r="G1079" s="215"/>
      <c r="H1079" s="57" t="s">
        <v>67</v>
      </c>
      <c r="I1079" s="50">
        <v>2393996.4</v>
      </c>
      <c r="J1079" s="50">
        <f>I1079/D1078</f>
        <v>6649.99</v>
      </c>
      <c r="K1079" s="50">
        <v>7527</v>
      </c>
    </row>
    <row r="1080" spans="1:160" x14ac:dyDescent="0.25">
      <c r="A1080" s="215">
        <v>1147</v>
      </c>
      <c r="B1080" s="222"/>
      <c r="C1080" s="223"/>
      <c r="D1080" s="224"/>
      <c r="E1080" s="225"/>
      <c r="F1080" s="225"/>
      <c r="G1080" s="215"/>
      <c r="H1080" s="57" t="s">
        <v>69</v>
      </c>
      <c r="I1080" s="50">
        <v>51231.519999999997</v>
      </c>
      <c r="J1080" s="50">
        <f>I1080/D1078</f>
        <v>142.31</v>
      </c>
      <c r="K1080" s="50">
        <v>161</v>
      </c>
    </row>
    <row r="1081" spans="1:160" x14ac:dyDescent="0.25">
      <c r="A1081" s="215">
        <f>A1078+1</f>
        <v>4</v>
      </c>
      <c r="B1081" s="216">
        <v>7437</v>
      </c>
      <c r="C1081" s="223" t="s">
        <v>273</v>
      </c>
      <c r="D1081" s="224">
        <v>367.7</v>
      </c>
      <c r="E1081" s="225" t="s">
        <v>167</v>
      </c>
      <c r="F1081" s="225">
        <v>2</v>
      </c>
      <c r="G1081" s="215" t="s">
        <v>65</v>
      </c>
      <c r="H1081" s="57" t="s">
        <v>66</v>
      </c>
      <c r="I1081" s="50">
        <f>I1082+I1083</f>
        <v>2455303.73</v>
      </c>
      <c r="J1081" s="50">
        <f>J1082+J1083</f>
        <v>6677.46</v>
      </c>
      <c r="K1081" s="50">
        <f>K1082+K1083</f>
        <v>7688</v>
      </c>
    </row>
    <row r="1082" spans="1:160" x14ac:dyDescent="0.25">
      <c r="A1082" s="215">
        <v>1146</v>
      </c>
      <c r="B1082" s="217"/>
      <c r="C1082" s="223"/>
      <c r="D1082" s="224"/>
      <c r="E1082" s="225"/>
      <c r="F1082" s="225"/>
      <c r="G1082" s="215"/>
      <c r="H1082" s="57" t="s">
        <v>67</v>
      </c>
      <c r="I1082" s="50">
        <v>2403861.1</v>
      </c>
      <c r="J1082" s="50">
        <f>I1082/D1081</f>
        <v>6537.56</v>
      </c>
      <c r="K1082" s="50">
        <v>7527</v>
      </c>
    </row>
    <row r="1083" spans="1:160" x14ac:dyDescent="0.25">
      <c r="A1083" s="215">
        <v>1147</v>
      </c>
      <c r="B1083" s="222"/>
      <c r="C1083" s="223"/>
      <c r="D1083" s="224"/>
      <c r="E1083" s="225"/>
      <c r="F1083" s="225"/>
      <c r="G1083" s="215"/>
      <c r="H1083" s="57" t="s">
        <v>69</v>
      </c>
      <c r="I1083" s="50">
        <v>51442.63</v>
      </c>
      <c r="J1083" s="50">
        <f>I1083/D1081</f>
        <v>139.9</v>
      </c>
      <c r="K1083" s="50">
        <v>161</v>
      </c>
    </row>
    <row r="1084" spans="1:160" x14ac:dyDescent="0.25">
      <c r="A1084" s="215">
        <f>A1081+1</f>
        <v>5</v>
      </c>
      <c r="B1084" s="216">
        <v>7438</v>
      </c>
      <c r="C1084" s="223" t="s">
        <v>274</v>
      </c>
      <c r="D1084" s="224">
        <v>365.2</v>
      </c>
      <c r="E1084" s="225" t="s">
        <v>167</v>
      </c>
      <c r="F1084" s="225">
        <v>2</v>
      </c>
      <c r="G1084" s="215" t="s">
        <v>65</v>
      </c>
      <c r="H1084" s="57" t="s">
        <v>66</v>
      </c>
      <c r="I1084" s="50">
        <f>I1085+I1086</f>
        <v>2399056.77</v>
      </c>
      <c r="J1084" s="50">
        <f>J1085+J1086</f>
        <v>6569.16</v>
      </c>
      <c r="K1084" s="50">
        <f>K1085+K1086</f>
        <v>7688</v>
      </c>
    </row>
    <row r="1085" spans="1:160" x14ac:dyDescent="0.25">
      <c r="A1085" s="215">
        <v>1146</v>
      </c>
      <c r="B1085" s="217"/>
      <c r="C1085" s="223"/>
      <c r="D1085" s="224"/>
      <c r="E1085" s="225"/>
      <c r="F1085" s="225"/>
      <c r="G1085" s="215"/>
      <c r="H1085" s="57" t="s">
        <v>67</v>
      </c>
      <c r="I1085" s="50">
        <v>2348792.61</v>
      </c>
      <c r="J1085" s="50">
        <f>I1085/D1084+0.01</f>
        <v>6431.53</v>
      </c>
      <c r="K1085" s="50">
        <v>7527</v>
      </c>
    </row>
    <row r="1086" spans="1:160" x14ac:dyDescent="0.25">
      <c r="A1086" s="215">
        <v>1147</v>
      </c>
      <c r="B1086" s="222"/>
      <c r="C1086" s="223"/>
      <c r="D1086" s="224"/>
      <c r="E1086" s="225"/>
      <c r="F1086" s="225"/>
      <c r="G1086" s="215"/>
      <c r="H1086" s="57" t="s">
        <v>69</v>
      </c>
      <c r="I1086" s="50">
        <v>50264.160000000003</v>
      </c>
      <c r="J1086" s="50">
        <f>I1086/D1084</f>
        <v>137.63</v>
      </c>
      <c r="K1086" s="50">
        <v>161</v>
      </c>
    </row>
    <row r="1087" spans="1:160" s="41" customFormat="1" x14ac:dyDescent="0.25">
      <c r="A1087" s="51" t="s">
        <v>43</v>
      </c>
      <c r="B1087" s="128"/>
      <c r="C1087" s="165"/>
      <c r="D1087" s="50">
        <f>D1088+D1091+D1094+D1098+D1102+D1106+D1110+D1114+D1117+D1120+D1123+D1127</f>
        <v>17332.03</v>
      </c>
      <c r="E1087" s="50"/>
      <c r="F1087" s="68"/>
      <c r="G1087" s="109"/>
      <c r="H1087" s="64"/>
      <c r="I1087" s="55">
        <f>I1088+I1091+I1094+I1098+I1102+I1106+I1110+I1114+I1117+I1120+I1123+I1127</f>
        <v>24884069.199999999</v>
      </c>
      <c r="J1087" s="55"/>
      <c r="K1087" s="55"/>
      <c r="L1087" s="42"/>
      <c r="M1087" s="42"/>
      <c r="N1087" s="42"/>
      <c r="O1087" s="42"/>
      <c r="P1087" s="42"/>
      <c r="Q1087" s="42"/>
      <c r="R1087" s="42"/>
      <c r="S1087" s="42"/>
      <c r="T1087" s="42"/>
      <c r="U1087" s="42"/>
      <c r="V1087" s="42"/>
      <c r="W1087" s="42"/>
      <c r="X1087" s="42"/>
      <c r="Y1087" s="42"/>
      <c r="Z1087" s="42"/>
      <c r="AA1087" s="42"/>
      <c r="AB1087" s="42"/>
      <c r="AC1087" s="42"/>
      <c r="AD1087" s="42"/>
      <c r="AE1087" s="42"/>
      <c r="AF1087" s="42"/>
      <c r="AG1087" s="42"/>
      <c r="AH1087" s="42"/>
      <c r="AI1087" s="42"/>
      <c r="AJ1087" s="42"/>
      <c r="AK1087" s="42"/>
      <c r="AL1087" s="42"/>
      <c r="AM1087" s="42"/>
      <c r="AN1087" s="42"/>
      <c r="AO1087" s="42"/>
      <c r="AP1087" s="42"/>
      <c r="AQ1087" s="42"/>
      <c r="AR1087" s="42"/>
      <c r="AS1087" s="42"/>
      <c r="AT1087" s="42"/>
      <c r="AU1087" s="42"/>
      <c r="AV1087" s="42"/>
      <c r="AW1087" s="42"/>
      <c r="AX1087" s="42"/>
      <c r="AY1087" s="42"/>
      <c r="AZ1087" s="42"/>
      <c r="BA1087" s="42"/>
      <c r="BB1087" s="42"/>
      <c r="BC1087" s="42"/>
      <c r="BD1087" s="42"/>
      <c r="BE1087" s="42"/>
      <c r="BF1087" s="42"/>
      <c r="BG1087" s="42"/>
      <c r="BH1087" s="42"/>
      <c r="BI1087" s="42"/>
      <c r="BJ1087" s="42"/>
      <c r="BK1087" s="42"/>
      <c r="BL1087" s="42"/>
      <c r="BM1087" s="42"/>
      <c r="BN1087" s="42"/>
      <c r="BO1087" s="42"/>
      <c r="BP1087" s="42"/>
      <c r="BQ1087" s="42"/>
      <c r="BR1087" s="42"/>
      <c r="BS1087" s="42"/>
      <c r="BT1087" s="42"/>
      <c r="BU1087" s="42"/>
      <c r="BV1087" s="42"/>
      <c r="BW1087" s="42"/>
      <c r="BX1087" s="42"/>
      <c r="BY1087" s="42"/>
      <c r="BZ1087" s="42"/>
      <c r="CA1087" s="42"/>
      <c r="CB1087" s="42"/>
      <c r="CC1087" s="42"/>
      <c r="CD1087" s="42"/>
      <c r="CE1087" s="42"/>
      <c r="CF1087" s="42"/>
      <c r="CG1087" s="42"/>
      <c r="CH1087" s="42"/>
      <c r="CI1087" s="42"/>
      <c r="CJ1087" s="42"/>
      <c r="CK1087" s="42"/>
      <c r="CL1087" s="42"/>
      <c r="CM1087" s="42"/>
      <c r="CN1087" s="42"/>
      <c r="CO1087" s="42"/>
      <c r="CP1087" s="42"/>
      <c r="CQ1087" s="42"/>
      <c r="CR1087" s="42"/>
      <c r="CS1087" s="42"/>
      <c r="CT1087" s="42"/>
      <c r="CU1087" s="42"/>
      <c r="CV1087" s="42"/>
      <c r="CW1087" s="42"/>
      <c r="CX1087" s="42"/>
      <c r="CY1087" s="42"/>
      <c r="CZ1087" s="42"/>
      <c r="DA1087" s="42"/>
      <c r="DB1087" s="42"/>
      <c r="DC1087" s="42"/>
      <c r="DD1087" s="42"/>
      <c r="DE1087" s="42"/>
      <c r="DF1087" s="42"/>
      <c r="DG1087" s="42"/>
      <c r="DH1087" s="42"/>
      <c r="DI1087" s="42"/>
      <c r="DJ1087" s="42"/>
      <c r="DK1087" s="42"/>
      <c r="DL1087" s="42"/>
      <c r="DM1087" s="42"/>
      <c r="DN1087" s="42"/>
      <c r="DO1087" s="42"/>
      <c r="DP1087" s="42"/>
      <c r="DQ1087" s="42"/>
      <c r="DR1087" s="42"/>
      <c r="DS1087" s="42"/>
      <c r="DT1087" s="42"/>
      <c r="DU1087" s="42"/>
      <c r="DV1087" s="42"/>
      <c r="DW1087" s="42"/>
      <c r="DX1087" s="42"/>
      <c r="DY1087" s="42"/>
      <c r="DZ1087" s="42"/>
      <c r="EA1087" s="42"/>
      <c r="EB1087" s="42"/>
      <c r="EC1087" s="42"/>
      <c r="ED1087" s="42"/>
      <c r="EE1087" s="42"/>
      <c r="EF1087" s="42"/>
      <c r="EG1087" s="42"/>
      <c r="EH1087" s="42"/>
      <c r="EI1087" s="42"/>
      <c r="EJ1087" s="42"/>
      <c r="EK1087" s="42"/>
      <c r="EL1087" s="42"/>
      <c r="EM1087" s="42"/>
      <c r="EN1087" s="42"/>
      <c r="EO1087" s="42"/>
      <c r="EP1087" s="42"/>
      <c r="EQ1087" s="42"/>
      <c r="ER1087" s="42"/>
      <c r="ES1087" s="42"/>
      <c r="ET1087" s="42"/>
      <c r="EU1087" s="42"/>
      <c r="EV1087" s="42"/>
      <c r="EW1087" s="42"/>
      <c r="EX1087" s="42"/>
      <c r="EY1087" s="42"/>
      <c r="EZ1087" s="42"/>
      <c r="FA1087" s="42"/>
      <c r="FB1087" s="42"/>
      <c r="FC1087" s="42"/>
      <c r="FD1087" s="42"/>
    </row>
    <row r="1088" spans="1:160" x14ac:dyDescent="0.25">
      <c r="A1088" s="240">
        <v>1</v>
      </c>
      <c r="B1088" s="240">
        <v>6886</v>
      </c>
      <c r="C1088" s="241" t="s">
        <v>305</v>
      </c>
      <c r="D1088" s="220">
        <v>4223.5</v>
      </c>
      <c r="E1088" s="220" t="s">
        <v>68</v>
      </c>
      <c r="F1088" s="228">
        <v>5</v>
      </c>
      <c r="G1088" s="216" t="s">
        <v>65</v>
      </c>
      <c r="H1088" s="69" t="s">
        <v>66</v>
      </c>
      <c r="I1088" s="70">
        <f>I1089+I1090</f>
        <v>9721378.1600000001</v>
      </c>
      <c r="J1088" s="70">
        <f>J1089+J1090</f>
        <v>2301.7399999999998</v>
      </c>
      <c r="K1088" s="50">
        <f>K1089+K1090</f>
        <v>3878</v>
      </c>
    </row>
    <row r="1089" spans="1:11" x14ac:dyDescent="0.25">
      <c r="A1089" s="238"/>
      <c r="B1089" s="238"/>
      <c r="C1089" s="242"/>
      <c r="D1089" s="221"/>
      <c r="E1089" s="221"/>
      <c r="F1089" s="229"/>
      <c r="G1089" s="217"/>
      <c r="H1089" s="57" t="s">
        <v>67</v>
      </c>
      <c r="I1089" s="70">
        <v>9517699.3900000006</v>
      </c>
      <c r="J1089" s="70">
        <f>I1089/D1088</f>
        <v>2253.5100000000002</v>
      </c>
      <c r="K1089" s="50">
        <v>3797</v>
      </c>
    </row>
    <row r="1090" spans="1:11" x14ac:dyDescent="0.25">
      <c r="A1090" s="239"/>
      <c r="B1090" s="239"/>
      <c r="C1090" s="243"/>
      <c r="D1090" s="227"/>
      <c r="E1090" s="227"/>
      <c r="F1090" s="230"/>
      <c r="G1090" s="222"/>
      <c r="H1090" s="57" t="s">
        <v>69</v>
      </c>
      <c r="I1090" s="70">
        <f>I1089*0.0214</f>
        <v>203678.77</v>
      </c>
      <c r="J1090" s="70">
        <f>I1090/D1088</f>
        <v>48.23</v>
      </c>
      <c r="K1090" s="50">
        <v>81</v>
      </c>
    </row>
    <row r="1091" spans="1:11" x14ac:dyDescent="0.25">
      <c r="A1091" s="237">
        <f>A1088+1</f>
        <v>2</v>
      </c>
      <c r="B1091" s="240">
        <v>6887</v>
      </c>
      <c r="C1091" s="241" t="s">
        <v>309</v>
      </c>
      <c r="D1091" s="220">
        <v>1423</v>
      </c>
      <c r="E1091" s="220" t="s">
        <v>68</v>
      </c>
      <c r="F1091" s="228">
        <v>5</v>
      </c>
      <c r="G1091" s="216" t="s">
        <v>65</v>
      </c>
      <c r="H1091" s="69" t="s">
        <v>66</v>
      </c>
      <c r="I1091" s="70">
        <f>I1092+I1093</f>
        <v>4322587.2300000004</v>
      </c>
      <c r="J1091" s="70">
        <f>J1092+J1093</f>
        <v>3037.66</v>
      </c>
      <c r="K1091" s="50">
        <f>K1092+K1093</f>
        <v>3878</v>
      </c>
    </row>
    <row r="1092" spans="1:11" x14ac:dyDescent="0.25">
      <c r="A1092" s="238"/>
      <c r="B1092" s="238"/>
      <c r="C1092" s="242"/>
      <c r="D1092" s="221"/>
      <c r="E1092" s="221"/>
      <c r="F1092" s="229"/>
      <c r="G1092" s="217"/>
      <c r="H1092" s="57" t="s">
        <v>67</v>
      </c>
      <c r="I1092" s="70">
        <v>4232021.96</v>
      </c>
      <c r="J1092" s="70">
        <f>I1092/D1091+0.01</f>
        <v>2974.02</v>
      </c>
      <c r="K1092" s="50">
        <v>3797</v>
      </c>
    </row>
    <row r="1093" spans="1:11" x14ac:dyDescent="0.25">
      <c r="A1093" s="239"/>
      <c r="B1093" s="239"/>
      <c r="C1093" s="243"/>
      <c r="D1093" s="227"/>
      <c r="E1093" s="227"/>
      <c r="F1093" s="230"/>
      <c r="G1093" s="222"/>
      <c r="H1093" s="57" t="s">
        <v>69</v>
      </c>
      <c r="I1093" s="70">
        <v>90565.27</v>
      </c>
      <c r="J1093" s="70">
        <f>I1093/D1091</f>
        <v>63.64</v>
      </c>
      <c r="K1093" s="50">
        <v>81</v>
      </c>
    </row>
    <row r="1094" spans="1:11" x14ac:dyDescent="0.25">
      <c r="A1094" s="235">
        <f>A1091+1</f>
        <v>3</v>
      </c>
      <c r="B1094" s="235">
        <v>6966</v>
      </c>
      <c r="C1094" s="241" t="s">
        <v>310</v>
      </c>
      <c r="D1094" s="224">
        <v>376.1</v>
      </c>
      <c r="E1094" s="224" t="s">
        <v>167</v>
      </c>
      <c r="F1094" s="228">
        <v>2</v>
      </c>
      <c r="G1094" s="110"/>
      <c r="H1094" s="57" t="s">
        <v>66</v>
      </c>
      <c r="I1094" s="50">
        <f>SUM(I1095:I1097)</f>
        <v>82742</v>
      </c>
      <c r="J1094" s="50">
        <f>SUM(J1095:J1097)</f>
        <v>220</v>
      </c>
      <c r="K1094" s="50">
        <f>SUM(K1095:K1097)</f>
        <v>220</v>
      </c>
    </row>
    <row r="1095" spans="1:11" ht="63" x14ac:dyDescent="0.25">
      <c r="A1095" s="249"/>
      <c r="B1095" s="249"/>
      <c r="C1095" s="242"/>
      <c r="D1095" s="227"/>
      <c r="E1095" s="227"/>
      <c r="F1095" s="229"/>
      <c r="G1095" s="102" t="s">
        <v>70</v>
      </c>
      <c r="H1095" s="57" t="s">
        <v>168</v>
      </c>
      <c r="I1095" s="50">
        <f>D1094*K1095</f>
        <v>51525.7</v>
      </c>
      <c r="J1095" s="50">
        <f>I1095/D1094</f>
        <v>137</v>
      </c>
      <c r="K1095" s="50">
        <f>116+21</f>
        <v>137</v>
      </c>
    </row>
    <row r="1096" spans="1:11" ht="63" x14ac:dyDescent="0.25">
      <c r="A1096" s="249"/>
      <c r="B1096" s="249"/>
      <c r="C1096" s="242"/>
      <c r="D1096" s="227"/>
      <c r="E1096" s="227"/>
      <c r="F1096" s="229"/>
      <c r="G1096" s="102" t="s">
        <v>71</v>
      </c>
      <c r="H1096" s="57" t="s">
        <v>168</v>
      </c>
      <c r="I1096" s="50">
        <f>D1094*K1096</f>
        <v>15796.2</v>
      </c>
      <c r="J1096" s="50">
        <f>I1096/D1094</f>
        <v>42</v>
      </c>
      <c r="K1096" s="50">
        <f>21+21</f>
        <v>42</v>
      </c>
    </row>
    <row r="1097" spans="1:11" ht="63" x14ac:dyDescent="0.25">
      <c r="A1097" s="249"/>
      <c r="B1097" s="249"/>
      <c r="C1097" s="242"/>
      <c r="D1097" s="227"/>
      <c r="E1097" s="227"/>
      <c r="F1097" s="229"/>
      <c r="G1097" s="102" t="s">
        <v>72</v>
      </c>
      <c r="H1097" s="57" t="s">
        <v>168</v>
      </c>
      <c r="I1097" s="50">
        <f>D1094*K1097</f>
        <v>15420.1</v>
      </c>
      <c r="J1097" s="50">
        <f>I1097/D1094</f>
        <v>41</v>
      </c>
      <c r="K1097" s="50">
        <f>22+19</f>
        <v>41</v>
      </c>
    </row>
    <row r="1098" spans="1:11" x14ac:dyDescent="0.25">
      <c r="A1098" s="235">
        <f>A1094+1</f>
        <v>4</v>
      </c>
      <c r="B1098" s="235">
        <v>6968</v>
      </c>
      <c r="C1098" s="241" t="s">
        <v>311</v>
      </c>
      <c r="D1098" s="224">
        <v>393.8</v>
      </c>
      <c r="E1098" s="224" t="s">
        <v>167</v>
      </c>
      <c r="F1098" s="228">
        <v>2</v>
      </c>
      <c r="G1098" s="110"/>
      <c r="H1098" s="57" t="s">
        <v>66</v>
      </c>
      <c r="I1098" s="50">
        <f>SUM(I1099:I1101)</f>
        <v>86636</v>
      </c>
      <c r="J1098" s="50">
        <f>SUM(J1099:J1101)</f>
        <v>220</v>
      </c>
      <c r="K1098" s="50">
        <f>SUM(K1099:K1101)</f>
        <v>220</v>
      </c>
    </row>
    <row r="1099" spans="1:11" ht="63" x14ac:dyDescent="0.25">
      <c r="A1099" s="249"/>
      <c r="B1099" s="249"/>
      <c r="C1099" s="242"/>
      <c r="D1099" s="227"/>
      <c r="E1099" s="227"/>
      <c r="F1099" s="229"/>
      <c r="G1099" s="102" t="s">
        <v>70</v>
      </c>
      <c r="H1099" s="57" t="s">
        <v>168</v>
      </c>
      <c r="I1099" s="50">
        <f>D1098*K1099</f>
        <v>53950.6</v>
      </c>
      <c r="J1099" s="50">
        <f>I1099/D1098</f>
        <v>137</v>
      </c>
      <c r="K1099" s="50">
        <f>116+21</f>
        <v>137</v>
      </c>
    </row>
    <row r="1100" spans="1:11" ht="63" x14ac:dyDescent="0.25">
      <c r="A1100" s="249"/>
      <c r="B1100" s="249"/>
      <c r="C1100" s="242"/>
      <c r="D1100" s="227"/>
      <c r="E1100" s="227"/>
      <c r="F1100" s="229"/>
      <c r="G1100" s="102" t="s">
        <v>71</v>
      </c>
      <c r="H1100" s="57" t="s">
        <v>168</v>
      </c>
      <c r="I1100" s="50">
        <f>D1098*K1100</f>
        <v>16539.599999999999</v>
      </c>
      <c r="J1100" s="50">
        <f>I1100/D1098</f>
        <v>42</v>
      </c>
      <c r="K1100" s="50">
        <f>21+21</f>
        <v>42</v>
      </c>
    </row>
    <row r="1101" spans="1:11" ht="63" x14ac:dyDescent="0.25">
      <c r="A1101" s="249"/>
      <c r="B1101" s="249"/>
      <c r="C1101" s="242"/>
      <c r="D1101" s="227"/>
      <c r="E1101" s="227"/>
      <c r="F1101" s="229"/>
      <c r="G1101" s="102" t="s">
        <v>72</v>
      </c>
      <c r="H1101" s="57" t="s">
        <v>168</v>
      </c>
      <c r="I1101" s="50">
        <f>D1098*K1101</f>
        <v>16145.8</v>
      </c>
      <c r="J1101" s="50">
        <f>I1101/D1098</f>
        <v>41</v>
      </c>
      <c r="K1101" s="50">
        <f>22+19</f>
        <v>41</v>
      </c>
    </row>
    <row r="1102" spans="1:11" x14ac:dyDescent="0.25">
      <c r="A1102" s="235">
        <f>A1098+1</f>
        <v>5</v>
      </c>
      <c r="B1102" s="235">
        <v>6979</v>
      </c>
      <c r="C1102" s="241" t="s">
        <v>314</v>
      </c>
      <c r="D1102" s="224">
        <v>340.5</v>
      </c>
      <c r="E1102" s="224" t="s">
        <v>167</v>
      </c>
      <c r="F1102" s="228">
        <v>2</v>
      </c>
      <c r="G1102" s="110"/>
      <c r="H1102" s="57" t="s">
        <v>66</v>
      </c>
      <c r="I1102" s="50">
        <f>SUM(I1103:I1105)</f>
        <v>74910</v>
      </c>
      <c r="J1102" s="50">
        <f>SUM(J1103:J1105)</f>
        <v>220</v>
      </c>
      <c r="K1102" s="50">
        <f>SUM(K1103:K1105)</f>
        <v>220</v>
      </c>
    </row>
    <row r="1103" spans="1:11" ht="63" x14ac:dyDescent="0.25">
      <c r="A1103" s="249"/>
      <c r="B1103" s="249"/>
      <c r="C1103" s="242"/>
      <c r="D1103" s="227"/>
      <c r="E1103" s="227"/>
      <c r="F1103" s="229"/>
      <c r="G1103" s="102" t="s">
        <v>70</v>
      </c>
      <c r="H1103" s="57" t="s">
        <v>168</v>
      </c>
      <c r="I1103" s="50">
        <f>D1102*K1103</f>
        <v>46648.5</v>
      </c>
      <c r="J1103" s="50">
        <f>I1103/D1102</f>
        <v>137</v>
      </c>
      <c r="K1103" s="50">
        <f>116+21</f>
        <v>137</v>
      </c>
    </row>
    <row r="1104" spans="1:11" ht="63" x14ac:dyDescent="0.25">
      <c r="A1104" s="249"/>
      <c r="B1104" s="249"/>
      <c r="C1104" s="242"/>
      <c r="D1104" s="227"/>
      <c r="E1104" s="227"/>
      <c r="F1104" s="229"/>
      <c r="G1104" s="102" t="s">
        <v>71</v>
      </c>
      <c r="H1104" s="57" t="s">
        <v>168</v>
      </c>
      <c r="I1104" s="50">
        <f>D1102*K1104</f>
        <v>14301</v>
      </c>
      <c r="J1104" s="50">
        <f>I1104/D1102</f>
        <v>42</v>
      </c>
      <c r="K1104" s="50">
        <f>21+21</f>
        <v>42</v>
      </c>
    </row>
    <row r="1105" spans="1:11" ht="63" x14ac:dyDescent="0.25">
      <c r="A1105" s="249"/>
      <c r="B1105" s="249"/>
      <c r="C1105" s="242"/>
      <c r="D1105" s="227"/>
      <c r="E1105" s="227"/>
      <c r="F1105" s="229"/>
      <c r="G1105" s="102" t="s">
        <v>72</v>
      </c>
      <c r="H1105" s="57" t="s">
        <v>168</v>
      </c>
      <c r="I1105" s="50">
        <f>D1102*K1105</f>
        <v>13960.5</v>
      </c>
      <c r="J1105" s="50">
        <f>I1105/D1102</f>
        <v>41</v>
      </c>
      <c r="K1105" s="50">
        <f>22+19</f>
        <v>41</v>
      </c>
    </row>
    <row r="1106" spans="1:11" x14ac:dyDescent="0.25">
      <c r="A1106" s="237">
        <f>A1102+1</f>
        <v>6</v>
      </c>
      <c r="B1106" s="237">
        <v>6986</v>
      </c>
      <c r="C1106" s="241" t="s">
        <v>319</v>
      </c>
      <c r="D1106" s="220">
        <v>399.28</v>
      </c>
      <c r="E1106" s="220" t="s">
        <v>167</v>
      </c>
      <c r="F1106" s="228">
        <v>2</v>
      </c>
      <c r="G1106" s="110"/>
      <c r="H1106" s="57" t="s">
        <v>66</v>
      </c>
      <c r="I1106" s="50">
        <f>SUM(I1107:I1109)</f>
        <v>87841.600000000006</v>
      </c>
      <c r="J1106" s="50">
        <f>SUM(J1107:J1109)</f>
        <v>220</v>
      </c>
      <c r="K1106" s="50">
        <f>SUM(K1107:K1109)</f>
        <v>220</v>
      </c>
    </row>
    <row r="1107" spans="1:11" ht="63" x14ac:dyDescent="0.25">
      <c r="A1107" s="248"/>
      <c r="B1107" s="248"/>
      <c r="C1107" s="242"/>
      <c r="D1107" s="221"/>
      <c r="E1107" s="221"/>
      <c r="F1107" s="229"/>
      <c r="G1107" s="102" t="s">
        <v>70</v>
      </c>
      <c r="H1107" s="57" t="s">
        <v>168</v>
      </c>
      <c r="I1107" s="50">
        <f>D1106*K1107</f>
        <v>54701.36</v>
      </c>
      <c r="J1107" s="50">
        <f>I1107/D1106</f>
        <v>137</v>
      </c>
      <c r="K1107" s="50">
        <f>116+21</f>
        <v>137</v>
      </c>
    </row>
    <row r="1108" spans="1:11" ht="63" x14ac:dyDescent="0.25">
      <c r="A1108" s="248"/>
      <c r="B1108" s="248"/>
      <c r="C1108" s="242"/>
      <c r="D1108" s="221"/>
      <c r="E1108" s="221"/>
      <c r="F1108" s="229"/>
      <c r="G1108" s="102" t="s">
        <v>71</v>
      </c>
      <c r="H1108" s="57" t="s">
        <v>168</v>
      </c>
      <c r="I1108" s="50">
        <f>D1106*K1108</f>
        <v>16769.759999999998</v>
      </c>
      <c r="J1108" s="50">
        <f>I1108/D1106</f>
        <v>42</v>
      </c>
      <c r="K1108" s="50">
        <f>21+21</f>
        <v>42</v>
      </c>
    </row>
    <row r="1109" spans="1:11" ht="62.25" customHeight="1" x14ac:dyDescent="0.25">
      <c r="A1109" s="249"/>
      <c r="B1109" s="249"/>
      <c r="C1109" s="243"/>
      <c r="D1109" s="227"/>
      <c r="E1109" s="227"/>
      <c r="F1109" s="230"/>
      <c r="G1109" s="102" t="s">
        <v>72</v>
      </c>
      <c r="H1109" s="57" t="s">
        <v>168</v>
      </c>
      <c r="I1109" s="50">
        <f>D1106*K1109</f>
        <v>16370.48</v>
      </c>
      <c r="J1109" s="50">
        <f>I1109/D1106</f>
        <v>41</v>
      </c>
      <c r="K1109" s="50">
        <f>22+19</f>
        <v>41</v>
      </c>
    </row>
    <row r="1110" spans="1:11" x14ac:dyDescent="0.25">
      <c r="A1110" s="235">
        <f>A1106+1</f>
        <v>7</v>
      </c>
      <c r="B1110" s="235">
        <v>6988</v>
      </c>
      <c r="C1110" s="241" t="s">
        <v>320</v>
      </c>
      <c r="D1110" s="224">
        <v>637.92999999999995</v>
      </c>
      <c r="E1110" s="224" t="s">
        <v>68</v>
      </c>
      <c r="F1110" s="228">
        <v>2</v>
      </c>
      <c r="G1110" s="110"/>
      <c r="H1110" s="57" t="s">
        <v>66</v>
      </c>
      <c r="I1110" s="50">
        <f>SUM(I1111:I1113)</f>
        <v>140344.6</v>
      </c>
      <c r="J1110" s="50">
        <f>SUM(J1111:J1113)</f>
        <v>220</v>
      </c>
      <c r="K1110" s="50">
        <f>SUM(K1111:K1113)</f>
        <v>220</v>
      </c>
    </row>
    <row r="1111" spans="1:11" ht="63" x14ac:dyDescent="0.25">
      <c r="A1111" s="249"/>
      <c r="B1111" s="249"/>
      <c r="C1111" s="242"/>
      <c r="D1111" s="227"/>
      <c r="E1111" s="227"/>
      <c r="F1111" s="229"/>
      <c r="G1111" s="102" t="s">
        <v>70</v>
      </c>
      <c r="H1111" s="57" t="s">
        <v>168</v>
      </c>
      <c r="I1111" s="50">
        <f>D1110*K1111</f>
        <v>87396.41</v>
      </c>
      <c r="J1111" s="50">
        <f>I1111/D1110</f>
        <v>137</v>
      </c>
      <c r="K1111" s="50">
        <f>116+21</f>
        <v>137</v>
      </c>
    </row>
    <row r="1112" spans="1:11" ht="63" x14ac:dyDescent="0.25">
      <c r="A1112" s="249"/>
      <c r="B1112" s="249"/>
      <c r="C1112" s="242"/>
      <c r="D1112" s="227"/>
      <c r="E1112" s="227"/>
      <c r="F1112" s="229"/>
      <c r="G1112" s="102" t="s">
        <v>71</v>
      </c>
      <c r="H1112" s="57" t="s">
        <v>168</v>
      </c>
      <c r="I1112" s="50">
        <f>D1110*K1112</f>
        <v>26793.06</v>
      </c>
      <c r="J1112" s="50">
        <f>I1112/D1110</f>
        <v>42</v>
      </c>
      <c r="K1112" s="50">
        <f>21+21</f>
        <v>42</v>
      </c>
    </row>
    <row r="1113" spans="1:11" ht="63" x14ac:dyDescent="0.25">
      <c r="A1113" s="249"/>
      <c r="B1113" s="249"/>
      <c r="C1113" s="243"/>
      <c r="D1113" s="227"/>
      <c r="E1113" s="227"/>
      <c r="F1113" s="230"/>
      <c r="G1113" s="102" t="s">
        <v>72</v>
      </c>
      <c r="H1113" s="57" t="s">
        <v>168</v>
      </c>
      <c r="I1113" s="50">
        <f>D1110*K1113</f>
        <v>26155.13</v>
      </c>
      <c r="J1113" s="50">
        <f>I1113/D1110</f>
        <v>41</v>
      </c>
      <c r="K1113" s="50">
        <f>22+19</f>
        <v>41</v>
      </c>
    </row>
    <row r="1114" spans="1:11" x14ac:dyDescent="0.25">
      <c r="A1114" s="237">
        <f>A1110+1</f>
        <v>8</v>
      </c>
      <c r="B1114" s="240">
        <v>6932</v>
      </c>
      <c r="C1114" s="241" t="s">
        <v>161</v>
      </c>
      <c r="D1114" s="220">
        <v>3583.3</v>
      </c>
      <c r="E1114" s="220" t="s">
        <v>64</v>
      </c>
      <c r="F1114" s="228">
        <v>5</v>
      </c>
      <c r="G1114" s="216" t="s">
        <v>65</v>
      </c>
      <c r="H1114" s="69" t="s">
        <v>66</v>
      </c>
      <c r="I1114" s="70">
        <f>I1115+I1116</f>
        <v>9542092.5</v>
      </c>
      <c r="J1114" s="70">
        <f>J1115+J1116</f>
        <v>2662.93</v>
      </c>
      <c r="K1114" s="50">
        <f>K1115+K1116</f>
        <v>3878</v>
      </c>
    </row>
    <row r="1115" spans="1:11" x14ac:dyDescent="0.25">
      <c r="A1115" s="238"/>
      <c r="B1115" s="238"/>
      <c r="C1115" s="242"/>
      <c r="D1115" s="221"/>
      <c r="E1115" s="221"/>
      <c r="F1115" s="229"/>
      <c r="G1115" s="217"/>
      <c r="H1115" s="57" t="s">
        <v>67</v>
      </c>
      <c r="I1115" s="70">
        <v>9342170.0600000005</v>
      </c>
      <c r="J1115" s="70">
        <f>I1115/D1114</f>
        <v>2607.14</v>
      </c>
      <c r="K1115" s="50">
        <v>3797</v>
      </c>
    </row>
    <row r="1116" spans="1:11" x14ac:dyDescent="0.25">
      <c r="A1116" s="239"/>
      <c r="B1116" s="239"/>
      <c r="C1116" s="243"/>
      <c r="D1116" s="227"/>
      <c r="E1116" s="227"/>
      <c r="F1116" s="230"/>
      <c r="G1116" s="222"/>
      <c r="H1116" s="57" t="s">
        <v>69</v>
      </c>
      <c r="I1116" s="70">
        <v>199922.44</v>
      </c>
      <c r="J1116" s="70">
        <f>I1116/D1114</f>
        <v>55.79</v>
      </c>
      <c r="K1116" s="50">
        <v>81</v>
      </c>
    </row>
    <row r="1117" spans="1:11" x14ac:dyDescent="0.25">
      <c r="A1117" s="235">
        <f>A1114+1</f>
        <v>9</v>
      </c>
      <c r="B1117" s="235">
        <v>7076</v>
      </c>
      <c r="C1117" s="241" t="s">
        <v>329</v>
      </c>
      <c r="D1117" s="224">
        <v>339.62</v>
      </c>
      <c r="E1117" s="224" t="s">
        <v>167</v>
      </c>
      <c r="F1117" s="228">
        <v>2</v>
      </c>
      <c r="G1117" s="110"/>
      <c r="H1117" s="57" t="s">
        <v>66</v>
      </c>
      <c r="I1117" s="50">
        <f>SUM(I1118:I1119)</f>
        <v>56527.94</v>
      </c>
      <c r="J1117" s="50">
        <f>SUM(J1118:J1119)</f>
        <v>166.44</v>
      </c>
      <c r="K1117" s="50">
        <f>SUM(K1118:K1119)</f>
        <v>179</v>
      </c>
    </row>
    <row r="1118" spans="1:11" ht="63" x14ac:dyDescent="0.25">
      <c r="A1118" s="249"/>
      <c r="B1118" s="249"/>
      <c r="C1118" s="242"/>
      <c r="D1118" s="227"/>
      <c r="E1118" s="227"/>
      <c r="F1118" s="229"/>
      <c r="G1118" s="102" t="s">
        <v>70</v>
      </c>
      <c r="H1118" s="57" t="s">
        <v>168</v>
      </c>
      <c r="I1118" s="50">
        <v>44395.92</v>
      </c>
      <c r="J1118" s="50">
        <f>I1118/D1117</f>
        <v>130.72</v>
      </c>
      <c r="K1118" s="50">
        <f>116+21</f>
        <v>137</v>
      </c>
    </row>
    <row r="1119" spans="1:11" ht="63" x14ac:dyDescent="0.25">
      <c r="A1119" s="249"/>
      <c r="B1119" s="249"/>
      <c r="C1119" s="242"/>
      <c r="D1119" s="227"/>
      <c r="E1119" s="227"/>
      <c r="F1119" s="229"/>
      <c r="G1119" s="102" t="s">
        <v>71</v>
      </c>
      <c r="H1119" s="57" t="s">
        <v>168</v>
      </c>
      <c r="I1119" s="50">
        <v>12132.02</v>
      </c>
      <c r="J1119" s="50">
        <f>I1119/D1117</f>
        <v>35.72</v>
      </c>
      <c r="K1119" s="50">
        <f>21+21</f>
        <v>42</v>
      </c>
    </row>
    <row r="1120" spans="1:11" x14ac:dyDescent="0.25">
      <c r="A1120" s="235">
        <f>A1117+1</f>
        <v>10</v>
      </c>
      <c r="B1120" s="235">
        <v>7084</v>
      </c>
      <c r="C1120" s="241" t="s">
        <v>330</v>
      </c>
      <c r="D1120" s="224">
        <v>460</v>
      </c>
      <c r="E1120" s="224" t="s">
        <v>167</v>
      </c>
      <c r="F1120" s="228">
        <v>2</v>
      </c>
      <c r="G1120" s="110"/>
      <c r="H1120" s="57" t="s">
        <v>66</v>
      </c>
      <c r="I1120" s="50">
        <f>SUM(I1121:I1122)</f>
        <v>73020</v>
      </c>
      <c r="J1120" s="50">
        <f>SUM(J1121:J1122)</f>
        <v>158.74</v>
      </c>
      <c r="K1120" s="50">
        <f>SUM(K1121:K1122)</f>
        <v>179</v>
      </c>
    </row>
    <row r="1121" spans="1:161" ht="63" x14ac:dyDescent="0.25">
      <c r="A1121" s="249"/>
      <c r="B1121" s="249"/>
      <c r="C1121" s="242"/>
      <c r="D1121" s="227"/>
      <c r="E1121" s="227"/>
      <c r="F1121" s="229"/>
      <c r="G1121" s="102" t="s">
        <v>70</v>
      </c>
      <c r="H1121" s="57" t="s">
        <v>168</v>
      </c>
      <c r="I1121" s="50">
        <v>58360</v>
      </c>
      <c r="J1121" s="50">
        <f>I1121/D1120</f>
        <v>126.87</v>
      </c>
      <c r="K1121" s="50">
        <f>116+21</f>
        <v>137</v>
      </c>
    </row>
    <row r="1122" spans="1:161" ht="63" x14ac:dyDescent="0.25">
      <c r="A1122" s="249"/>
      <c r="B1122" s="249"/>
      <c r="C1122" s="242"/>
      <c r="D1122" s="227"/>
      <c r="E1122" s="227"/>
      <c r="F1122" s="229"/>
      <c r="G1122" s="102" t="s">
        <v>71</v>
      </c>
      <c r="H1122" s="57" t="s">
        <v>168</v>
      </c>
      <c r="I1122" s="50">
        <v>14660</v>
      </c>
      <c r="J1122" s="50">
        <f>I1122/D1120</f>
        <v>31.87</v>
      </c>
      <c r="K1122" s="50">
        <f>21+21</f>
        <v>42</v>
      </c>
    </row>
    <row r="1123" spans="1:161" x14ac:dyDescent="0.25">
      <c r="A1123" s="235">
        <f>A1120+1</f>
        <v>11</v>
      </c>
      <c r="B1123" s="235">
        <v>6926</v>
      </c>
      <c r="C1123" s="241" t="s">
        <v>331</v>
      </c>
      <c r="D1123" s="224">
        <v>2499.1999999999998</v>
      </c>
      <c r="E1123" s="224" t="s">
        <v>68</v>
      </c>
      <c r="F1123" s="228">
        <v>4</v>
      </c>
      <c r="G1123" s="110"/>
      <c r="H1123" s="57" t="s">
        <v>66</v>
      </c>
      <c r="I1123" s="50">
        <f>SUM(I1124:I1126)</f>
        <v>316565.02</v>
      </c>
      <c r="J1123" s="50">
        <f>SUM(J1124:J1126)</f>
        <v>126.67</v>
      </c>
      <c r="K1123" s="50">
        <f>SUM(K1124:K1126)</f>
        <v>195</v>
      </c>
    </row>
    <row r="1124" spans="1:161" ht="63" x14ac:dyDescent="0.25">
      <c r="A1124" s="249"/>
      <c r="B1124" s="249"/>
      <c r="C1124" s="242"/>
      <c r="D1124" s="227"/>
      <c r="E1124" s="227"/>
      <c r="F1124" s="229"/>
      <c r="G1124" s="102" t="s">
        <v>70</v>
      </c>
      <c r="H1124" s="69" t="s">
        <v>168</v>
      </c>
      <c r="I1124" s="50">
        <f>119128.22+52483.2</f>
        <v>171611.42</v>
      </c>
      <c r="J1124" s="50">
        <f>I1124/D1123</f>
        <v>68.67</v>
      </c>
      <c r="K1124" s="50">
        <f>116+21</f>
        <v>137</v>
      </c>
    </row>
    <row r="1125" spans="1:161" ht="63" x14ac:dyDescent="0.25">
      <c r="A1125" s="249"/>
      <c r="B1125" s="249"/>
      <c r="C1125" s="242"/>
      <c r="D1125" s="227"/>
      <c r="E1125" s="227"/>
      <c r="F1125" s="229"/>
      <c r="G1125" s="102" t="s">
        <v>71</v>
      </c>
      <c r="H1125" s="69" t="s">
        <v>168</v>
      </c>
      <c r="I1125" s="50">
        <f>D1123*K1125</f>
        <v>72476.800000000003</v>
      </c>
      <c r="J1125" s="50">
        <f>I1125/D1123</f>
        <v>29</v>
      </c>
      <c r="K1125" s="50">
        <f>21+8</f>
        <v>29</v>
      </c>
    </row>
    <row r="1126" spans="1:161" ht="63" x14ac:dyDescent="0.25">
      <c r="A1126" s="249"/>
      <c r="B1126" s="249"/>
      <c r="C1126" s="242"/>
      <c r="D1126" s="227"/>
      <c r="E1126" s="227"/>
      <c r="F1126" s="229"/>
      <c r="G1126" s="102" t="s">
        <v>72</v>
      </c>
      <c r="H1126" s="69" t="s">
        <v>168</v>
      </c>
      <c r="I1126" s="50">
        <f>D1123*K1126</f>
        <v>72476.800000000003</v>
      </c>
      <c r="J1126" s="50">
        <f>I1126/D1123</f>
        <v>29</v>
      </c>
      <c r="K1126" s="50">
        <f>22+7</f>
        <v>29</v>
      </c>
    </row>
    <row r="1127" spans="1:161" x14ac:dyDescent="0.25">
      <c r="A1127" s="235">
        <f>A1123+1</f>
        <v>12</v>
      </c>
      <c r="B1127" s="235">
        <v>6927</v>
      </c>
      <c r="C1127" s="241" t="s">
        <v>332</v>
      </c>
      <c r="D1127" s="224">
        <v>2655.8</v>
      </c>
      <c r="E1127" s="224" t="s">
        <v>68</v>
      </c>
      <c r="F1127" s="228">
        <v>4</v>
      </c>
      <c r="G1127" s="110"/>
      <c r="H1127" s="57" t="s">
        <v>66</v>
      </c>
      <c r="I1127" s="50">
        <f>SUM(I1128:I1130)</f>
        <v>379424.15</v>
      </c>
      <c r="J1127" s="50">
        <f>SUM(J1128:J1130)</f>
        <v>142.87</v>
      </c>
      <c r="K1127" s="50">
        <f>SUM(K1128:K1130)</f>
        <v>195</v>
      </c>
    </row>
    <row r="1128" spans="1:161" ht="63" x14ac:dyDescent="0.25">
      <c r="A1128" s="249"/>
      <c r="B1128" s="249"/>
      <c r="C1128" s="242"/>
      <c r="D1128" s="227"/>
      <c r="E1128" s="227"/>
      <c r="F1128" s="229"/>
      <c r="G1128" s="102" t="s">
        <v>70</v>
      </c>
      <c r="H1128" s="69" t="s">
        <v>168</v>
      </c>
      <c r="I1128" s="1">
        <v>225387.75</v>
      </c>
      <c r="J1128" s="50">
        <f>I1128/D1127</f>
        <v>84.87</v>
      </c>
      <c r="K1128" s="50">
        <f>116+21</f>
        <v>137</v>
      </c>
    </row>
    <row r="1129" spans="1:161" ht="63" x14ac:dyDescent="0.25">
      <c r="A1129" s="249"/>
      <c r="B1129" s="249"/>
      <c r="C1129" s="242"/>
      <c r="D1129" s="227"/>
      <c r="E1129" s="227"/>
      <c r="F1129" s="229"/>
      <c r="G1129" s="102" t="s">
        <v>71</v>
      </c>
      <c r="H1129" s="69" t="s">
        <v>168</v>
      </c>
      <c r="I1129" s="50">
        <f>D1127*K1129</f>
        <v>77018.2</v>
      </c>
      <c r="J1129" s="50">
        <f>I1129/D1127</f>
        <v>29</v>
      </c>
      <c r="K1129" s="50">
        <f>21+8</f>
        <v>29</v>
      </c>
    </row>
    <row r="1130" spans="1:161" ht="63" x14ac:dyDescent="0.25">
      <c r="A1130" s="249"/>
      <c r="B1130" s="249"/>
      <c r="C1130" s="242"/>
      <c r="D1130" s="227"/>
      <c r="E1130" s="227"/>
      <c r="F1130" s="229"/>
      <c r="G1130" s="102" t="s">
        <v>72</v>
      </c>
      <c r="H1130" s="69" t="s">
        <v>168</v>
      </c>
      <c r="I1130" s="50">
        <f>D1127*K1130</f>
        <v>77018.2</v>
      </c>
      <c r="J1130" s="50">
        <f>I1130/D1127</f>
        <v>29</v>
      </c>
      <c r="K1130" s="50">
        <f>22+7</f>
        <v>29</v>
      </c>
    </row>
    <row r="1131" spans="1:161" s="41" customFormat="1" x14ac:dyDescent="0.25">
      <c r="A1131" s="51" t="s">
        <v>45</v>
      </c>
      <c r="B1131" s="63"/>
      <c r="C1131" s="51"/>
      <c r="D1131" s="109">
        <f>D1132+D1135+D1138+D1141</f>
        <v>2966.5</v>
      </c>
      <c r="E1131" s="112"/>
      <c r="F1131" s="112"/>
      <c r="G1131" s="109"/>
      <c r="H1131" s="64"/>
      <c r="I1131" s="55">
        <f>I1132+I1135+I1138+I1141</f>
        <v>10850345.32</v>
      </c>
      <c r="J1131" s="55"/>
      <c r="K1131" s="55"/>
      <c r="L1131" s="42"/>
      <c r="M1131" s="42"/>
      <c r="N1131" s="42"/>
      <c r="O1131" s="42"/>
      <c r="P1131" s="42"/>
      <c r="Q1131" s="42"/>
      <c r="R1131" s="42"/>
      <c r="S1131" s="42"/>
      <c r="T1131" s="42"/>
      <c r="U1131" s="42"/>
      <c r="V1131" s="42"/>
      <c r="W1131" s="42"/>
      <c r="X1131" s="42"/>
      <c r="Y1131" s="42"/>
      <c r="Z1131" s="42"/>
      <c r="AA1131" s="42"/>
      <c r="AB1131" s="42"/>
      <c r="AC1131" s="42"/>
      <c r="AD1131" s="42"/>
      <c r="AE1131" s="42"/>
      <c r="AF1131" s="42"/>
      <c r="AG1131" s="42"/>
      <c r="AH1131" s="42"/>
      <c r="AI1131" s="42"/>
      <c r="AJ1131" s="42"/>
      <c r="AK1131" s="42"/>
      <c r="AL1131" s="42"/>
      <c r="AM1131" s="42"/>
      <c r="AN1131" s="42"/>
      <c r="AO1131" s="42"/>
      <c r="AP1131" s="42"/>
      <c r="AQ1131" s="42"/>
      <c r="AR1131" s="42"/>
      <c r="AS1131" s="42"/>
      <c r="AT1131" s="42"/>
      <c r="AU1131" s="42"/>
      <c r="AV1131" s="42"/>
      <c r="AW1131" s="42"/>
      <c r="AX1131" s="42"/>
      <c r="AY1131" s="42"/>
      <c r="AZ1131" s="42"/>
      <c r="BA1131" s="42"/>
      <c r="BB1131" s="42"/>
      <c r="BC1131" s="42"/>
      <c r="BD1131" s="42"/>
      <c r="BE1131" s="42"/>
      <c r="BF1131" s="42"/>
      <c r="BG1131" s="42"/>
      <c r="BH1131" s="42"/>
      <c r="BI1131" s="42"/>
      <c r="BJ1131" s="42"/>
      <c r="BK1131" s="42"/>
      <c r="BL1131" s="42"/>
      <c r="BM1131" s="42"/>
      <c r="BN1131" s="42"/>
      <c r="BO1131" s="42"/>
      <c r="BP1131" s="42"/>
      <c r="BQ1131" s="42"/>
      <c r="BR1131" s="42"/>
      <c r="BS1131" s="42"/>
      <c r="BT1131" s="42"/>
      <c r="BU1131" s="42"/>
      <c r="BV1131" s="42"/>
      <c r="BW1131" s="42"/>
      <c r="BX1131" s="42"/>
      <c r="BY1131" s="42"/>
      <c r="BZ1131" s="42"/>
      <c r="CA1131" s="42"/>
      <c r="CB1131" s="42"/>
      <c r="CC1131" s="42"/>
      <c r="CD1131" s="42"/>
      <c r="CE1131" s="42"/>
      <c r="CF1131" s="42"/>
      <c r="CG1131" s="42"/>
      <c r="CH1131" s="42"/>
      <c r="CI1131" s="42"/>
      <c r="CJ1131" s="42"/>
      <c r="CK1131" s="42"/>
      <c r="CL1131" s="42"/>
      <c r="CM1131" s="42"/>
      <c r="CN1131" s="42"/>
      <c r="CO1131" s="42"/>
      <c r="CP1131" s="42"/>
      <c r="CQ1131" s="42"/>
      <c r="CR1131" s="42"/>
      <c r="CS1131" s="42"/>
      <c r="CT1131" s="42"/>
      <c r="CU1131" s="42"/>
      <c r="CV1131" s="42"/>
      <c r="CW1131" s="42"/>
      <c r="CX1131" s="42"/>
      <c r="CY1131" s="42"/>
      <c r="CZ1131" s="42"/>
      <c r="DA1131" s="42"/>
      <c r="DB1131" s="42"/>
      <c r="DC1131" s="42"/>
      <c r="DD1131" s="42"/>
      <c r="DE1131" s="42"/>
      <c r="DF1131" s="42"/>
      <c r="DG1131" s="42"/>
      <c r="DH1131" s="42"/>
      <c r="DI1131" s="42"/>
      <c r="DJ1131" s="42"/>
      <c r="DK1131" s="42"/>
      <c r="DL1131" s="42"/>
      <c r="DM1131" s="42"/>
      <c r="DN1131" s="42"/>
      <c r="DO1131" s="42"/>
      <c r="DP1131" s="42"/>
      <c r="DQ1131" s="42"/>
      <c r="DR1131" s="42"/>
      <c r="DS1131" s="42"/>
      <c r="DT1131" s="42"/>
      <c r="DU1131" s="42"/>
      <c r="DV1131" s="42"/>
      <c r="DW1131" s="42"/>
      <c r="DX1131" s="42"/>
      <c r="DY1131" s="42"/>
      <c r="DZ1131" s="42"/>
      <c r="EA1131" s="42"/>
      <c r="EB1131" s="42"/>
      <c r="EC1131" s="42"/>
      <c r="ED1131" s="42"/>
      <c r="EE1131" s="42"/>
      <c r="EF1131" s="42"/>
      <c r="EG1131" s="42"/>
      <c r="EH1131" s="42"/>
      <c r="EI1131" s="42"/>
      <c r="EJ1131" s="42"/>
      <c r="EK1131" s="42"/>
      <c r="EL1131" s="42"/>
      <c r="EM1131" s="42"/>
      <c r="EN1131" s="42"/>
      <c r="EO1131" s="42"/>
      <c r="EP1131" s="42"/>
      <c r="EQ1131" s="42"/>
      <c r="ER1131" s="42"/>
      <c r="ES1131" s="42"/>
      <c r="ET1131" s="42"/>
      <c r="EU1131" s="42"/>
      <c r="EV1131" s="42"/>
      <c r="EW1131" s="42"/>
      <c r="EX1131" s="42"/>
      <c r="EY1131" s="42"/>
      <c r="EZ1131" s="42"/>
      <c r="FA1131" s="42"/>
      <c r="FB1131" s="42"/>
      <c r="FC1131" s="42"/>
      <c r="FD1131" s="42"/>
    </row>
    <row r="1132" spans="1:161" x14ac:dyDescent="0.25">
      <c r="A1132" s="289">
        <f>1</f>
        <v>1</v>
      </c>
      <c r="B1132" s="289">
        <v>7247</v>
      </c>
      <c r="C1132" s="223" t="s">
        <v>245</v>
      </c>
      <c r="D1132" s="224">
        <v>1275.3</v>
      </c>
      <c r="E1132" s="224" t="s">
        <v>68</v>
      </c>
      <c r="F1132" s="225">
        <v>4</v>
      </c>
      <c r="G1132" s="216" t="s">
        <v>65</v>
      </c>
      <c r="H1132" s="57" t="s">
        <v>66</v>
      </c>
      <c r="I1132" s="50">
        <f>I1133+I1134</f>
        <v>4358223.92</v>
      </c>
      <c r="J1132" s="50">
        <f>J1133+J1134</f>
        <v>3417.41</v>
      </c>
      <c r="K1132" s="50">
        <f>K1133+K1134</f>
        <v>5144</v>
      </c>
    </row>
    <row r="1133" spans="1:161" x14ac:dyDescent="0.25">
      <c r="A1133" s="289"/>
      <c r="B1133" s="289"/>
      <c r="C1133" s="223"/>
      <c r="D1133" s="224"/>
      <c r="E1133" s="224"/>
      <c r="F1133" s="225"/>
      <c r="G1133" s="217"/>
      <c r="H1133" s="57" t="s">
        <v>67</v>
      </c>
      <c r="I1133" s="50">
        <v>4266912</v>
      </c>
      <c r="J1133" s="50">
        <f>I1133/D1132</f>
        <v>3345.81</v>
      </c>
      <c r="K1133" s="50">
        <v>5036</v>
      </c>
    </row>
    <row r="1134" spans="1:161" x14ac:dyDescent="0.25">
      <c r="A1134" s="289"/>
      <c r="B1134" s="289"/>
      <c r="C1134" s="223"/>
      <c r="D1134" s="224"/>
      <c r="E1134" s="224"/>
      <c r="F1134" s="225"/>
      <c r="G1134" s="222"/>
      <c r="H1134" s="57" t="s">
        <v>69</v>
      </c>
      <c r="I1134" s="50">
        <v>91311.92</v>
      </c>
      <c r="J1134" s="50">
        <f>I1134/D1132</f>
        <v>71.599999999999994</v>
      </c>
      <c r="K1134" s="50">
        <v>108</v>
      </c>
    </row>
    <row r="1135" spans="1:161" ht="15.75" customHeight="1" x14ac:dyDescent="0.25">
      <c r="A1135" s="216">
        <f>A1132+1</f>
        <v>2</v>
      </c>
      <c r="B1135" s="216">
        <v>7240</v>
      </c>
      <c r="C1135" s="218" t="s">
        <v>259</v>
      </c>
      <c r="D1135" s="220">
        <v>412.9</v>
      </c>
      <c r="E1135" s="220" t="s">
        <v>68</v>
      </c>
      <c r="F1135" s="228">
        <v>2</v>
      </c>
      <c r="G1135" s="216" t="s">
        <v>65</v>
      </c>
      <c r="H1135" s="57" t="s">
        <v>66</v>
      </c>
      <c r="I1135" s="50">
        <f>I1136+I1137</f>
        <v>3135383.76</v>
      </c>
      <c r="J1135" s="50">
        <f>J1136+J1137</f>
        <v>7593.57</v>
      </c>
      <c r="K1135" s="50">
        <f>K1136+K1137</f>
        <v>7688</v>
      </c>
      <c r="L1135" s="41"/>
      <c r="M1135" s="41"/>
      <c r="N1135" s="41"/>
      <c r="O1135" s="41"/>
      <c r="P1135" s="41"/>
      <c r="Q1135" s="41"/>
      <c r="R1135" s="41"/>
      <c r="S1135" s="41"/>
      <c r="T1135" s="41"/>
      <c r="U1135" s="41"/>
      <c r="V1135" s="41"/>
      <c r="W1135" s="41"/>
      <c r="X1135" s="41"/>
      <c r="Y1135" s="41"/>
      <c r="Z1135" s="41"/>
      <c r="AA1135" s="41"/>
      <c r="AB1135" s="41"/>
      <c r="AC1135" s="41"/>
      <c r="AD1135" s="41"/>
      <c r="AE1135" s="41"/>
      <c r="AF1135" s="41"/>
      <c r="AG1135" s="41"/>
      <c r="AH1135" s="41"/>
      <c r="AI1135" s="41"/>
      <c r="AJ1135" s="41"/>
      <c r="AK1135" s="41"/>
      <c r="AL1135" s="41"/>
      <c r="AM1135" s="41"/>
      <c r="AN1135" s="41"/>
      <c r="AO1135" s="41"/>
      <c r="AP1135" s="41"/>
      <c r="AQ1135" s="41"/>
      <c r="AR1135" s="41"/>
      <c r="AS1135" s="41"/>
      <c r="AT1135" s="41"/>
      <c r="AU1135" s="41"/>
      <c r="AV1135" s="41"/>
      <c r="AW1135" s="41"/>
      <c r="AX1135" s="41"/>
      <c r="AY1135" s="41"/>
      <c r="AZ1135" s="41"/>
      <c r="BA1135" s="41"/>
      <c r="BB1135" s="41"/>
      <c r="BC1135" s="41"/>
      <c r="BD1135" s="41"/>
      <c r="BE1135" s="41"/>
      <c r="BF1135" s="41"/>
      <c r="BG1135" s="41"/>
      <c r="BH1135" s="41"/>
      <c r="BI1135" s="41"/>
      <c r="BJ1135" s="41"/>
      <c r="BK1135" s="41"/>
      <c r="BL1135" s="41"/>
      <c r="BM1135" s="41"/>
      <c r="BN1135" s="41"/>
      <c r="BO1135" s="41"/>
      <c r="BP1135" s="41"/>
      <c r="BQ1135" s="41"/>
      <c r="BR1135" s="41"/>
      <c r="BS1135" s="41"/>
      <c r="BT1135" s="41"/>
      <c r="BU1135" s="41"/>
      <c r="BV1135" s="41"/>
      <c r="BW1135" s="41"/>
      <c r="BX1135" s="41"/>
      <c r="BY1135" s="41"/>
      <c r="BZ1135" s="41"/>
      <c r="CA1135" s="41"/>
      <c r="CB1135" s="41"/>
      <c r="CC1135" s="41"/>
      <c r="CD1135" s="41"/>
      <c r="CE1135" s="41"/>
      <c r="CF1135" s="41"/>
      <c r="CG1135" s="41"/>
      <c r="CH1135" s="41"/>
      <c r="CI1135" s="41"/>
      <c r="CJ1135" s="41"/>
      <c r="CK1135" s="41"/>
      <c r="CL1135" s="41"/>
      <c r="CM1135" s="41"/>
      <c r="CN1135" s="41"/>
      <c r="CO1135" s="41"/>
      <c r="CP1135" s="41"/>
      <c r="CQ1135" s="41"/>
      <c r="CR1135" s="41"/>
      <c r="CS1135" s="41"/>
      <c r="CT1135" s="41"/>
      <c r="CU1135" s="41"/>
      <c r="CV1135" s="41"/>
      <c r="CW1135" s="41"/>
      <c r="CX1135" s="41"/>
      <c r="CY1135" s="41"/>
      <c r="CZ1135" s="41"/>
      <c r="DA1135" s="41"/>
      <c r="DB1135" s="41"/>
      <c r="DC1135" s="41"/>
      <c r="DD1135" s="41"/>
      <c r="DE1135" s="41"/>
      <c r="DF1135" s="41"/>
      <c r="DG1135" s="41"/>
      <c r="DH1135" s="41"/>
      <c r="DI1135" s="41"/>
      <c r="DJ1135" s="41"/>
      <c r="DK1135" s="41"/>
      <c r="DL1135" s="41"/>
      <c r="DM1135" s="41"/>
      <c r="DN1135" s="41"/>
      <c r="DO1135" s="41"/>
      <c r="DP1135" s="41"/>
      <c r="DQ1135" s="41"/>
      <c r="DR1135" s="41"/>
      <c r="DS1135" s="41"/>
      <c r="DT1135" s="41"/>
      <c r="DU1135" s="41"/>
      <c r="DV1135" s="41"/>
      <c r="DW1135" s="41"/>
      <c r="DX1135" s="41"/>
      <c r="DY1135" s="41"/>
      <c r="DZ1135" s="41"/>
      <c r="EA1135" s="41"/>
      <c r="EB1135" s="41"/>
      <c r="EC1135" s="41"/>
      <c r="ED1135" s="41"/>
      <c r="EE1135" s="41"/>
      <c r="EF1135" s="41"/>
      <c r="EG1135" s="41"/>
      <c r="EH1135" s="41"/>
      <c r="EI1135" s="41"/>
      <c r="EJ1135" s="41"/>
      <c r="EK1135" s="41"/>
      <c r="EL1135" s="41"/>
      <c r="EM1135" s="41"/>
      <c r="EN1135" s="41"/>
      <c r="EO1135" s="41"/>
      <c r="EP1135" s="41"/>
      <c r="EQ1135" s="41"/>
      <c r="ER1135" s="41"/>
      <c r="ES1135" s="41"/>
      <c r="ET1135" s="41"/>
      <c r="EU1135" s="41"/>
      <c r="EV1135" s="41"/>
      <c r="EW1135" s="41"/>
      <c r="EX1135" s="41"/>
      <c r="EY1135" s="41"/>
      <c r="EZ1135" s="41"/>
      <c r="FA1135" s="41"/>
      <c r="FB1135" s="41"/>
      <c r="FC1135" s="41"/>
      <c r="FD1135" s="41"/>
      <c r="FE1135" s="41"/>
    </row>
    <row r="1136" spans="1:161" x14ac:dyDescent="0.25">
      <c r="A1136" s="217"/>
      <c r="B1136" s="217"/>
      <c r="C1136" s="219"/>
      <c r="D1136" s="221"/>
      <c r="E1136" s="221"/>
      <c r="F1136" s="229"/>
      <c r="G1136" s="217"/>
      <c r="H1136" s="57" t="s">
        <v>67</v>
      </c>
      <c r="I1136" s="50">
        <v>3074274.56</v>
      </c>
      <c r="J1136" s="50">
        <f>I1136/D1135</f>
        <v>7445.57</v>
      </c>
      <c r="K1136" s="50">
        <v>7527</v>
      </c>
      <c r="L1136" s="41"/>
      <c r="M1136" s="41"/>
      <c r="N1136" s="41"/>
      <c r="O1136" s="41"/>
      <c r="P1136" s="41"/>
      <c r="Q1136" s="41"/>
      <c r="R1136" s="41"/>
      <c r="S1136" s="41"/>
      <c r="T1136" s="41"/>
      <c r="U1136" s="41"/>
      <c r="V1136" s="41"/>
      <c r="W1136" s="41"/>
      <c r="X1136" s="41"/>
      <c r="Y1136" s="41"/>
      <c r="Z1136" s="41"/>
      <c r="AA1136" s="41"/>
      <c r="AB1136" s="41"/>
      <c r="AC1136" s="41"/>
      <c r="AD1136" s="41"/>
      <c r="AE1136" s="41"/>
      <c r="AF1136" s="41"/>
      <c r="AG1136" s="41"/>
      <c r="AH1136" s="41"/>
      <c r="AI1136" s="41"/>
      <c r="AJ1136" s="41"/>
      <c r="AK1136" s="41"/>
      <c r="AL1136" s="41"/>
      <c r="AM1136" s="41"/>
      <c r="AN1136" s="41"/>
      <c r="AO1136" s="41"/>
      <c r="AP1136" s="41"/>
      <c r="AQ1136" s="41"/>
      <c r="AR1136" s="41"/>
      <c r="AS1136" s="41"/>
      <c r="AT1136" s="41"/>
      <c r="AU1136" s="41"/>
      <c r="AV1136" s="41"/>
      <c r="AW1136" s="41"/>
      <c r="AX1136" s="41"/>
      <c r="AY1136" s="41"/>
      <c r="AZ1136" s="41"/>
      <c r="BA1136" s="41"/>
      <c r="BB1136" s="41"/>
      <c r="BC1136" s="41"/>
      <c r="BD1136" s="41"/>
      <c r="BE1136" s="41"/>
      <c r="BF1136" s="41"/>
      <c r="BG1136" s="41"/>
      <c r="BH1136" s="41"/>
      <c r="BI1136" s="41"/>
      <c r="BJ1136" s="41"/>
      <c r="BK1136" s="41"/>
      <c r="BL1136" s="41"/>
      <c r="BM1136" s="41"/>
      <c r="BN1136" s="41"/>
      <c r="BO1136" s="41"/>
      <c r="BP1136" s="41"/>
      <c r="BQ1136" s="41"/>
      <c r="BR1136" s="41"/>
      <c r="BS1136" s="41"/>
      <c r="BT1136" s="41"/>
      <c r="BU1136" s="41"/>
      <c r="BV1136" s="41"/>
      <c r="BW1136" s="41"/>
      <c r="BX1136" s="41"/>
      <c r="BY1136" s="41"/>
      <c r="BZ1136" s="41"/>
      <c r="CA1136" s="41"/>
      <c r="CB1136" s="41"/>
      <c r="CC1136" s="41"/>
      <c r="CD1136" s="41"/>
      <c r="CE1136" s="41"/>
      <c r="CF1136" s="41"/>
      <c r="CG1136" s="41"/>
      <c r="CH1136" s="41"/>
      <c r="CI1136" s="41"/>
      <c r="CJ1136" s="41"/>
      <c r="CK1136" s="41"/>
      <c r="CL1136" s="41"/>
      <c r="CM1136" s="41"/>
      <c r="CN1136" s="41"/>
      <c r="CO1136" s="41"/>
      <c r="CP1136" s="41"/>
      <c r="CQ1136" s="41"/>
      <c r="CR1136" s="41"/>
      <c r="CS1136" s="41"/>
      <c r="CT1136" s="41"/>
      <c r="CU1136" s="41"/>
      <c r="CV1136" s="41"/>
      <c r="CW1136" s="41"/>
      <c r="CX1136" s="41"/>
      <c r="CY1136" s="41"/>
      <c r="CZ1136" s="41"/>
      <c r="DA1136" s="41"/>
      <c r="DB1136" s="41"/>
      <c r="DC1136" s="41"/>
      <c r="DD1136" s="41"/>
      <c r="DE1136" s="41"/>
      <c r="DF1136" s="41"/>
      <c r="DG1136" s="41"/>
      <c r="DH1136" s="41"/>
      <c r="DI1136" s="41"/>
      <c r="DJ1136" s="41"/>
      <c r="DK1136" s="41"/>
      <c r="DL1136" s="41"/>
      <c r="DM1136" s="41"/>
      <c r="DN1136" s="41"/>
      <c r="DO1136" s="41"/>
      <c r="DP1136" s="41"/>
      <c r="DQ1136" s="41"/>
      <c r="DR1136" s="41"/>
      <c r="DS1136" s="41"/>
      <c r="DT1136" s="41"/>
      <c r="DU1136" s="41"/>
      <c r="DV1136" s="41"/>
      <c r="DW1136" s="41"/>
      <c r="DX1136" s="41"/>
      <c r="DY1136" s="41"/>
      <c r="DZ1136" s="41"/>
      <c r="EA1136" s="41"/>
      <c r="EB1136" s="41"/>
      <c r="EC1136" s="41"/>
      <c r="ED1136" s="41"/>
      <c r="EE1136" s="41"/>
      <c r="EF1136" s="41"/>
      <c r="EG1136" s="41"/>
      <c r="EH1136" s="41"/>
      <c r="EI1136" s="41"/>
      <c r="EJ1136" s="41"/>
      <c r="EK1136" s="41"/>
      <c r="EL1136" s="41"/>
      <c r="EM1136" s="41"/>
      <c r="EN1136" s="41"/>
      <c r="EO1136" s="41"/>
      <c r="EP1136" s="41"/>
      <c r="EQ1136" s="41"/>
      <c r="ER1136" s="41"/>
      <c r="ES1136" s="41"/>
      <c r="ET1136" s="41"/>
      <c r="EU1136" s="41"/>
      <c r="EV1136" s="41"/>
      <c r="EW1136" s="41"/>
      <c r="EX1136" s="41"/>
      <c r="EY1136" s="41"/>
      <c r="EZ1136" s="41"/>
      <c r="FA1136" s="41"/>
      <c r="FB1136" s="41"/>
      <c r="FC1136" s="41"/>
      <c r="FD1136" s="41"/>
      <c r="FE1136" s="41"/>
    </row>
    <row r="1137" spans="1:161" x14ac:dyDescent="0.25">
      <c r="A1137" s="222"/>
      <c r="B1137" s="222"/>
      <c r="C1137" s="226"/>
      <c r="D1137" s="227"/>
      <c r="E1137" s="227"/>
      <c r="F1137" s="230"/>
      <c r="G1137" s="222"/>
      <c r="H1137" s="57" t="s">
        <v>69</v>
      </c>
      <c r="I1137" s="50">
        <v>61109.2</v>
      </c>
      <c r="J1137" s="50">
        <f>I1137/D1135</f>
        <v>148</v>
      </c>
      <c r="K1137" s="50">
        <v>161</v>
      </c>
      <c r="L1137" s="41"/>
      <c r="M1137" s="41"/>
      <c r="N1137" s="41"/>
      <c r="O1137" s="41"/>
      <c r="P1137" s="41"/>
      <c r="Q1137" s="41"/>
      <c r="R1137" s="41"/>
      <c r="S1137" s="41"/>
      <c r="T1137" s="41"/>
      <c r="U1137" s="41"/>
      <c r="V1137" s="41"/>
      <c r="W1137" s="41"/>
      <c r="X1137" s="41"/>
      <c r="Y1137" s="41"/>
      <c r="Z1137" s="41"/>
      <c r="AA1137" s="41"/>
      <c r="AB1137" s="41"/>
      <c r="AC1137" s="41"/>
      <c r="AD1137" s="41"/>
      <c r="AE1137" s="41"/>
      <c r="AF1137" s="41"/>
      <c r="AG1137" s="41"/>
      <c r="AH1137" s="41"/>
      <c r="AI1137" s="41"/>
      <c r="AJ1137" s="41"/>
      <c r="AK1137" s="41"/>
      <c r="AL1137" s="41"/>
      <c r="AM1137" s="41"/>
      <c r="AN1137" s="41"/>
      <c r="AO1137" s="41"/>
      <c r="AP1137" s="41"/>
      <c r="AQ1137" s="41"/>
      <c r="AR1137" s="41"/>
      <c r="AS1137" s="41"/>
      <c r="AT1137" s="41"/>
      <c r="AU1137" s="41"/>
      <c r="AV1137" s="41"/>
      <c r="AW1137" s="41"/>
      <c r="AX1137" s="41"/>
      <c r="AY1137" s="41"/>
      <c r="AZ1137" s="41"/>
      <c r="BA1137" s="41"/>
      <c r="BB1137" s="41"/>
      <c r="BC1137" s="41"/>
      <c r="BD1137" s="41"/>
      <c r="BE1137" s="41"/>
      <c r="BF1137" s="41"/>
      <c r="BG1137" s="41"/>
      <c r="BH1137" s="41"/>
      <c r="BI1137" s="41"/>
      <c r="BJ1137" s="41"/>
      <c r="BK1137" s="41"/>
      <c r="BL1137" s="41"/>
      <c r="BM1137" s="41"/>
      <c r="BN1137" s="41"/>
      <c r="BO1137" s="41"/>
      <c r="BP1137" s="41"/>
      <c r="BQ1137" s="41"/>
      <c r="BR1137" s="41"/>
      <c r="BS1137" s="41"/>
      <c r="BT1137" s="41"/>
      <c r="BU1137" s="41"/>
      <c r="BV1137" s="41"/>
      <c r="BW1137" s="41"/>
      <c r="BX1137" s="41"/>
      <c r="BY1137" s="41"/>
      <c r="BZ1137" s="41"/>
      <c r="CA1137" s="41"/>
      <c r="CB1137" s="41"/>
      <c r="CC1137" s="41"/>
      <c r="CD1137" s="41"/>
      <c r="CE1137" s="41"/>
      <c r="CF1137" s="41"/>
      <c r="CG1137" s="41"/>
      <c r="CH1137" s="41"/>
      <c r="CI1137" s="41"/>
      <c r="CJ1137" s="41"/>
      <c r="CK1137" s="41"/>
      <c r="CL1137" s="41"/>
      <c r="CM1137" s="41"/>
      <c r="CN1137" s="41"/>
      <c r="CO1137" s="41"/>
      <c r="CP1137" s="41"/>
      <c r="CQ1137" s="41"/>
      <c r="CR1137" s="41"/>
      <c r="CS1137" s="41"/>
      <c r="CT1137" s="41"/>
      <c r="CU1137" s="41"/>
      <c r="CV1137" s="41"/>
      <c r="CW1137" s="41"/>
      <c r="CX1137" s="41"/>
      <c r="CY1137" s="41"/>
      <c r="CZ1137" s="41"/>
      <c r="DA1137" s="41"/>
      <c r="DB1137" s="41"/>
      <c r="DC1137" s="41"/>
      <c r="DD1137" s="41"/>
      <c r="DE1137" s="41"/>
      <c r="DF1137" s="41"/>
      <c r="DG1137" s="41"/>
      <c r="DH1137" s="41"/>
      <c r="DI1137" s="41"/>
      <c r="DJ1137" s="41"/>
      <c r="DK1137" s="41"/>
      <c r="DL1137" s="41"/>
      <c r="DM1137" s="41"/>
      <c r="DN1137" s="41"/>
      <c r="DO1137" s="41"/>
      <c r="DP1137" s="41"/>
      <c r="DQ1137" s="41"/>
      <c r="DR1137" s="41"/>
      <c r="DS1137" s="41"/>
      <c r="DT1137" s="41"/>
      <c r="DU1137" s="41"/>
      <c r="DV1137" s="41"/>
      <c r="DW1137" s="41"/>
      <c r="DX1137" s="41"/>
      <c r="DY1137" s="41"/>
      <c r="DZ1137" s="41"/>
      <c r="EA1137" s="41"/>
      <c r="EB1137" s="41"/>
      <c r="EC1137" s="41"/>
      <c r="ED1137" s="41"/>
      <c r="EE1137" s="41"/>
      <c r="EF1137" s="41"/>
      <c r="EG1137" s="41"/>
      <c r="EH1137" s="41"/>
      <c r="EI1137" s="41"/>
      <c r="EJ1137" s="41"/>
      <c r="EK1137" s="41"/>
      <c r="EL1137" s="41"/>
      <c r="EM1137" s="41"/>
      <c r="EN1137" s="41"/>
      <c r="EO1137" s="41"/>
      <c r="EP1137" s="41"/>
      <c r="EQ1137" s="41"/>
      <c r="ER1137" s="41"/>
      <c r="ES1137" s="41"/>
      <c r="ET1137" s="41"/>
      <c r="EU1137" s="41"/>
      <c r="EV1137" s="41"/>
      <c r="EW1137" s="41"/>
      <c r="EX1137" s="41"/>
      <c r="EY1137" s="41"/>
      <c r="EZ1137" s="41"/>
      <c r="FA1137" s="41"/>
      <c r="FB1137" s="41"/>
      <c r="FC1137" s="41"/>
      <c r="FD1137" s="41"/>
      <c r="FE1137" s="41"/>
    </row>
    <row r="1138" spans="1:161" ht="15.75" customHeight="1" x14ac:dyDescent="0.25">
      <c r="A1138" s="240">
        <f>A1135+1</f>
        <v>3</v>
      </c>
      <c r="B1138" s="240">
        <v>7241</v>
      </c>
      <c r="C1138" s="218" t="s">
        <v>260</v>
      </c>
      <c r="D1138" s="220">
        <v>414.3</v>
      </c>
      <c r="E1138" s="220" t="s">
        <v>68</v>
      </c>
      <c r="F1138" s="228">
        <v>2</v>
      </c>
      <c r="G1138" s="216" t="s">
        <v>65</v>
      </c>
      <c r="H1138" s="57" t="s">
        <v>66</v>
      </c>
      <c r="I1138" s="50">
        <f>I1139+I1140</f>
        <v>3179752.5</v>
      </c>
      <c r="J1138" s="50">
        <f>J1139+J1140</f>
        <v>7675</v>
      </c>
      <c r="K1138" s="50">
        <f>K1139+K1140</f>
        <v>7688</v>
      </c>
      <c r="L1138" s="41"/>
      <c r="M1138" s="41"/>
      <c r="N1138" s="41"/>
      <c r="O1138" s="41"/>
      <c r="P1138" s="41"/>
      <c r="Q1138" s="41"/>
      <c r="R1138" s="41"/>
      <c r="S1138" s="41"/>
      <c r="T1138" s="41"/>
      <c r="U1138" s="41"/>
      <c r="V1138" s="41"/>
      <c r="W1138" s="41"/>
      <c r="X1138" s="41"/>
      <c r="Y1138" s="41"/>
      <c r="Z1138" s="41"/>
      <c r="AA1138" s="41"/>
      <c r="AB1138" s="41"/>
      <c r="AC1138" s="41"/>
      <c r="AD1138" s="41"/>
      <c r="AE1138" s="41"/>
      <c r="AF1138" s="41"/>
      <c r="AG1138" s="41"/>
      <c r="AH1138" s="41"/>
      <c r="AI1138" s="41"/>
      <c r="AJ1138" s="41"/>
      <c r="AK1138" s="41"/>
      <c r="AL1138" s="41"/>
      <c r="AM1138" s="41"/>
      <c r="AN1138" s="41"/>
      <c r="AO1138" s="41"/>
      <c r="AP1138" s="41"/>
      <c r="AQ1138" s="41"/>
      <c r="AR1138" s="41"/>
      <c r="AS1138" s="41"/>
      <c r="AT1138" s="41"/>
      <c r="AU1138" s="41"/>
      <c r="AV1138" s="41"/>
      <c r="AW1138" s="41"/>
      <c r="AX1138" s="41"/>
      <c r="AY1138" s="41"/>
      <c r="AZ1138" s="41"/>
      <c r="BA1138" s="41"/>
      <c r="BB1138" s="41"/>
      <c r="BC1138" s="41"/>
      <c r="BD1138" s="41"/>
      <c r="BE1138" s="41"/>
      <c r="BF1138" s="41"/>
      <c r="BG1138" s="41"/>
      <c r="BH1138" s="41"/>
      <c r="BI1138" s="41"/>
      <c r="BJ1138" s="41"/>
      <c r="BK1138" s="41"/>
      <c r="BL1138" s="41"/>
      <c r="BM1138" s="41"/>
      <c r="BN1138" s="41"/>
      <c r="BO1138" s="41"/>
      <c r="BP1138" s="41"/>
      <c r="BQ1138" s="41"/>
      <c r="BR1138" s="41"/>
      <c r="BS1138" s="41"/>
      <c r="BT1138" s="41"/>
      <c r="BU1138" s="41"/>
      <c r="BV1138" s="41"/>
      <c r="BW1138" s="41"/>
      <c r="BX1138" s="41"/>
      <c r="BY1138" s="41"/>
      <c r="BZ1138" s="41"/>
      <c r="CA1138" s="41"/>
      <c r="CB1138" s="41"/>
      <c r="CC1138" s="41"/>
      <c r="CD1138" s="41"/>
      <c r="CE1138" s="41"/>
      <c r="CF1138" s="41"/>
      <c r="CG1138" s="41"/>
      <c r="CH1138" s="41"/>
      <c r="CI1138" s="41"/>
      <c r="CJ1138" s="41"/>
      <c r="CK1138" s="41"/>
      <c r="CL1138" s="41"/>
      <c r="CM1138" s="41"/>
      <c r="CN1138" s="41"/>
      <c r="CO1138" s="41"/>
      <c r="CP1138" s="41"/>
      <c r="CQ1138" s="41"/>
      <c r="CR1138" s="41"/>
      <c r="CS1138" s="41"/>
      <c r="CT1138" s="41"/>
      <c r="CU1138" s="41"/>
      <c r="CV1138" s="41"/>
      <c r="CW1138" s="41"/>
      <c r="CX1138" s="41"/>
      <c r="CY1138" s="41"/>
      <c r="CZ1138" s="41"/>
      <c r="DA1138" s="41"/>
      <c r="DB1138" s="41"/>
      <c r="DC1138" s="41"/>
      <c r="DD1138" s="41"/>
      <c r="DE1138" s="41"/>
      <c r="DF1138" s="41"/>
      <c r="DG1138" s="41"/>
      <c r="DH1138" s="41"/>
      <c r="DI1138" s="41"/>
      <c r="DJ1138" s="41"/>
      <c r="DK1138" s="41"/>
      <c r="DL1138" s="41"/>
      <c r="DM1138" s="41"/>
      <c r="DN1138" s="41"/>
      <c r="DO1138" s="41"/>
      <c r="DP1138" s="41"/>
      <c r="DQ1138" s="41"/>
      <c r="DR1138" s="41"/>
      <c r="DS1138" s="41"/>
      <c r="DT1138" s="41"/>
      <c r="DU1138" s="41"/>
      <c r="DV1138" s="41"/>
      <c r="DW1138" s="41"/>
      <c r="DX1138" s="41"/>
      <c r="DY1138" s="41"/>
      <c r="DZ1138" s="41"/>
      <c r="EA1138" s="41"/>
      <c r="EB1138" s="41"/>
      <c r="EC1138" s="41"/>
      <c r="ED1138" s="41"/>
      <c r="EE1138" s="41"/>
      <c r="EF1138" s="41"/>
      <c r="EG1138" s="41"/>
      <c r="EH1138" s="41"/>
      <c r="EI1138" s="41"/>
      <c r="EJ1138" s="41"/>
      <c r="EK1138" s="41"/>
      <c r="EL1138" s="41"/>
      <c r="EM1138" s="41"/>
      <c r="EN1138" s="41"/>
      <c r="EO1138" s="41"/>
      <c r="EP1138" s="41"/>
      <c r="EQ1138" s="41"/>
      <c r="ER1138" s="41"/>
      <c r="ES1138" s="41"/>
      <c r="ET1138" s="41"/>
      <c r="EU1138" s="41"/>
      <c r="EV1138" s="41"/>
      <c r="EW1138" s="41"/>
      <c r="EX1138" s="41"/>
      <c r="EY1138" s="41"/>
      <c r="EZ1138" s="41"/>
      <c r="FA1138" s="41"/>
      <c r="FB1138" s="41"/>
      <c r="FC1138" s="41"/>
      <c r="FD1138" s="41"/>
      <c r="FE1138" s="41"/>
    </row>
    <row r="1139" spans="1:161" x14ac:dyDescent="0.25">
      <c r="A1139" s="238"/>
      <c r="B1139" s="238"/>
      <c r="C1139" s="219"/>
      <c r="D1139" s="221"/>
      <c r="E1139" s="221"/>
      <c r="F1139" s="229"/>
      <c r="G1139" s="217"/>
      <c r="H1139" s="57" t="s">
        <v>67</v>
      </c>
      <c r="I1139" s="50">
        <f>D1138*K1139</f>
        <v>3118436.1</v>
      </c>
      <c r="J1139" s="50">
        <f>I1139/D1138</f>
        <v>7527</v>
      </c>
      <c r="K1139" s="50">
        <v>7527</v>
      </c>
      <c r="L1139" s="41"/>
      <c r="M1139" s="41"/>
      <c r="N1139" s="41"/>
      <c r="O1139" s="41"/>
      <c r="P1139" s="41"/>
      <c r="Q1139" s="41"/>
      <c r="R1139" s="41"/>
      <c r="S1139" s="41"/>
      <c r="T1139" s="41"/>
      <c r="U1139" s="41"/>
      <c r="V1139" s="41"/>
      <c r="W1139" s="41"/>
      <c r="X1139" s="41"/>
      <c r="Y1139" s="41"/>
      <c r="Z1139" s="41"/>
      <c r="AA1139" s="41"/>
      <c r="AB1139" s="41"/>
      <c r="AC1139" s="41"/>
      <c r="AD1139" s="41"/>
      <c r="AE1139" s="41"/>
      <c r="AF1139" s="41"/>
      <c r="AG1139" s="41"/>
      <c r="AH1139" s="41"/>
      <c r="AI1139" s="41"/>
      <c r="AJ1139" s="41"/>
      <c r="AK1139" s="41"/>
      <c r="AL1139" s="41"/>
      <c r="AM1139" s="41"/>
      <c r="AN1139" s="41"/>
      <c r="AO1139" s="41"/>
      <c r="AP1139" s="41"/>
      <c r="AQ1139" s="41"/>
      <c r="AR1139" s="41"/>
      <c r="AS1139" s="41"/>
      <c r="AT1139" s="41"/>
      <c r="AU1139" s="41"/>
      <c r="AV1139" s="41"/>
      <c r="AW1139" s="41"/>
      <c r="AX1139" s="41"/>
      <c r="AY1139" s="41"/>
      <c r="AZ1139" s="41"/>
      <c r="BA1139" s="41"/>
      <c r="BB1139" s="41"/>
      <c r="BC1139" s="41"/>
      <c r="BD1139" s="41"/>
      <c r="BE1139" s="41"/>
      <c r="BF1139" s="41"/>
      <c r="BG1139" s="41"/>
      <c r="BH1139" s="41"/>
      <c r="BI1139" s="41"/>
      <c r="BJ1139" s="41"/>
      <c r="BK1139" s="41"/>
      <c r="BL1139" s="41"/>
      <c r="BM1139" s="41"/>
      <c r="BN1139" s="41"/>
      <c r="BO1139" s="41"/>
      <c r="BP1139" s="41"/>
      <c r="BQ1139" s="41"/>
      <c r="BR1139" s="41"/>
      <c r="BS1139" s="41"/>
      <c r="BT1139" s="41"/>
      <c r="BU1139" s="41"/>
      <c r="BV1139" s="41"/>
      <c r="BW1139" s="41"/>
      <c r="BX1139" s="41"/>
      <c r="BY1139" s="41"/>
      <c r="BZ1139" s="41"/>
      <c r="CA1139" s="41"/>
      <c r="CB1139" s="41"/>
      <c r="CC1139" s="41"/>
      <c r="CD1139" s="41"/>
      <c r="CE1139" s="41"/>
      <c r="CF1139" s="41"/>
      <c r="CG1139" s="41"/>
      <c r="CH1139" s="41"/>
      <c r="CI1139" s="41"/>
      <c r="CJ1139" s="41"/>
      <c r="CK1139" s="41"/>
      <c r="CL1139" s="41"/>
      <c r="CM1139" s="41"/>
      <c r="CN1139" s="41"/>
      <c r="CO1139" s="41"/>
      <c r="CP1139" s="41"/>
      <c r="CQ1139" s="41"/>
      <c r="CR1139" s="41"/>
      <c r="CS1139" s="41"/>
      <c r="CT1139" s="41"/>
      <c r="CU1139" s="41"/>
      <c r="CV1139" s="41"/>
      <c r="CW1139" s="41"/>
      <c r="CX1139" s="41"/>
      <c r="CY1139" s="41"/>
      <c r="CZ1139" s="41"/>
      <c r="DA1139" s="41"/>
      <c r="DB1139" s="41"/>
      <c r="DC1139" s="41"/>
      <c r="DD1139" s="41"/>
      <c r="DE1139" s="41"/>
      <c r="DF1139" s="41"/>
      <c r="DG1139" s="41"/>
      <c r="DH1139" s="41"/>
      <c r="DI1139" s="41"/>
      <c r="DJ1139" s="41"/>
      <c r="DK1139" s="41"/>
      <c r="DL1139" s="41"/>
      <c r="DM1139" s="41"/>
      <c r="DN1139" s="41"/>
      <c r="DO1139" s="41"/>
      <c r="DP1139" s="41"/>
      <c r="DQ1139" s="41"/>
      <c r="DR1139" s="41"/>
      <c r="DS1139" s="41"/>
      <c r="DT1139" s="41"/>
      <c r="DU1139" s="41"/>
      <c r="DV1139" s="41"/>
      <c r="DW1139" s="41"/>
      <c r="DX1139" s="41"/>
      <c r="DY1139" s="41"/>
      <c r="DZ1139" s="41"/>
      <c r="EA1139" s="41"/>
      <c r="EB1139" s="41"/>
      <c r="EC1139" s="41"/>
      <c r="ED1139" s="41"/>
      <c r="EE1139" s="41"/>
      <c r="EF1139" s="41"/>
      <c r="EG1139" s="41"/>
      <c r="EH1139" s="41"/>
      <c r="EI1139" s="41"/>
      <c r="EJ1139" s="41"/>
      <c r="EK1139" s="41"/>
      <c r="EL1139" s="41"/>
      <c r="EM1139" s="41"/>
      <c r="EN1139" s="41"/>
      <c r="EO1139" s="41"/>
      <c r="EP1139" s="41"/>
      <c r="EQ1139" s="41"/>
      <c r="ER1139" s="41"/>
      <c r="ES1139" s="41"/>
      <c r="ET1139" s="41"/>
      <c r="EU1139" s="41"/>
      <c r="EV1139" s="41"/>
      <c r="EW1139" s="41"/>
      <c r="EX1139" s="41"/>
      <c r="EY1139" s="41"/>
      <c r="EZ1139" s="41"/>
      <c r="FA1139" s="41"/>
      <c r="FB1139" s="41"/>
      <c r="FC1139" s="41"/>
      <c r="FD1139" s="41"/>
      <c r="FE1139" s="41"/>
    </row>
    <row r="1140" spans="1:161" x14ac:dyDescent="0.25">
      <c r="A1140" s="239"/>
      <c r="B1140" s="239"/>
      <c r="C1140" s="226"/>
      <c r="D1140" s="227"/>
      <c r="E1140" s="227"/>
      <c r="F1140" s="230"/>
      <c r="G1140" s="222"/>
      <c r="H1140" s="57" t="s">
        <v>69</v>
      </c>
      <c r="I1140" s="50">
        <v>61316.4</v>
      </c>
      <c r="J1140" s="50">
        <f>I1140/D1138</f>
        <v>148</v>
      </c>
      <c r="K1140" s="50">
        <v>161</v>
      </c>
      <c r="L1140" s="41"/>
      <c r="M1140" s="41"/>
      <c r="N1140" s="41"/>
      <c r="O1140" s="41"/>
      <c r="P1140" s="41"/>
      <c r="Q1140" s="41"/>
      <c r="R1140" s="41"/>
      <c r="S1140" s="41"/>
      <c r="T1140" s="41"/>
      <c r="U1140" s="41"/>
      <c r="V1140" s="41"/>
      <c r="W1140" s="41"/>
      <c r="X1140" s="41"/>
      <c r="Y1140" s="41"/>
      <c r="Z1140" s="41"/>
      <c r="AA1140" s="41"/>
      <c r="AB1140" s="41"/>
      <c r="AC1140" s="41"/>
      <c r="AD1140" s="41"/>
      <c r="AE1140" s="41"/>
      <c r="AF1140" s="41"/>
      <c r="AG1140" s="41"/>
      <c r="AH1140" s="41"/>
      <c r="AI1140" s="41"/>
      <c r="AJ1140" s="41"/>
      <c r="AK1140" s="41"/>
      <c r="AL1140" s="41"/>
      <c r="AM1140" s="41"/>
      <c r="AN1140" s="41"/>
      <c r="AO1140" s="41"/>
      <c r="AP1140" s="41"/>
      <c r="AQ1140" s="41"/>
      <c r="AR1140" s="41"/>
      <c r="AS1140" s="41"/>
      <c r="AT1140" s="41"/>
      <c r="AU1140" s="41"/>
      <c r="AV1140" s="41"/>
      <c r="AW1140" s="41"/>
      <c r="AX1140" s="41"/>
      <c r="AY1140" s="41"/>
      <c r="AZ1140" s="41"/>
      <c r="BA1140" s="41"/>
      <c r="BB1140" s="41"/>
      <c r="BC1140" s="41"/>
      <c r="BD1140" s="41"/>
      <c r="BE1140" s="41"/>
      <c r="BF1140" s="41"/>
      <c r="BG1140" s="41"/>
      <c r="BH1140" s="41"/>
      <c r="BI1140" s="41"/>
      <c r="BJ1140" s="41"/>
      <c r="BK1140" s="41"/>
      <c r="BL1140" s="41"/>
      <c r="BM1140" s="41"/>
      <c r="BN1140" s="41"/>
      <c r="BO1140" s="41"/>
      <c r="BP1140" s="41"/>
      <c r="BQ1140" s="41"/>
      <c r="BR1140" s="41"/>
      <c r="BS1140" s="41"/>
      <c r="BT1140" s="41"/>
      <c r="BU1140" s="41"/>
      <c r="BV1140" s="41"/>
      <c r="BW1140" s="41"/>
      <c r="BX1140" s="41"/>
      <c r="BY1140" s="41"/>
      <c r="BZ1140" s="41"/>
      <c r="CA1140" s="41"/>
      <c r="CB1140" s="41"/>
      <c r="CC1140" s="41"/>
      <c r="CD1140" s="41"/>
      <c r="CE1140" s="41"/>
      <c r="CF1140" s="41"/>
      <c r="CG1140" s="41"/>
      <c r="CH1140" s="41"/>
      <c r="CI1140" s="41"/>
      <c r="CJ1140" s="41"/>
      <c r="CK1140" s="41"/>
      <c r="CL1140" s="41"/>
      <c r="CM1140" s="41"/>
      <c r="CN1140" s="41"/>
      <c r="CO1140" s="41"/>
      <c r="CP1140" s="41"/>
      <c r="CQ1140" s="41"/>
      <c r="CR1140" s="41"/>
      <c r="CS1140" s="41"/>
      <c r="CT1140" s="41"/>
      <c r="CU1140" s="41"/>
      <c r="CV1140" s="41"/>
      <c r="CW1140" s="41"/>
      <c r="CX1140" s="41"/>
      <c r="CY1140" s="41"/>
      <c r="CZ1140" s="41"/>
      <c r="DA1140" s="41"/>
      <c r="DB1140" s="41"/>
      <c r="DC1140" s="41"/>
      <c r="DD1140" s="41"/>
      <c r="DE1140" s="41"/>
      <c r="DF1140" s="41"/>
      <c r="DG1140" s="41"/>
      <c r="DH1140" s="41"/>
      <c r="DI1140" s="41"/>
      <c r="DJ1140" s="41"/>
      <c r="DK1140" s="41"/>
      <c r="DL1140" s="41"/>
      <c r="DM1140" s="41"/>
      <c r="DN1140" s="41"/>
      <c r="DO1140" s="41"/>
      <c r="DP1140" s="41"/>
      <c r="DQ1140" s="41"/>
      <c r="DR1140" s="41"/>
      <c r="DS1140" s="41"/>
      <c r="DT1140" s="41"/>
      <c r="DU1140" s="41"/>
      <c r="DV1140" s="41"/>
      <c r="DW1140" s="41"/>
      <c r="DX1140" s="41"/>
      <c r="DY1140" s="41"/>
      <c r="DZ1140" s="41"/>
      <c r="EA1140" s="41"/>
      <c r="EB1140" s="41"/>
      <c r="EC1140" s="41"/>
      <c r="ED1140" s="41"/>
      <c r="EE1140" s="41"/>
      <c r="EF1140" s="41"/>
      <c r="EG1140" s="41"/>
      <c r="EH1140" s="41"/>
      <c r="EI1140" s="41"/>
      <c r="EJ1140" s="41"/>
      <c r="EK1140" s="41"/>
      <c r="EL1140" s="41"/>
      <c r="EM1140" s="41"/>
      <c r="EN1140" s="41"/>
      <c r="EO1140" s="41"/>
      <c r="EP1140" s="41"/>
      <c r="EQ1140" s="41"/>
      <c r="ER1140" s="41"/>
      <c r="ES1140" s="41"/>
      <c r="ET1140" s="41"/>
      <c r="EU1140" s="41"/>
      <c r="EV1140" s="41"/>
      <c r="EW1140" s="41"/>
      <c r="EX1140" s="41"/>
      <c r="EY1140" s="41"/>
      <c r="EZ1140" s="41"/>
      <c r="FA1140" s="41"/>
      <c r="FB1140" s="41"/>
      <c r="FC1140" s="41"/>
      <c r="FD1140" s="41"/>
      <c r="FE1140" s="41"/>
    </row>
    <row r="1141" spans="1:161" ht="15.75" customHeight="1" x14ac:dyDescent="0.25">
      <c r="A1141" s="216">
        <f>A1138+1</f>
        <v>4</v>
      </c>
      <c r="B1141" s="216">
        <v>7170</v>
      </c>
      <c r="C1141" s="218" t="s">
        <v>303</v>
      </c>
      <c r="D1141" s="220">
        <v>864</v>
      </c>
      <c r="E1141" s="220" t="s">
        <v>68</v>
      </c>
      <c r="F1141" s="228">
        <v>2</v>
      </c>
      <c r="G1141" s="110"/>
      <c r="H1141" s="57" t="s">
        <v>66</v>
      </c>
      <c r="I1141" s="50">
        <f>I1142</f>
        <v>176985.14</v>
      </c>
      <c r="J1141" s="50">
        <f>J1142</f>
        <v>204.84</v>
      </c>
      <c r="K1141" s="50">
        <f>K1142</f>
        <v>247</v>
      </c>
      <c r="L1141" s="41"/>
      <c r="M1141" s="41"/>
      <c r="N1141" s="41"/>
      <c r="O1141" s="41"/>
      <c r="P1141" s="41"/>
      <c r="Q1141" s="41"/>
      <c r="R1141" s="41"/>
      <c r="S1141" s="41"/>
      <c r="T1141" s="41"/>
      <c r="U1141" s="41"/>
      <c r="V1141" s="41"/>
      <c r="W1141" s="41"/>
      <c r="X1141" s="41"/>
      <c r="Y1141" s="41"/>
      <c r="Z1141" s="41"/>
      <c r="AA1141" s="41"/>
      <c r="AB1141" s="41"/>
      <c r="AC1141" s="41"/>
      <c r="AD1141" s="41"/>
      <c r="AE1141" s="41"/>
      <c r="AF1141" s="41"/>
      <c r="AG1141" s="41"/>
      <c r="AH1141" s="41"/>
      <c r="AI1141" s="41"/>
      <c r="AJ1141" s="41"/>
      <c r="AK1141" s="41"/>
      <c r="AL1141" s="41"/>
      <c r="AM1141" s="41"/>
      <c r="AN1141" s="41"/>
      <c r="AO1141" s="41"/>
      <c r="AP1141" s="41"/>
      <c r="AQ1141" s="41"/>
      <c r="AR1141" s="41"/>
      <c r="AS1141" s="41"/>
      <c r="AT1141" s="41"/>
      <c r="AU1141" s="41"/>
      <c r="AV1141" s="41"/>
      <c r="AW1141" s="41"/>
      <c r="AX1141" s="41"/>
      <c r="AY1141" s="41"/>
      <c r="AZ1141" s="41"/>
      <c r="BA1141" s="41"/>
      <c r="BB1141" s="41"/>
      <c r="BC1141" s="41"/>
      <c r="BD1141" s="41"/>
      <c r="BE1141" s="41"/>
      <c r="BF1141" s="41"/>
      <c r="BG1141" s="41"/>
      <c r="BH1141" s="41"/>
      <c r="BI1141" s="41"/>
      <c r="BJ1141" s="41"/>
      <c r="BK1141" s="41"/>
      <c r="BL1141" s="41"/>
      <c r="BM1141" s="41"/>
      <c r="BN1141" s="41"/>
      <c r="BO1141" s="41"/>
      <c r="BP1141" s="41"/>
      <c r="BQ1141" s="41"/>
      <c r="BR1141" s="41"/>
      <c r="BS1141" s="41"/>
      <c r="BT1141" s="41"/>
      <c r="BU1141" s="41"/>
      <c r="BV1141" s="41"/>
      <c r="BW1141" s="41"/>
      <c r="BX1141" s="41"/>
      <c r="BY1141" s="41"/>
      <c r="BZ1141" s="41"/>
      <c r="CA1141" s="41"/>
      <c r="CB1141" s="41"/>
      <c r="CC1141" s="41"/>
      <c r="CD1141" s="41"/>
      <c r="CE1141" s="41"/>
      <c r="CF1141" s="41"/>
      <c r="CG1141" s="41"/>
      <c r="CH1141" s="41"/>
      <c r="CI1141" s="41"/>
      <c r="CJ1141" s="41"/>
      <c r="CK1141" s="41"/>
      <c r="CL1141" s="41"/>
      <c r="CM1141" s="41"/>
      <c r="CN1141" s="41"/>
      <c r="CO1141" s="41"/>
      <c r="CP1141" s="41"/>
      <c r="CQ1141" s="41"/>
      <c r="CR1141" s="41"/>
      <c r="CS1141" s="41"/>
      <c r="CT1141" s="41"/>
      <c r="CU1141" s="41"/>
      <c r="CV1141" s="41"/>
      <c r="CW1141" s="41"/>
      <c r="CX1141" s="41"/>
      <c r="CY1141" s="41"/>
      <c r="CZ1141" s="41"/>
      <c r="DA1141" s="41"/>
      <c r="DB1141" s="41"/>
      <c r="DC1141" s="41"/>
      <c r="DD1141" s="41"/>
      <c r="DE1141" s="41"/>
      <c r="DF1141" s="41"/>
      <c r="DG1141" s="41"/>
      <c r="DH1141" s="41"/>
      <c r="DI1141" s="41"/>
      <c r="DJ1141" s="41"/>
      <c r="DK1141" s="41"/>
      <c r="DL1141" s="41"/>
      <c r="DM1141" s="41"/>
      <c r="DN1141" s="41"/>
      <c r="DO1141" s="41"/>
      <c r="DP1141" s="41"/>
      <c r="DQ1141" s="41"/>
      <c r="DR1141" s="41"/>
      <c r="DS1141" s="41"/>
      <c r="DT1141" s="41"/>
      <c r="DU1141" s="41"/>
      <c r="DV1141" s="41"/>
      <c r="DW1141" s="41"/>
      <c r="DX1141" s="41"/>
      <c r="DY1141" s="41"/>
      <c r="DZ1141" s="41"/>
      <c r="EA1141" s="41"/>
      <c r="EB1141" s="41"/>
      <c r="EC1141" s="41"/>
      <c r="ED1141" s="41"/>
      <c r="EE1141" s="41"/>
      <c r="EF1141" s="41"/>
      <c r="EG1141" s="41"/>
      <c r="EH1141" s="41"/>
      <c r="EI1141" s="41"/>
      <c r="EJ1141" s="41"/>
      <c r="EK1141" s="41"/>
      <c r="EL1141" s="41"/>
      <c r="EM1141" s="41"/>
      <c r="EN1141" s="41"/>
      <c r="EO1141" s="41"/>
      <c r="EP1141" s="41"/>
      <c r="EQ1141" s="41"/>
      <c r="ER1141" s="41"/>
      <c r="ES1141" s="41"/>
      <c r="ET1141" s="41"/>
      <c r="EU1141" s="41"/>
      <c r="EV1141" s="41"/>
      <c r="EW1141" s="41"/>
      <c r="EX1141" s="41"/>
      <c r="EY1141" s="41"/>
      <c r="EZ1141" s="41"/>
      <c r="FA1141" s="41"/>
      <c r="FB1141" s="41"/>
      <c r="FC1141" s="41"/>
      <c r="FD1141" s="41"/>
      <c r="FE1141" s="41"/>
    </row>
    <row r="1142" spans="1:161" ht="63" x14ac:dyDescent="0.25">
      <c r="A1142" s="222"/>
      <c r="B1142" s="222"/>
      <c r="C1142" s="226"/>
      <c r="D1142" s="227"/>
      <c r="E1142" s="227"/>
      <c r="F1142" s="230"/>
      <c r="G1142" s="105" t="s">
        <v>65</v>
      </c>
      <c r="H1142" s="57" t="s">
        <v>178</v>
      </c>
      <c r="I1142" s="50">
        <v>176985.14</v>
      </c>
      <c r="J1142" s="50">
        <f>I1142/D1141</f>
        <v>204.84</v>
      </c>
      <c r="K1142" s="50">
        <f>151+96</f>
        <v>247</v>
      </c>
      <c r="L1142" s="41"/>
      <c r="M1142" s="41"/>
      <c r="N1142" s="41"/>
      <c r="O1142" s="41"/>
      <c r="P1142" s="41"/>
      <c r="Q1142" s="41"/>
      <c r="R1142" s="41"/>
      <c r="S1142" s="41"/>
      <c r="T1142" s="41"/>
      <c r="U1142" s="41"/>
      <c r="V1142" s="41"/>
      <c r="W1142" s="41"/>
      <c r="X1142" s="41"/>
      <c r="Y1142" s="41"/>
      <c r="Z1142" s="41"/>
      <c r="AA1142" s="41"/>
      <c r="AB1142" s="41"/>
      <c r="AC1142" s="41"/>
      <c r="AD1142" s="41"/>
      <c r="AE1142" s="41"/>
      <c r="AF1142" s="41"/>
      <c r="AG1142" s="41"/>
      <c r="AH1142" s="41"/>
      <c r="AI1142" s="41"/>
      <c r="AJ1142" s="41"/>
      <c r="AK1142" s="41"/>
      <c r="AL1142" s="41"/>
      <c r="AM1142" s="41"/>
      <c r="AN1142" s="41"/>
      <c r="AO1142" s="41"/>
      <c r="AP1142" s="41"/>
      <c r="AQ1142" s="41"/>
      <c r="AR1142" s="41"/>
      <c r="AS1142" s="41"/>
      <c r="AT1142" s="41"/>
      <c r="AU1142" s="41"/>
      <c r="AV1142" s="41"/>
      <c r="AW1142" s="41"/>
      <c r="AX1142" s="41"/>
      <c r="AY1142" s="41"/>
      <c r="AZ1142" s="41"/>
      <c r="BA1142" s="41"/>
      <c r="BB1142" s="41"/>
      <c r="BC1142" s="41"/>
      <c r="BD1142" s="41"/>
      <c r="BE1142" s="41"/>
      <c r="BF1142" s="41"/>
      <c r="BG1142" s="41"/>
      <c r="BH1142" s="41"/>
      <c r="BI1142" s="41"/>
      <c r="BJ1142" s="41"/>
      <c r="BK1142" s="41"/>
      <c r="BL1142" s="41"/>
      <c r="BM1142" s="41"/>
      <c r="BN1142" s="41"/>
      <c r="BO1142" s="41"/>
      <c r="BP1142" s="41"/>
      <c r="BQ1142" s="41"/>
      <c r="BR1142" s="41"/>
      <c r="BS1142" s="41"/>
      <c r="BT1142" s="41"/>
      <c r="BU1142" s="41"/>
      <c r="BV1142" s="41"/>
      <c r="BW1142" s="41"/>
      <c r="BX1142" s="41"/>
      <c r="BY1142" s="41"/>
      <c r="BZ1142" s="41"/>
      <c r="CA1142" s="41"/>
      <c r="CB1142" s="41"/>
      <c r="CC1142" s="41"/>
      <c r="CD1142" s="41"/>
      <c r="CE1142" s="41"/>
      <c r="CF1142" s="41"/>
      <c r="CG1142" s="41"/>
      <c r="CH1142" s="41"/>
      <c r="CI1142" s="41"/>
      <c r="CJ1142" s="41"/>
      <c r="CK1142" s="41"/>
      <c r="CL1142" s="41"/>
      <c r="CM1142" s="41"/>
      <c r="CN1142" s="41"/>
      <c r="CO1142" s="41"/>
      <c r="CP1142" s="41"/>
      <c r="CQ1142" s="41"/>
      <c r="CR1142" s="41"/>
      <c r="CS1142" s="41"/>
      <c r="CT1142" s="41"/>
      <c r="CU1142" s="41"/>
      <c r="CV1142" s="41"/>
      <c r="CW1142" s="41"/>
      <c r="CX1142" s="41"/>
      <c r="CY1142" s="41"/>
      <c r="CZ1142" s="41"/>
      <c r="DA1142" s="41"/>
      <c r="DB1142" s="41"/>
      <c r="DC1142" s="41"/>
      <c r="DD1142" s="41"/>
      <c r="DE1142" s="41"/>
      <c r="DF1142" s="41"/>
      <c r="DG1142" s="41"/>
      <c r="DH1142" s="41"/>
      <c r="DI1142" s="41"/>
      <c r="DJ1142" s="41"/>
      <c r="DK1142" s="41"/>
      <c r="DL1142" s="41"/>
      <c r="DM1142" s="41"/>
      <c r="DN1142" s="41"/>
      <c r="DO1142" s="41"/>
      <c r="DP1142" s="41"/>
      <c r="DQ1142" s="41"/>
      <c r="DR1142" s="41"/>
      <c r="DS1142" s="41"/>
      <c r="DT1142" s="41"/>
      <c r="DU1142" s="41"/>
      <c r="DV1142" s="41"/>
      <c r="DW1142" s="41"/>
      <c r="DX1142" s="41"/>
      <c r="DY1142" s="41"/>
      <c r="DZ1142" s="41"/>
      <c r="EA1142" s="41"/>
      <c r="EB1142" s="41"/>
      <c r="EC1142" s="41"/>
      <c r="ED1142" s="41"/>
      <c r="EE1142" s="41"/>
      <c r="EF1142" s="41"/>
      <c r="EG1142" s="41"/>
      <c r="EH1142" s="41"/>
      <c r="EI1142" s="41"/>
      <c r="EJ1142" s="41"/>
      <c r="EK1142" s="41"/>
      <c r="EL1142" s="41"/>
      <c r="EM1142" s="41"/>
      <c r="EN1142" s="41"/>
      <c r="EO1142" s="41"/>
      <c r="EP1142" s="41"/>
      <c r="EQ1142" s="41"/>
      <c r="ER1142" s="41"/>
      <c r="ES1142" s="41"/>
      <c r="ET1142" s="41"/>
      <c r="EU1142" s="41"/>
      <c r="EV1142" s="41"/>
      <c r="EW1142" s="41"/>
      <c r="EX1142" s="41"/>
      <c r="EY1142" s="41"/>
      <c r="EZ1142" s="41"/>
      <c r="FA1142" s="41"/>
      <c r="FB1142" s="41"/>
      <c r="FC1142" s="41"/>
      <c r="FD1142" s="41"/>
      <c r="FE1142" s="41"/>
    </row>
    <row r="1143" spans="1:161" s="41" customFormat="1" x14ac:dyDescent="0.25">
      <c r="A1143" s="71" t="s">
        <v>283</v>
      </c>
      <c r="B1143" s="71"/>
      <c r="C1143" s="56"/>
      <c r="D1143" s="109">
        <f>D1144+D1156+D1203+D1209+D1215+D1410+D1496+D2052+D2061+D2080+D2099+D2183+D2194+D2205+D2216+D2223+D2348+D2352</f>
        <v>1092661.02</v>
      </c>
      <c r="E1143" s="122"/>
      <c r="F1143" s="122"/>
      <c r="G1143" s="105"/>
      <c r="H1143" s="49"/>
      <c r="I1143" s="55">
        <f>I1144+I1156+I1203+I1209+I1215+I1410+I1496+I2052+I2061+I2080+I2099+I2183+I2194+I2205+I2216+I2223+I2348+I2352</f>
        <v>1237700780.6500001</v>
      </c>
      <c r="J1143" s="49"/>
      <c r="K1143" s="49"/>
      <c r="L1143" s="42"/>
      <c r="M1143" s="42"/>
      <c r="N1143" s="42"/>
      <c r="O1143" s="42"/>
      <c r="P1143" s="42"/>
      <c r="Q1143" s="42"/>
      <c r="R1143" s="42"/>
      <c r="S1143" s="42"/>
      <c r="T1143" s="42"/>
      <c r="U1143" s="42"/>
      <c r="V1143" s="42"/>
      <c r="W1143" s="42"/>
      <c r="X1143" s="42"/>
      <c r="Y1143" s="42"/>
      <c r="Z1143" s="42"/>
      <c r="AA1143" s="42"/>
      <c r="AB1143" s="42"/>
      <c r="AC1143" s="42"/>
      <c r="AD1143" s="42"/>
      <c r="AE1143" s="42"/>
      <c r="AF1143" s="42"/>
      <c r="AG1143" s="42"/>
      <c r="AH1143" s="42"/>
      <c r="AI1143" s="42"/>
      <c r="AJ1143" s="42"/>
      <c r="AK1143" s="42"/>
      <c r="AL1143" s="42"/>
      <c r="AM1143" s="42"/>
      <c r="AN1143" s="42"/>
      <c r="AO1143" s="42"/>
      <c r="AP1143" s="42"/>
      <c r="AQ1143" s="42"/>
      <c r="AR1143" s="42"/>
      <c r="AS1143" s="42"/>
      <c r="AT1143" s="42"/>
      <c r="AU1143" s="42"/>
      <c r="AV1143" s="42"/>
      <c r="AW1143" s="42"/>
      <c r="AX1143" s="42"/>
      <c r="AY1143" s="42"/>
      <c r="AZ1143" s="42"/>
      <c r="BA1143" s="42"/>
      <c r="BB1143" s="42"/>
      <c r="BC1143" s="42"/>
      <c r="BD1143" s="42"/>
      <c r="BE1143" s="42"/>
      <c r="BF1143" s="42"/>
      <c r="BG1143" s="42"/>
      <c r="BH1143" s="42"/>
      <c r="BI1143" s="42"/>
      <c r="BJ1143" s="42"/>
      <c r="BK1143" s="42"/>
      <c r="BL1143" s="42"/>
      <c r="BM1143" s="42"/>
      <c r="BN1143" s="42"/>
      <c r="BO1143" s="42"/>
      <c r="BP1143" s="42"/>
      <c r="BQ1143" s="42"/>
      <c r="BR1143" s="42"/>
      <c r="BS1143" s="42"/>
      <c r="BT1143" s="42"/>
      <c r="BU1143" s="42"/>
      <c r="BV1143" s="42"/>
      <c r="BW1143" s="42"/>
      <c r="BX1143" s="42"/>
      <c r="BY1143" s="42"/>
      <c r="BZ1143" s="42"/>
      <c r="CA1143" s="42"/>
      <c r="CB1143" s="42"/>
      <c r="CC1143" s="42"/>
      <c r="CD1143" s="42"/>
      <c r="CE1143" s="42"/>
      <c r="CF1143" s="42"/>
      <c r="CG1143" s="42"/>
      <c r="CH1143" s="42"/>
      <c r="CI1143" s="42"/>
      <c r="CJ1143" s="42"/>
      <c r="CK1143" s="42"/>
      <c r="CL1143" s="42"/>
      <c r="CM1143" s="42"/>
      <c r="CN1143" s="42"/>
      <c r="CO1143" s="42"/>
      <c r="CP1143" s="42"/>
      <c r="CQ1143" s="42"/>
      <c r="CR1143" s="42"/>
      <c r="CS1143" s="42"/>
      <c r="CT1143" s="42"/>
      <c r="CU1143" s="42"/>
      <c r="CV1143" s="42"/>
      <c r="CW1143" s="42"/>
      <c r="CX1143" s="42"/>
      <c r="CY1143" s="42"/>
      <c r="CZ1143" s="42"/>
      <c r="DA1143" s="42"/>
      <c r="DB1143" s="42"/>
      <c r="DC1143" s="42"/>
      <c r="DD1143" s="42"/>
      <c r="DE1143" s="42"/>
      <c r="DF1143" s="42"/>
      <c r="DG1143" s="42"/>
      <c r="DH1143" s="42"/>
      <c r="DI1143" s="42"/>
      <c r="DJ1143" s="42"/>
      <c r="DK1143" s="42"/>
      <c r="DL1143" s="42"/>
      <c r="DM1143" s="42"/>
      <c r="DN1143" s="42"/>
      <c r="DO1143" s="42"/>
      <c r="DP1143" s="42"/>
      <c r="DQ1143" s="42"/>
      <c r="DR1143" s="42"/>
      <c r="DS1143" s="42"/>
      <c r="DT1143" s="42"/>
      <c r="DU1143" s="42"/>
      <c r="DV1143" s="42"/>
      <c r="DW1143" s="42"/>
      <c r="DX1143" s="42"/>
      <c r="DY1143" s="42"/>
      <c r="DZ1143" s="42"/>
      <c r="EA1143" s="42"/>
      <c r="EB1143" s="42"/>
      <c r="EC1143" s="42"/>
      <c r="ED1143" s="42"/>
      <c r="EE1143" s="42"/>
      <c r="EF1143" s="42"/>
      <c r="EG1143" s="42"/>
      <c r="EH1143" s="42"/>
      <c r="EI1143" s="42"/>
      <c r="EJ1143" s="42"/>
      <c r="EK1143" s="42"/>
      <c r="EL1143" s="42"/>
      <c r="EM1143" s="42"/>
      <c r="EN1143" s="42"/>
      <c r="EO1143" s="42"/>
      <c r="EP1143" s="42"/>
      <c r="EQ1143" s="42"/>
      <c r="ER1143" s="42"/>
      <c r="ES1143" s="42"/>
      <c r="ET1143" s="42"/>
      <c r="EU1143" s="42"/>
      <c r="EV1143" s="42"/>
      <c r="EW1143" s="42"/>
      <c r="EX1143" s="42"/>
      <c r="EY1143" s="42"/>
      <c r="EZ1143" s="42"/>
      <c r="FA1143" s="42"/>
      <c r="FB1143" s="42"/>
      <c r="FC1143" s="42"/>
      <c r="FD1143" s="42"/>
    </row>
    <row r="1144" spans="1:161" s="41" customFormat="1" x14ac:dyDescent="0.25">
      <c r="A1144" s="71" t="s">
        <v>16</v>
      </c>
      <c r="B1144" s="114"/>
      <c r="C1144" s="91"/>
      <c r="D1144" s="109">
        <f>D1145+D1148+D1151</f>
        <v>892.5</v>
      </c>
      <c r="E1144" s="109"/>
      <c r="F1144" s="109"/>
      <c r="G1144" s="105"/>
      <c r="H1144" s="49"/>
      <c r="I1144" s="109">
        <f>I1145+I1148+I1151</f>
        <v>6243783.9000000004</v>
      </c>
      <c r="J1144" s="105"/>
      <c r="K1144" s="105"/>
      <c r="L1144" s="42"/>
      <c r="M1144" s="42"/>
      <c r="N1144" s="42"/>
      <c r="O1144" s="42"/>
      <c r="P1144" s="42"/>
      <c r="Q1144" s="42"/>
      <c r="R1144" s="42"/>
      <c r="S1144" s="42"/>
      <c r="T1144" s="42"/>
      <c r="U1144" s="42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  <c r="AF1144" s="42"/>
      <c r="AG1144" s="42"/>
      <c r="AH1144" s="42"/>
      <c r="AI1144" s="42"/>
      <c r="AJ1144" s="42"/>
      <c r="AK1144" s="42"/>
      <c r="AL1144" s="42"/>
      <c r="AM1144" s="42"/>
      <c r="AN1144" s="42"/>
      <c r="AO1144" s="42"/>
      <c r="AP1144" s="42"/>
      <c r="AQ1144" s="42"/>
      <c r="AR1144" s="42"/>
      <c r="AS1144" s="42"/>
      <c r="AT1144" s="42"/>
      <c r="AU1144" s="42"/>
      <c r="AV1144" s="42"/>
      <c r="AW1144" s="42"/>
      <c r="AX1144" s="42"/>
      <c r="AY1144" s="42"/>
      <c r="AZ1144" s="42"/>
      <c r="BA1144" s="42"/>
      <c r="BB1144" s="42"/>
      <c r="BC1144" s="42"/>
      <c r="BD1144" s="42"/>
      <c r="BE1144" s="42"/>
      <c r="BF1144" s="42"/>
      <c r="BG1144" s="42"/>
      <c r="BH1144" s="42"/>
      <c r="BI1144" s="42"/>
      <c r="BJ1144" s="42"/>
      <c r="BK1144" s="42"/>
      <c r="BL1144" s="42"/>
      <c r="BM1144" s="42"/>
      <c r="BN1144" s="42"/>
      <c r="BO1144" s="42"/>
      <c r="BP1144" s="42"/>
      <c r="BQ1144" s="42"/>
      <c r="BR1144" s="42"/>
      <c r="BS1144" s="42"/>
      <c r="BT1144" s="42"/>
      <c r="BU1144" s="42"/>
      <c r="BV1144" s="42"/>
      <c r="BW1144" s="42"/>
      <c r="BX1144" s="42"/>
      <c r="BY1144" s="42"/>
      <c r="BZ1144" s="42"/>
      <c r="CA1144" s="42"/>
      <c r="CB1144" s="42"/>
      <c r="CC1144" s="42"/>
      <c r="CD1144" s="42"/>
      <c r="CE1144" s="42"/>
      <c r="CF1144" s="42"/>
      <c r="CG1144" s="42"/>
      <c r="CH1144" s="42"/>
      <c r="CI1144" s="42"/>
      <c r="CJ1144" s="42"/>
      <c r="CK1144" s="42"/>
      <c r="CL1144" s="42"/>
      <c r="CM1144" s="42"/>
      <c r="CN1144" s="42"/>
      <c r="CO1144" s="42"/>
      <c r="CP1144" s="42"/>
      <c r="CQ1144" s="42"/>
      <c r="CR1144" s="42"/>
      <c r="CS1144" s="42"/>
      <c r="CT1144" s="42"/>
      <c r="CU1144" s="42"/>
      <c r="CV1144" s="42"/>
      <c r="CW1144" s="42"/>
      <c r="CX1144" s="42"/>
      <c r="CY1144" s="42"/>
      <c r="CZ1144" s="42"/>
      <c r="DA1144" s="42"/>
      <c r="DB1144" s="42"/>
      <c r="DC1144" s="42"/>
      <c r="DD1144" s="42"/>
      <c r="DE1144" s="42"/>
      <c r="DF1144" s="42"/>
      <c r="DG1144" s="42"/>
      <c r="DH1144" s="42"/>
      <c r="DI1144" s="42"/>
      <c r="DJ1144" s="42"/>
      <c r="DK1144" s="42"/>
      <c r="DL1144" s="42"/>
      <c r="DM1144" s="42"/>
      <c r="DN1144" s="42"/>
      <c r="DO1144" s="42"/>
      <c r="DP1144" s="42"/>
      <c r="DQ1144" s="42"/>
      <c r="DR1144" s="42"/>
      <c r="DS1144" s="42"/>
      <c r="DT1144" s="42"/>
      <c r="DU1144" s="42"/>
      <c r="DV1144" s="42"/>
      <c r="DW1144" s="42"/>
      <c r="DX1144" s="42"/>
      <c r="DY1144" s="42"/>
      <c r="DZ1144" s="42"/>
      <c r="EA1144" s="42"/>
      <c r="EB1144" s="42"/>
      <c r="EC1144" s="42"/>
      <c r="ED1144" s="42"/>
      <c r="EE1144" s="42"/>
      <c r="EF1144" s="42"/>
      <c r="EG1144" s="42"/>
      <c r="EH1144" s="42"/>
      <c r="EI1144" s="42"/>
      <c r="EJ1144" s="42"/>
      <c r="EK1144" s="42"/>
      <c r="EL1144" s="42"/>
      <c r="EM1144" s="42"/>
      <c r="EN1144" s="42"/>
      <c r="EO1144" s="42"/>
      <c r="EP1144" s="42"/>
      <c r="EQ1144" s="42"/>
      <c r="ER1144" s="42"/>
      <c r="ES1144" s="42"/>
      <c r="ET1144" s="42"/>
      <c r="EU1144" s="42"/>
      <c r="EV1144" s="42"/>
      <c r="EW1144" s="42"/>
      <c r="EX1144" s="42"/>
      <c r="EY1144" s="42"/>
      <c r="EZ1144" s="42"/>
      <c r="FA1144" s="42"/>
      <c r="FB1144" s="42"/>
      <c r="FC1144" s="42"/>
      <c r="FD1144" s="42"/>
    </row>
    <row r="1145" spans="1:161" s="41" customFormat="1" x14ac:dyDescent="0.25">
      <c r="A1145" s="275">
        <v>1</v>
      </c>
      <c r="B1145" s="275">
        <v>4692</v>
      </c>
      <c r="C1145" s="292" t="s">
        <v>286</v>
      </c>
      <c r="D1145" s="275">
        <v>237.2</v>
      </c>
      <c r="E1145" s="275" t="s">
        <v>68</v>
      </c>
      <c r="F1145" s="275">
        <v>2</v>
      </c>
      <c r="G1145" s="103"/>
      <c r="H1145" s="108" t="s">
        <v>66</v>
      </c>
      <c r="I1145" s="50">
        <f>SUM(I1146:I1147)</f>
        <v>127613.6</v>
      </c>
      <c r="J1145" s="50">
        <f>SUM(J1146:J1147)</f>
        <v>538</v>
      </c>
      <c r="K1145" s="50">
        <f>SUM(K1146:K1147)</f>
        <v>538</v>
      </c>
      <c r="L1145" s="42"/>
      <c r="M1145" s="42"/>
      <c r="N1145" s="42"/>
      <c r="O1145" s="42"/>
      <c r="P1145" s="42"/>
      <c r="Q1145" s="42"/>
      <c r="R1145" s="42"/>
      <c r="S1145" s="42"/>
      <c r="T1145" s="42"/>
      <c r="U1145" s="42"/>
      <c r="V1145" s="42"/>
      <c r="W1145" s="42"/>
      <c r="X1145" s="42"/>
      <c r="Y1145" s="42"/>
      <c r="Z1145" s="42"/>
      <c r="AA1145" s="42"/>
      <c r="AB1145" s="42"/>
      <c r="AC1145" s="42"/>
      <c r="AD1145" s="42"/>
      <c r="AE1145" s="42"/>
      <c r="AF1145" s="42"/>
      <c r="AG1145" s="42"/>
      <c r="AH1145" s="42"/>
      <c r="AI1145" s="42"/>
      <c r="AJ1145" s="42"/>
      <c r="AK1145" s="42"/>
      <c r="AL1145" s="42"/>
      <c r="AM1145" s="42"/>
      <c r="AN1145" s="42"/>
      <c r="AO1145" s="42"/>
      <c r="AP1145" s="42"/>
      <c r="AQ1145" s="42"/>
      <c r="AR1145" s="42"/>
      <c r="AS1145" s="42"/>
      <c r="AT1145" s="42"/>
      <c r="AU1145" s="42"/>
      <c r="AV1145" s="42"/>
      <c r="AW1145" s="42"/>
      <c r="AX1145" s="42"/>
      <c r="AY1145" s="42"/>
      <c r="AZ1145" s="42"/>
      <c r="BA1145" s="42"/>
      <c r="BB1145" s="42"/>
      <c r="BC1145" s="42"/>
      <c r="BD1145" s="42"/>
      <c r="BE1145" s="42"/>
      <c r="BF1145" s="42"/>
      <c r="BG1145" s="42"/>
      <c r="BH1145" s="42"/>
      <c r="BI1145" s="42"/>
      <c r="BJ1145" s="42"/>
      <c r="BK1145" s="42"/>
      <c r="BL1145" s="42"/>
      <c r="BM1145" s="42"/>
      <c r="BN1145" s="42"/>
      <c r="BO1145" s="42"/>
      <c r="BP1145" s="42"/>
      <c r="BQ1145" s="42"/>
      <c r="BR1145" s="42"/>
      <c r="BS1145" s="42"/>
      <c r="BT1145" s="42"/>
      <c r="BU1145" s="42"/>
      <c r="BV1145" s="42"/>
      <c r="BW1145" s="42"/>
      <c r="BX1145" s="42"/>
      <c r="BY1145" s="42"/>
      <c r="BZ1145" s="42"/>
      <c r="CA1145" s="42"/>
      <c r="CB1145" s="42"/>
      <c r="CC1145" s="42"/>
      <c r="CD1145" s="42"/>
      <c r="CE1145" s="42"/>
      <c r="CF1145" s="42"/>
      <c r="CG1145" s="42"/>
      <c r="CH1145" s="42"/>
      <c r="CI1145" s="42"/>
      <c r="CJ1145" s="42"/>
      <c r="CK1145" s="42"/>
      <c r="CL1145" s="42"/>
      <c r="CM1145" s="42"/>
      <c r="CN1145" s="42"/>
      <c r="CO1145" s="42"/>
      <c r="CP1145" s="42"/>
      <c r="CQ1145" s="42"/>
      <c r="CR1145" s="42"/>
      <c r="CS1145" s="42"/>
      <c r="CT1145" s="42"/>
      <c r="CU1145" s="42"/>
      <c r="CV1145" s="42"/>
      <c r="CW1145" s="42"/>
      <c r="CX1145" s="42"/>
      <c r="CY1145" s="42"/>
      <c r="CZ1145" s="42"/>
      <c r="DA1145" s="42"/>
      <c r="DB1145" s="42"/>
      <c r="DC1145" s="42"/>
      <c r="DD1145" s="42"/>
      <c r="DE1145" s="42"/>
      <c r="DF1145" s="42"/>
      <c r="DG1145" s="42"/>
      <c r="DH1145" s="42"/>
      <c r="DI1145" s="42"/>
      <c r="DJ1145" s="42"/>
      <c r="DK1145" s="42"/>
      <c r="DL1145" s="42"/>
      <c r="DM1145" s="42"/>
      <c r="DN1145" s="42"/>
      <c r="DO1145" s="42"/>
      <c r="DP1145" s="42"/>
      <c r="DQ1145" s="42"/>
      <c r="DR1145" s="42"/>
      <c r="DS1145" s="42"/>
      <c r="DT1145" s="42"/>
      <c r="DU1145" s="42"/>
      <c r="DV1145" s="42"/>
      <c r="DW1145" s="42"/>
      <c r="DX1145" s="42"/>
      <c r="DY1145" s="42"/>
      <c r="DZ1145" s="42"/>
      <c r="EA1145" s="42"/>
      <c r="EB1145" s="42"/>
      <c r="EC1145" s="42"/>
      <c r="ED1145" s="42"/>
      <c r="EE1145" s="42"/>
      <c r="EF1145" s="42"/>
      <c r="EG1145" s="42"/>
      <c r="EH1145" s="42"/>
      <c r="EI1145" s="42"/>
      <c r="EJ1145" s="42"/>
      <c r="EK1145" s="42"/>
      <c r="EL1145" s="42"/>
      <c r="EM1145" s="42"/>
      <c r="EN1145" s="42"/>
      <c r="EO1145" s="42"/>
      <c r="EP1145" s="42"/>
      <c r="EQ1145" s="42"/>
      <c r="ER1145" s="42"/>
      <c r="ES1145" s="42"/>
      <c r="ET1145" s="42"/>
      <c r="EU1145" s="42"/>
      <c r="EV1145" s="42"/>
      <c r="EW1145" s="42"/>
      <c r="EX1145" s="42"/>
      <c r="EY1145" s="42"/>
      <c r="EZ1145" s="42"/>
      <c r="FA1145" s="42"/>
      <c r="FB1145" s="42"/>
      <c r="FC1145" s="42"/>
      <c r="FD1145" s="42"/>
    </row>
    <row r="1146" spans="1:161" s="41" customFormat="1" x14ac:dyDescent="0.25">
      <c r="A1146" s="276"/>
      <c r="B1146" s="276"/>
      <c r="C1146" s="293"/>
      <c r="D1146" s="276"/>
      <c r="E1146" s="276"/>
      <c r="F1146" s="276"/>
      <c r="G1146" s="216" t="s">
        <v>78</v>
      </c>
      <c r="H1146" s="57" t="s">
        <v>67</v>
      </c>
      <c r="I1146" s="50">
        <f>D1145*K1146</f>
        <v>125004.4</v>
      </c>
      <c r="J1146" s="50">
        <f>I1146/D1145</f>
        <v>527</v>
      </c>
      <c r="K1146" s="50">
        <v>527</v>
      </c>
      <c r="L1146" s="42"/>
      <c r="M1146" s="42"/>
      <c r="N1146" s="42"/>
      <c r="O1146" s="42"/>
      <c r="P1146" s="42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  <c r="AB1146" s="42"/>
      <c r="AC1146" s="42"/>
      <c r="AD1146" s="42"/>
      <c r="AE1146" s="42"/>
      <c r="AF1146" s="42"/>
      <c r="AG1146" s="42"/>
      <c r="AH1146" s="42"/>
      <c r="AI1146" s="42"/>
      <c r="AJ1146" s="42"/>
      <c r="AK1146" s="42"/>
      <c r="AL1146" s="42"/>
      <c r="AM1146" s="42"/>
      <c r="AN1146" s="42"/>
      <c r="AO1146" s="42"/>
      <c r="AP1146" s="42"/>
      <c r="AQ1146" s="42"/>
      <c r="AR1146" s="42"/>
      <c r="AS1146" s="42"/>
      <c r="AT1146" s="42"/>
      <c r="AU1146" s="42"/>
      <c r="AV1146" s="42"/>
      <c r="AW1146" s="42"/>
      <c r="AX1146" s="42"/>
      <c r="AY1146" s="42"/>
      <c r="AZ1146" s="42"/>
      <c r="BA1146" s="42"/>
      <c r="BB1146" s="42"/>
      <c r="BC1146" s="42"/>
      <c r="BD1146" s="42"/>
      <c r="BE1146" s="42"/>
      <c r="BF1146" s="42"/>
      <c r="BG1146" s="42"/>
      <c r="BH1146" s="42"/>
      <c r="BI1146" s="42"/>
      <c r="BJ1146" s="42"/>
      <c r="BK1146" s="42"/>
      <c r="BL1146" s="42"/>
      <c r="BM1146" s="42"/>
      <c r="BN1146" s="42"/>
      <c r="BO1146" s="42"/>
      <c r="BP1146" s="42"/>
      <c r="BQ1146" s="42"/>
      <c r="BR1146" s="42"/>
      <c r="BS1146" s="42"/>
      <c r="BT1146" s="42"/>
      <c r="BU1146" s="42"/>
      <c r="BV1146" s="42"/>
      <c r="BW1146" s="42"/>
      <c r="BX1146" s="42"/>
      <c r="BY1146" s="42"/>
      <c r="BZ1146" s="42"/>
      <c r="CA1146" s="42"/>
      <c r="CB1146" s="42"/>
      <c r="CC1146" s="42"/>
      <c r="CD1146" s="42"/>
      <c r="CE1146" s="42"/>
      <c r="CF1146" s="42"/>
      <c r="CG1146" s="42"/>
      <c r="CH1146" s="42"/>
      <c r="CI1146" s="42"/>
      <c r="CJ1146" s="42"/>
      <c r="CK1146" s="42"/>
      <c r="CL1146" s="42"/>
      <c r="CM1146" s="42"/>
      <c r="CN1146" s="42"/>
      <c r="CO1146" s="42"/>
      <c r="CP1146" s="42"/>
      <c r="CQ1146" s="42"/>
      <c r="CR1146" s="42"/>
      <c r="CS1146" s="42"/>
      <c r="CT1146" s="42"/>
      <c r="CU1146" s="42"/>
      <c r="CV1146" s="42"/>
      <c r="CW1146" s="42"/>
      <c r="CX1146" s="42"/>
      <c r="CY1146" s="42"/>
      <c r="CZ1146" s="42"/>
      <c r="DA1146" s="42"/>
      <c r="DB1146" s="42"/>
      <c r="DC1146" s="42"/>
      <c r="DD1146" s="42"/>
      <c r="DE1146" s="42"/>
      <c r="DF1146" s="42"/>
      <c r="DG1146" s="42"/>
      <c r="DH1146" s="42"/>
      <c r="DI1146" s="42"/>
      <c r="DJ1146" s="42"/>
      <c r="DK1146" s="42"/>
      <c r="DL1146" s="42"/>
      <c r="DM1146" s="42"/>
      <c r="DN1146" s="42"/>
      <c r="DO1146" s="42"/>
      <c r="DP1146" s="42"/>
      <c r="DQ1146" s="42"/>
      <c r="DR1146" s="42"/>
      <c r="DS1146" s="42"/>
      <c r="DT1146" s="42"/>
      <c r="DU1146" s="42"/>
      <c r="DV1146" s="42"/>
      <c r="DW1146" s="42"/>
      <c r="DX1146" s="42"/>
      <c r="DY1146" s="42"/>
      <c r="DZ1146" s="42"/>
      <c r="EA1146" s="42"/>
      <c r="EB1146" s="42"/>
      <c r="EC1146" s="42"/>
      <c r="ED1146" s="42"/>
      <c r="EE1146" s="42"/>
      <c r="EF1146" s="42"/>
      <c r="EG1146" s="42"/>
      <c r="EH1146" s="42"/>
      <c r="EI1146" s="42"/>
      <c r="EJ1146" s="42"/>
      <c r="EK1146" s="42"/>
      <c r="EL1146" s="42"/>
      <c r="EM1146" s="42"/>
      <c r="EN1146" s="42"/>
      <c r="EO1146" s="42"/>
      <c r="EP1146" s="42"/>
      <c r="EQ1146" s="42"/>
      <c r="ER1146" s="42"/>
      <c r="ES1146" s="42"/>
      <c r="ET1146" s="42"/>
      <c r="EU1146" s="42"/>
      <c r="EV1146" s="42"/>
      <c r="EW1146" s="42"/>
      <c r="EX1146" s="42"/>
      <c r="EY1146" s="42"/>
      <c r="EZ1146" s="42"/>
      <c r="FA1146" s="42"/>
      <c r="FB1146" s="42"/>
      <c r="FC1146" s="42"/>
      <c r="FD1146" s="42"/>
    </row>
    <row r="1147" spans="1:161" s="41" customFormat="1" x14ac:dyDescent="0.25">
      <c r="A1147" s="277"/>
      <c r="B1147" s="277"/>
      <c r="C1147" s="294"/>
      <c r="D1147" s="277"/>
      <c r="E1147" s="277"/>
      <c r="F1147" s="277"/>
      <c r="G1147" s="222"/>
      <c r="H1147" s="57" t="s">
        <v>69</v>
      </c>
      <c r="I1147" s="50">
        <f>D1145*K1147</f>
        <v>2609.1999999999998</v>
      </c>
      <c r="J1147" s="50">
        <f>I1147/D1145</f>
        <v>11</v>
      </c>
      <c r="K1147" s="50">
        <v>11</v>
      </c>
      <c r="L1147" s="42"/>
      <c r="M1147" s="42"/>
      <c r="N1147" s="42"/>
      <c r="O1147" s="42"/>
      <c r="P1147" s="42"/>
      <c r="Q1147" s="42"/>
      <c r="R1147" s="42"/>
      <c r="S1147" s="42"/>
      <c r="T1147" s="42"/>
      <c r="U1147" s="42"/>
      <c r="V1147" s="42"/>
      <c r="W1147" s="42"/>
      <c r="X1147" s="42"/>
      <c r="Y1147" s="42"/>
      <c r="Z1147" s="42"/>
      <c r="AA1147" s="42"/>
      <c r="AB1147" s="42"/>
      <c r="AC1147" s="42"/>
      <c r="AD1147" s="42"/>
      <c r="AE1147" s="42"/>
      <c r="AF1147" s="42"/>
      <c r="AG1147" s="42"/>
      <c r="AH1147" s="42"/>
      <c r="AI1147" s="42"/>
      <c r="AJ1147" s="42"/>
      <c r="AK1147" s="42"/>
      <c r="AL1147" s="42"/>
      <c r="AM1147" s="42"/>
      <c r="AN1147" s="42"/>
      <c r="AO1147" s="42"/>
      <c r="AP1147" s="42"/>
      <c r="AQ1147" s="42"/>
      <c r="AR1147" s="42"/>
      <c r="AS1147" s="42"/>
      <c r="AT1147" s="42"/>
      <c r="AU1147" s="42"/>
      <c r="AV1147" s="42"/>
      <c r="AW1147" s="42"/>
      <c r="AX1147" s="42"/>
      <c r="AY1147" s="42"/>
      <c r="AZ1147" s="42"/>
      <c r="BA1147" s="42"/>
      <c r="BB1147" s="42"/>
      <c r="BC1147" s="42"/>
      <c r="BD1147" s="42"/>
      <c r="BE1147" s="42"/>
      <c r="BF1147" s="42"/>
      <c r="BG1147" s="42"/>
      <c r="BH1147" s="42"/>
      <c r="BI1147" s="42"/>
      <c r="BJ1147" s="42"/>
      <c r="BK1147" s="42"/>
      <c r="BL1147" s="42"/>
      <c r="BM1147" s="42"/>
      <c r="BN1147" s="42"/>
      <c r="BO1147" s="42"/>
      <c r="BP1147" s="42"/>
      <c r="BQ1147" s="42"/>
      <c r="BR1147" s="42"/>
      <c r="BS1147" s="42"/>
      <c r="BT1147" s="42"/>
      <c r="BU1147" s="42"/>
      <c r="BV1147" s="42"/>
      <c r="BW1147" s="42"/>
      <c r="BX1147" s="42"/>
      <c r="BY1147" s="42"/>
      <c r="BZ1147" s="42"/>
      <c r="CA1147" s="42"/>
      <c r="CB1147" s="42"/>
      <c r="CC1147" s="42"/>
      <c r="CD1147" s="42"/>
      <c r="CE1147" s="42"/>
      <c r="CF1147" s="42"/>
      <c r="CG1147" s="42"/>
      <c r="CH1147" s="42"/>
      <c r="CI1147" s="42"/>
      <c r="CJ1147" s="42"/>
      <c r="CK1147" s="42"/>
      <c r="CL1147" s="42"/>
      <c r="CM1147" s="42"/>
      <c r="CN1147" s="42"/>
      <c r="CO1147" s="42"/>
      <c r="CP1147" s="42"/>
      <c r="CQ1147" s="42"/>
      <c r="CR1147" s="42"/>
      <c r="CS1147" s="42"/>
      <c r="CT1147" s="42"/>
      <c r="CU1147" s="42"/>
      <c r="CV1147" s="42"/>
      <c r="CW1147" s="42"/>
      <c r="CX1147" s="42"/>
      <c r="CY1147" s="42"/>
      <c r="CZ1147" s="42"/>
      <c r="DA1147" s="42"/>
      <c r="DB1147" s="42"/>
      <c r="DC1147" s="42"/>
      <c r="DD1147" s="42"/>
      <c r="DE1147" s="42"/>
      <c r="DF1147" s="42"/>
      <c r="DG1147" s="42"/>
      <c r="DH1147" s="42"/>
      <c r="DI1147" s="42"/>
      <c r="DJ1147" s="42"/>
      <c r="DK1147" s="42"/>
      <c r="DL1147" s="42"/>
      <c r="DM1147" s="42"/>
      <c r="DN1147" s="42"/>
      <c r="DO1147" s="42"/>
      <c r="DP1147" s="42"/>
      <c r="DQ1147" s="42"/>
      <c r="DR1147" s="42"/>
      <c r="DS1147" s="42"/>
      <c r="DT1147" s="42"/>
      <c r="DU1147" s="42"/>
      <c r="DV1147" s="42"/>
      <c r="DW1147" s="42"/>
      <c r="DX1147" s="42"/>
      <c r="DY1147" s="42"/>
      <c r="DZ1147" s="42"/>
      <c r="EA1147" s="42"/>
      <c r="EB1147" s="42"/>
      <c r="EC1147" s="42"/>
      <c r="ED1147" s="42"/>
      <c r="EE1147" s="42"/>
      <c r="EF1147" s="42"/>
      <c r="EG1147" s="42"/>
      <c r="EH1147" s="42"/>
      <c r="EI1147" s="42"/>
      <c r="EJ1147" s="42"/>
      <c r="EK1147" s="42"/>
      <c r="EL1147" s="42"/>
      <c r="EM1147" s="42"/>
      <c r="EN1147" s="42"/>
      <c r="EO1147" s="42"/>
      <c r="EP1147" s="42"/>
      <c r="EQ1147" s="42"/>
      <c r="ER1147" s="42"/>
      <c r="ES1147" s="42"/>
      <c r="ET1147" s="42"/>
      <c r="EU1147" s="42"/>
      <c r="EV1147" s="42"/>
      <c r="EW1147" s="42"/>
      <c r="EX1147" s="42"/>
      <c r="EY1147" s="42"/>
      <c r="EZ1147" s="42"/>
      <c r="FA1147" s="42"/>
      <c r="FB1147" s="42"/>
      <c r="FC1147" s="42"/>
      <c r="FD1147" s="42"/>
    </row>
    <row r="1148" spans="1:161" s="41" customFormat="1" x14ac:dyDescent="0.25">
      <c r="A1148" s="215">
        <f>A1145+1</f>
        <v>2</v>
      </c>
      <c r="B1148" s="215">
        <v>4753</v>
      </c>
      <c r="C1148" s="223" t="s">
        <v>530</v>
      </c>
      <c r="D1148" s="216">
        <v>325.2</v>
      </c>
      <c r="E1148" s="216" t="s">
        <v>167</v>
      </c>
      <c r="F1148" s="216">
        <v>2</v>
      </c>
      <c r="G1148" s="216" t="s">
        <v>65</v>
      </c>
      <c r="H1148" s="57" t="s">
        <v>66</v>
      </c>
      <c r="I1148" s="50">
        <f>SUM(I1149:I1150)</f>
        <v>2667615.6</v>
      </c>
      <c r="J1148" s="50">
        <f>SUM(J1149:J1150)</f>
        <v>8203</v>
      </c>
      <c r="K1148" s="50">
        <f>SUM(K1149:K1150)</f>
        <v>8203</v>
      </c>
      <c r="L1148" s="42"/>
      <c r="M1148" s="42"/>
      <c r="N1148" s="42"/>
      <c r="O1148" s="42"/>
      <c r="P1148" s="42"/>
      <c r="Q1148" s="42"/>
      <c r="R1148" s="42"/>
      <c r="S1148" s="42"/>
      <c r="T1148" s="42"/>
      <c r="U1148" s="42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  <c r="AF1148" s="42"/>
      <c r="AG1148" s="42"/>
      <c r="AH1148" s="42"/>
      <c r="AI1148" s="42"/>
      <c r="AJ1148" s="42"/>
      <c r="AK1148" s="42"/>
      <c r="AL1148" s="42"/>
      <c r="AM1148" s="42"/>
      <c r="AN1148" s="42"/>
      <c r="AO1148" s="42"/>
      <c r="AP1148" s="42"/>
      <c r="AQ1148" s="42"/>
      <c r="AR1148" s="42"/>
      <c r="AS1148" s="42"/>
      <c r="AT1148" s="42"/>
      <c r="AU1148" s="42"/>
      <c r="AV1148" s="42"/>
      <c r="AW1148" s="42"/>
      <c r="AX1148" s="42"/>
      <c r="AY1148" s="42"/>
      <c r="AZ1148" s="42"/>
      <c r="BA1148" s="42"/>
      <c r="BB1148" s="42"/>
      <c r="BC1148" s="42"/>
      <c r="BD1148" s="42"/>
      <c r="BE1148" s="42"/>
      <c r="BF1148" s="42"/>
      <c r="BG1148" s="42"/>
      <c r="BH1148" s="42"/>
      <c r="BI1148" s="42"/>
      <c r="BJ1148" s="42"/>
      <c r="BK1148" s="42"/>
      <c r="BL1148" s="42"/>
      <c r="BM1148" s="42"/>
      <c r="BN1148" s="42"/>
      <c r="BO1148" s="42"/>
      <c r="BP1148" s="42"/>
      <c r="BQ1148" s="42"/>
      <c r="BR1148" s="42"/>
      <c r="BS1148" s="42"/>
      <c r="BT1148" s="42"/>
      <c r="BU1148" s="42"/>
      <c r="BV1148" s="42"/>
      <c r="BW1148" s="42"/>
      <c r="BX1148" s="42"/>
      <c r="BY1148" s="42"/>
      <c r="BZ1148" s="42"/>
      <c r="CA1148" s="42"/>
      <c r="CB1148" s="42"/>
      <c r="CC1148" s="42"/>
      <c r="CD1148" s="42"/>
      <c r="CE1148" s="42"/>
      <c r="CF1148" s="42"/>
      <c r="CG1148" s="42"/>
      <c r="CH1148" s="42"/>
      <c r="CI1148" s="42"/>
      <c r="CJ1148" s="42"/>
      <c r="CK1148" s="42"/>
      <c r="CL1148" s="42"/>
      <c r="CM1148" s="42"/>
      <c r="CN1148" s="42"/>
      <c r="CO1148" s="42"/>
      <c r="CP1148" s="42"/>
      <c r="CQ1148" s="42"/>
      <c r="CR1148" s="42"/>
      <c r="CS1148" s="42"/>
      <c r="CT1148" s="42"/>
      <c r="CU1148" s="42"/>
      <c r="CV1148" s="42"/>
      <c r="CW1148" s="42"/>
      <c r="CX1148" s="42"/>
      <c r="CY1148" s="42"/>
      <c r="CZ1148" s="42"/>
      <c r="DA1148" s="42"/>
      <c r="DB1148" s="42"/>
      <c r="DC1148" s="42"/>
      <c r="DD1148" s="42"/>
      <c r="DE1148" s="42"/>
      <c r="DF1148" s="42"/>
      <c r="DG1148" s="42"/>
      <c r="DH1148" s="42"/>
      <c r="DI1148" s="42"/>
      <c r="DJ1148" s="42"/>
      <c r="DK1148" s="42"/>
      <c r="DL1148" s="42"/>
      <c r="DM1148" s="42"/>
      <c r="DN1148" s="42"/>
      <c r="DO1148" s="42"/>
      <c r="DP1148" s="42"/>
      <c r="DQ1148" s="42"/>
      <c r="DR1148" s="42"/>
      <c r="DS1148" s="42"/>
      <c r="DT1148" s="42"/>
      <c r="DU1148" s="42"/>
      <c r="DV1148" s="42"/>
      <c r="DW1148" s="42"/>
      <c r="DX1148" s="42"/>
      <c r="DY1148" s="42"/>
      <c r="DZ1148" s="42"/>
      <c r="EA1148" s="42"/>
      <c r="EB1148" s="42"/>
      <c r="EC1148" s="42"/>
      <c r="ED1148" s="42"/>
      <c r="EE1148" s="42"/>
      <c r="EF1148" s="42"/>
      <c r="EG1148" s="42"/>
      <c r="EH1148" s="42"/>
      <c r="EI1148" s="42"/>
      <c r="EJ1148" s="42"/>
      <c r="EK1148" s="42"/>
      <c r="EL1148" s="42"/>
      <c r="EM1148" s="42"/>
      <c r="EN1148" s="42"/>
      <c r="EO1148" s="42"/>
      <c r="EP1148" s="42"/>
      <c r="EQ1148" s="42"/>
      <c r="ER1148" s="42"/>
      <c r="ES1148" s="42"/>
      <c r="ET1148" s="42"/>
      <c r="EU1148" s="42"/>
      <c r="EV1148" s="42"/>
      <c r="EW1148" s="42"/>
      <c r="EX1148" s="42"/>
      <c r="EY1148" s="42"/>
      <c r="EZ1148" s="42"/>
      <c r="FA1148" s="42"/>
      <c r="FB1148" s="42"/>
      <c r="FC1148" s="42"/>
      <c r="FD1148" s="42"/>
    </row>
    <row r="1149" spans="1:161" s="41" customFormat="1" x14ac:dyDescent="0.25">
      <c r="A1149" s="215"/>
      <c r="B1149" s="215"/>
      <c r="C1149" s="223"/>
      <c r="D1149" s="217"/>
      <c r="E1149" s="217"/>
      <c r="F1149" s="217"/>
      <c r="G1149" s="217"/>
      <c r="H1149" s="57" t="s">
        <v>67</v>
      </c>
      <c r="I1149" s="50">
        <f>K1149*D1148</f>
        <v>2611681.2000000002</v>
      </c>
      <c r="J1149" s="50">
        <f>I1149/D1148</f>
        <v>8031</v>
      </c>
      <c r="K1149" s="50">
        <v>8031</v>
      </c>
      <c r="L1149" s="42"/>
      <c r="M1149" s="42"/>
      <c r="N1149" s="42"/>
      <c r="O1149" s="42"/>
      <c r="P1149" s="42"/>
      <c r="Q1149" s="42"/>
      <c r="R1149" s="42"/>
      <c r="S1149" s="42"/>
      <c r="T1149" s="42"/>
      <c r="U1149" s="42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  <c r="AF1149" s="42"/>
      <c r="AG1149" s="42"/>
      <c r="AH1149" s="42"/>
      <c r="AI1149" s="42"/>
      <c r="AJ1149" s="42"/>
      <c r="AK1149" s="42"/>
      <c r="AL1149" s="42"/>
      <c r="AM1149" s="42"/>
      <c r="AN1149" s="42"/>
      <c r="AO1149" s="42"/>
      <c r="AP1149" s="42"/>
      <c r="AQ1149" s="42"/>
      <c r="AR1149" s="42"/>
      <c r="AS1149" s="42"/>
      <c r="AT1149" s="42"/>
      <c r="AU1149" s="42"/>
      <c r="AV1149" s="42"/>
      <c r="AW1149" s="42"/>
      <c r="AX1149" s="42"/>
      <c r="AY1149" s="42"/>
      <c r="AZ1149" s="42"/>
      <c r="BA1149" s="42"/>
      <c r="BB1149" s="42"/>
      <c r="BC1149" s="42"/>
      <c r="BD1149" s="42"/>
      <c r="BE1149" s="42"/>
      <c r="BF1149" s="42"/>
      <c r="BG1149" s="42"/>
      <c r="BH1149" s="42"/>
      <c r="BI1149" s="42"/>
      <c r="BJ1149" s="42"/>
      <c r="BK1149" s="42"/>
      <c r="BL1149" s="42"/>
      <c r="BM1149" s="42"/>
      <c r="BN1149" s="42"/>
      <c r="BO1149" s="42"/>
      <c r="BP1149" s="42"/>
      <c r="BQ1149" s="42"/>
      <c r="BR1149" s="42"/>
      <c r="BS1149" s="42"/>
      <c r="BT1149" s="42"/>
      <c r="BU1149" s="42"/>
      <c r="BV1149" s="42"/>
      <c r="BW1149" s="42"/>
      <c r="BX1149" s="42"/>
      <c r="BY1149" s="42"/>
      <c r="BZ1149" s="42"/>
      <c r="CA1149" s="42"/>
      <c r="CB1149" s="42"/>
      <c r="CC1149" s="42"/>
      <c r="CD1149" s="42"/>
      <c r="CE1149" s="42"/>
      <c r="CF1149" s="42"/>
      <c r="CG1149" s="42"/>
      <c r="CH1149" s="42"/>
      <c r="CI1149" s="42"/>
      <c r="CJ1149" s="42"/>
      <c r="CK1149" s="42"/>
      <c r="CL1149" s="42"/>
      <c r="CM1149" s="42"/>
      <c r="CN1149" s="42"/>
      <c r="CO1149" s="42"/>
      <c r="CP1149" s="42"/>
      <c r="CQ1149" s="42"/>
      <c r="CR1149" s="42"/>
      <c r="CS1149" s="42"/>
      <c r="CT1149" s="42"/>
      <c r="CU1149" s="42"/>
      <c r="CV1149" s="42"/>
      <c r="CW1149" s="42"/>
      <c r="CX1149" s="42"/>
      <c r="CY1149" s="42"/>
      <c r="CZ1149" s="42"/>
      <c r="DA1149" s="42"/>
      <c r="DB1149" s="42"/>
      <c r="DC1149" s="42"/>
      <c r="DD1149" s="42"/>
      <c r="DE1149" s="42"/>
      <c r="DF1149" s="42"/>
      <c r="DG1149" s="42"/>
      <c r="DH1149" s="42"/>
      <c r="DI1149" s="42"/>
      <c r="DJ1149" s="42"/>
      <c r="DK1149" s="42"/>
      <c r="DL1149" s="42"/>
      <c r="DM1149" s="42"/>
      <c r="DN1149" s="42"/>
      <c r="DO1149" s="42"/>
      <c r="DP1149" s="42"/>
      <c r="DQ1149" s="42"/>
      <c r="DR1149" s="42"/>
      <c r="DS1149" s="42"/>
      <c r="DT1149" s="42"/>
      <c r="DU1149" s="42"/>
      <c r="DV1149" s="42"/>
      <c r="DW1149" s="42"/>
      <c r="DX1149" s="42"/>
      <c r="DY1149" s="42"/>
      <c r="DZ1149" s="42"/>
      <c r="EA1149" s="42"/>
      <c r="EB1149" s="42"/>
      <c r="EC1149" s="42"/>
      <c r="ED1149" s="42"/>
      <c r="EE1149" s="42"/>
      <c r="EF1149" s="42"/>
      <c r="EG1149" s="42"/>
      <c r="EH1149" s="42"/>
      <c r="EI1149" s="42"/>
      <c r="EJ1149" s="42"/>
      <c r="EK1149" s="42"/>
      <c r="EL1149" s="42"/>
      <c r="EM1149" s="42"/>
      <c r="EN1149" s="42"/>
      <c r="EO1149" s="42"/>
      <c r="EP1149" s="42"/>
      <c r="EQ1149" s="42"/>
      <c r="ER1149" s="42"/>
      <c r="ES1149" s="42"/>
      <c r="ET1149" s="42"/>
      <c r="EU1149" s="42"/>
      <c r="EV1149" s="42"/>
      <c r="EW1149" s="42"/>
      <c r="EX1149" s="42"/>
      <c r="EY1149" s="42"/>
      <c r="EZ1149" s="42"/>
      <c r="FA1149" s="42"/>
      <c r="FB1149" s="42"/>
      <c r="FC1149" s="42"/>
      <c r="FD1149" s="42"/>
    </row>
    <row r="1150" spans="1:161" s="41" customFormat="1" x14ac:dyDescent="0.25">
      <c r="A1150" s="215"/>
      <c r="B1150" s="215"/>
      <c r="C1150" s="223"/>
      <c r="D1150" s="222"/>
      <c r="E1150" s="222"/>
      <c r="F1150" s="222"/>
      <c r="G1150" s="222"/>
      <c r="H1150" s="57" t="s">
        <v>69</v>
      </c>
      <c r="I1150" s="50">
        <f>K1150*D1148</f>
        <v>55934.400000000001</v>
      </c>
      <c r="J1150" s="50">
        <f>I1150/D1148</f>
        <v>172</v>
      </c>
      <c r="K1150" s="50">
        <v>172</v>
      </c>
      <c r="L1150" s="42"/>
      <c r="M1150" s="42"/>
      <c r="N1150" s="42"/>
      <c r="O1150" s="42"/>
      <c r="P1150" s="42"/>
      <c r="Q1150" s="42"/>
      <c r="R1150" s="42"/>
      <c r="S1150" s="42"/>
      <c r="T1150" s="42"/>
      <c r="U1150" s="42"/>
      <c r="V1150" s="42"/>
      <c r="W1150" s="42"/>
      <c r="X1150" s="42"/>
      <c r="Y1150" s="42"/>
      <c r="Z1150" s="42"/>
      <c r="AA1150" s="42"/>
      <c r="AB1150" s="42"/>
      <c r="AC1150" s="42"/>
      <c r="AD1150" s="42"/>
      <c r="AE1150" s="42"/>
      <c r="AF1150" s="42"/>
      <c r="AG1150" s="42"/>
      <c r="AH1150" s="42"/>
      <c r="AI1150" s="42"/>
      <c r="AJ1150" s="42"/>
      <c r="AK1150" s="42"/>
      <c r="AL1150" s="42"/>
      <c r="AM1150" s="42"/>
      <c r="AN1150" s="42"/>
      <c r="AO1150" s="42"/>
      <c r="AP1150" s="42"/>
      <c r="AQ1150" s="42"/>
      <c r="AR1150" s="42"/>
      <c r="AS1150" s="42"/>
      <c r="AT1150" s="42"/>
      <c r="AU1150" s="42"/>
      <c r="AV1150" s="42"/>
      <c r="AW1150" s="42"/>
      <c r="AX1150" s="42"/>
      <c r="AY1150" s="42"/>
      <c r="AZ1150" s="42"/>
      <c r="BA1150" s="42"/>
      <c r="BB1150" s="42"/>
      <c r="BC1150" s="42"/>
      <c r="BD1150" s="42"/>
      <c r="BE1150" s="42"/>
      <c r="BF1150" s="42"/>
      <c r="BG1150" s="42"/>
      <c r="BH1150" s="42"/>
      <c r="BI1150" s="42"/>
      <c r="BJ1150" s="42"/>
      <c r="BK1150" s="42"/>
      <c r="BL1150" s="42"/>
      <c r="BM1150" s="42"/>
      <c r="BN1150" s="42"/>
      <c r="BO1150" s="42"/>
      <c r="BP1150" s="42"/>
      <c r="BQ1150" s="42"/>
      <c r="BR1150" s="42"/>
      <c r="BS1150" s="42"/>
      <c r="BT1150" s="42"/>
      <c r="BU1150" s="42"/>
      <c r="BV1150" s="42"/>
      <c r="BW1150" s="42"/>
      <c r="BX1150" s="42"/>
      <c r="BY1150" s="42"/>
      <c r="BZ1150" s="42"/>
      <c r="CA1150" s="42"/>
      <c r="CB1150" s="42"/>
      <c r="CC1150" s="42"/>
      <c r="CD1150" s="42"/>
      <c r="CE1150" s="42"/>
      <c r="CF1150" s="42"/>
      <c r="CG1150" s="42"/>
      <c r="CH1150" s="42"/>
      <c r="CI1150" s="42"/>
      <c r="CJ1150" s="42"/>
      <c r="CK1150" s="42"/>
      <c r="CL1150" s="42"/>
      <c r="CM1150" s="42"/>
      <c r="CN1150" s="42"/>
      <c r="CO1150" s="42"/>
      <c r="CP1150" s="42"/>
      <c r="CQ1150" s="42"/>
      <c r="CR1150" s="42"/>
      <c r="CS1150" s="42"/>
      <c r="CT1150" s="42"/>
      <c r="CU1150" s="42"/>
      <c r="CV1150" s="42"/>
      <c r="CW1150" s="42"/>
      <c r="CX1150" s="42"/>
      <c r="CY1150" s="42"/>
      <c r="CZ1150" s="42"/>
      <c r="DA1150" s="42"/>
      <c r="DB1150" s="42"/>
      <c r="DC1150" s="42"/>
      <c r="DD1150" s="42"/>
      <c r="DE1150" s="42"/>
      <c r="DF1150" s="42"/>
      <c r="DG1150" s="42"/>
      <c r="DH1150" s="42"/>
      <c r="DI1150" s="42"/>
      <c r="DJ1150" s="42"/>
      <c r="DK1150" s="42"/>
      <c r="DL1150" s="42"/>
      <c r="DM1150" s="42"/>
      <c r="DN1150" s="42"/>
      <c r="DO1150" s="42"/>
      <c r="DP1150" s="42"/>
      <c r="DQ1150" s="42"/>
      <c r="DR1150" s="42"/>
      <c r="DS1150" s="42"/>
      <c r="DT1150" s="42"/>
      <c r="DU1150" s="42"/>
      <c r="DV1150" s="42"/>
      <c r="DW1150" s="42"/>
      <c r="DX1150" s="42"/>
      <c r="DY1150" s="42"/>
      <c r="DZ1150" s="42"/>
      <c r="EA1150" s="42"/>
      <c r="EB1150" s="42"/>
      <c r="EC1150" s="42"/>
      <c r="ED1150" s="42"/>
      <c r="EE1150" s="42"/>
      <c r="EF1150" s="42"/>
      <c r="EG1150" s="42"/>
      <c r="EH1150" s="42"/>
      <c r="EI1150" s="42"/>
      <c r="EJ1150" s="42"/>
      <c r="EK1150" s="42"/>
      <c r="EL1150" s="42"/>
      <c r="EM1150" s="42"/>
      <c r="EN1150" s="42"/>
      <c r="EO1150" s="42"/>
      <c r="EP1150" s="42"/>
      <c r="EQ1150" s="42"/>
      <c r="ER1150" s="42"/>
      <c r="ES1150" s="42"/>
      <c r="ET1150" s="42"/>
      <c r="EU1150" s="42"/>
      <c r="EV1150" s="42"/>
      <c r="EW1150" s="42"/>
      <c r="EX1150" s="42"/>
      <c r="EY1150" s="42"/>
      <c r="EZ1150" s="42"/>
      <c r="FA1150" s="42"/>
      <c r="FB1150" s="42"/>
      <c r="FC1150" s="42"/>
      <c r="FD1150" s="42"/>
    </row>
    <row r="1151" spans="1:161" s="41" customFormat="1" x14ac:dyDescent="0.25">
      <c r="A1151" s="216">
        <f>A1148+1</f>
        <v>3</v>
      </c>
      <c r="B1151" s="216">
        <v>4754</v>
      </c>
      <c r="C1151" s="218" t="s">
        <v>531</v>
      </c>
      <c r="D1151" s="216">
        <v>330.1</v>
      </c>
      <c r="E1151" s="216" t="s">
        <v>167</v>
      </c>
      <c r="F1151" s="216">
        <v>2</v>
      </c>
      <c r="G1151" s="216" t="s">
        <v>75</v>
      </c>
      <c r="H1151" s="57" t="s">
        <v>66</v>
      </c>
      <c r="I1151" s="50">
        <f>SUM(I1152:I1155)</f>
        <v>3448554.7</v>
      </c>
      <c r="J1151" s="50">
        <f>SUM(J1152:J1155)</f>
        <v>10447</v>
      </c>
      <c r="K1151" s="50">
        <f>SUM(K1152:K1155)</f>
        <v>10447</v>
      </c>
      <c r="L1151" s="42"/>
      <c r="M1151" s="42"/>
      <c r="N1151" s="42"/>
      <c r="O1151" s="42"/>
      <c r="P1151" s="42"/>
      <c r="Q1151" s="42"/>
      <c r="R1151" s="42"/>
      <c r="S1151" s="42"/>
      <c r="T1151" s="42"/>
      <c r="U1151" s="42"/>
      <c r="V1151" s="42"/>
      <c r="W1151" s="42"/>
      <c r="X1151" s="42"/>
      <c r="Y1151" s="42"/>
      <c r="Z1151" s="42"/>
      <c r="AA1151" s="42"/>
      <c r="AB1151" s="42"/>
      <c r="AC1151" s="42"/>
      <c r="AD1151" s="42"/>
      <c r="AE1151" s="42"/>
      <c r="AF1151" s="42"/>
      <c r="AG1151" s="42"/>
      <c r="AH1151" s="42"/>
      <c r="AI1151" s="42"/>
      <c r="AJ1151" s="42"/>
      <c r="AK1151" s="42"/>
      <c r="AL1151" s="42"/>
      <c r="AM1151" s="42"/>
      <c r="AN1151" s="42"/>
      <c r="AO1151" s="42"/>
      <c r="AP1151" s="42"/>
      <c r="AQ1151" s="42"/>
      <c r="AR1151" s="42"/>
      <c r="AS1151" s="42"/>
      <c r="AT1151" s="42"/>
      <c r="AU1151" s="42"/>
      <c r="AV1151" s="42"/>
      <c r="AW1151" s="42"/>
      <c r="AX1151" s="42"/>
      <c r="AY1151" s="42"/>
      <c r="AZ1151" s="42"/>
      <c r="BA1151" s="42"/>
      <c r="BB1151" s="42"/>
      <c r="BC1151" s="42"/>
      <c r="BD1151" s="42"/>
      <c r="BE1151" s="42"/>
      <c r="BF1151" s="42"/>
      <c r="BG1151" s="42"/>
      <c r="BH1151" s="42"/>
      <c r="BI1151" s="42"/>
      <c r="BJ1151" s="42"/>
      <c r="BK1151" s="42"/>
      <c r="BL1151" s="42"/>
      <c r="BM1151" s="42"/>
      <c r="BN1151" s="42"/>
      <c r="BO1151" s="42"/>
      <c r="BP1151" s="42"/>
      <c r="BQ1151" s="42"/>
      <c r="BR1151" s="42"/>
      <c r="BS1151" s="42"/>
      <c r="BT1151" s="42"/>
      <c r="BU1151" s="42"/>
      <c r="BV1151" s="42"/>
      <c r="BW1151" s="42"/>
      <c r="BX1151" s="42"/>
      <c r="BY1151" s="42"/>
      <c r="BZ1151" s="42"/>
      <c r="CA1151" s="42"/>
      <c r="CB1151" s="42"/>
      <c r="CC1151" s="42"/>
      <c r="CD1151" s="42"/>
      <c r="CE1151" s="42"/>
      <c r="CF1151" s="42"/>
      <c r="CG1151" s="42"/>
      <c r="CH1151" s="42"/>
      <c r="CI1151" s="42"/>
      <c r="CJ1151" s="42"/>
      <c r="CK1151" s="42"/>
      <c r="CL1151" s="42"/>
      <c r="CM1151" s="42"/>
      <c r="CN1151" s="42"/>
      <c r="CO1151" s="42"/>
      <c r="CP1151" s="42"/>
      <c r="CQ1151" s="42"/>
      <c r="CR1151" s="42"/>
      <c r="CS1151" s="42"/>
      <c r="CT1151" s="42"/>
      <c r="CU1151" s="42"/>
      <c r="CV1151" s="42"/>
      <c r="CW1151" s="42"/>
      <c r="CX1151" s="42"/>
      <c r="CY1151" s="42"/>
      <c r="CZ1151" s="42"/>
      <c r="DA1151" s="42"/>
      <c r="DB1151" s="42"/>
      <c r="DC1151" s="42"/>
      <c r="DD1151" s="42"/>
      <c r="DE1151" s="42"/>
      <c r="DF1151" s="42"/>
      <c r="DG1151" s="42"/>
      <c r="DH1151" s="42"/>
      <c r="DI1151" s="42"/>
      <c r="DJ1151" s="42"/>
      <c r="DK1151" s="42"/>
      <c r="DL1151" s="42"/>
      <c r="DM1151" s="42"/>
      <c r="DN1151" s="42"/>
      <c r="DO1151" s="42"/>
      <c r="DP1151" s="42"/>
      <c r="DQ1151" s="42"/>
      <c r="DR1151" s="42"/>
      <c r="DS1151" s="42"/>
      <c r="DT1151" s="42"/>
      <c r="DU1151" s="42"/>
      <c r="DV1151" s="42"/>
      <c r="DW1151" s="42"/>
      <c r="DX1151" s="42"/>
      <c r="DY1151" s="42"/>
      <c r="DZ1151" s="42"/>
      <c r="EA1151" s="42"/>
      <c r="EB1151" s="42"/>
      <c r="EC1151" s="42"/>
      <c r="ED1151" s="42"/>
      <c r="EE1151" s="42"/>
      <c r="EF1151" s="42"/>
      <c r="EG1151" s="42"/>
      <c r="EH1151" s="42"/>
      <c r="EI1151" s="42"/>
      <c r="EJ1151" s="42"/>
      <c r="EK1151" s="42"/>
      <c r="EL1151" s="42"/>
      <c r="EM1151" s="42"/>
      <c r="EN1151" s="42"/>
      <c r="EO1151" s="42"/>
      <c r="EP1151" s="42"/>
      <c r="EQ1151" s="42"/>
      <c r="ER1151" s="42"/>
      <c r="ES1151" s="42"/>
      <c r="ET1151" s="42"/>
      <c r="EU1151" s="42"/>
      <c r="EV1151" s="42"/>
      <c r="EW1151" s="42"/>
      <c r="EX1151" s="42"/>
      <c r="EY1151" s="42"/>
      <c r="EZ1151" s="42"/>
      <c r="FA1151" s="42"/>
      <c r="FB1151" s="42"/>
      <c r="FC1151" s="42"/>
      <c r="FD1151" s="42"/>
    </row>
    <row r="1152" spans="1:161" s="41" customFormat="1" x14ac:dyDescent="0.25">
      <c r="A1152" s="217"/>
      <c r="B1152" s="217"/>
      <c r="C1152" s="219"/>
      <c r="D1152" s="217"/>
      <c r="E1152" s="217"/>
      <c r="F1152" s="217"/>
      <c r="G1152" s="217"/>
      <c r="H1152" s="57" t="s">
        <v>67</v>
      </c>
      <c r="I1152" s="50">
        <f>K1152*D1151</f>
        <v>1916890.7</v>
      </c>
      <c r="J1152" s="50">
        <f>I1152/D1151</f>
        <v>5807</v>
      </c>
      <c r="K1152" s="50">
        <v>5807</v>
      </c>
      <c r="L1152" s="42"/>
      <c r="M1152" s="42"/>
      <c r="N1152" s="42"/>
      <c r="O1152" s="42"/>
      <c r="P1152" s="42"/>
      <c r="Q1152" s="42"/>
      <c r="R1152" s="42"/>
      <c r="S1152" s="42"/>
      <c r="T1152" s="42"/>
      <c r="U1152" s="42"/>
      <c r="V1152" s="42"/>
      <c r="W1152" s="42"/>
      <c r="X1152" s="42"/>
      <c r="Y1152" s="42"/>
      <c r="Z1152" s="42"/>
      <c r="AA1152" s="42"/>
      <c r="AB1152" s="42"/>
      <c r="AC1152" s="42"/>
      <c r="AD1152" s="42"/>
      <c r="AE1152" s="42"/>
      <c r="AF1152" s="42"/>
      <c r="AG1152" s="42"/>
      <c r="AH1152" s="42"/>
      <c r="AI1152" s="42"/>
      <c r="AJ1152" s="42"/>
      <c r="AK1152" s="42"/>
      <c r="AL1152" s="42"/>
      <c r="AM1152" s="42"/>
      <c r="AN1152" s="42"/>
      <c r="AO1152" s="42"/>
      <c r="AP1152" s="42"/>
      <c r="AQ1152" s="42"/>
      <c r="AR1152" s="42"/>
      <c r="AS1152" s="42"/>
      <c r="AT1152" s="42"/>
      <c r="AU1152" s="42"/>
      <c r="AV1152" s="42"/>
      <c r="AW1152" s="42"/>
      <c r="AX1152" s="42"/>
      <c r="AY1152" s="42"/>
      <c r="AZ1152" s="42"/>
      <c r="BA1152" s="42"/>
      <c r="BB1152" s="42"/>
      <c r="BC1152" s="42"/>
      <c r="BD1152" s="42"/>
      <c r="BE1152" s="42"/>
      <c r="BF1152" s="42"/>
      <c r="BG1152" s="42"/>
      <c r="BH1152" s="42"/>
      <c r="BI1152" s="42"/>
      <c r="BJ1152" s="42"/>
      <c r="BK1152" s="42"/>
      <c r="BL1152" s="42"/>
      <c r="BM1152" s="42"/>
      <c r="BN1152" s="42"/>
      <c r="BO1152" s="42"/>
      <c r="BP1152" s="42"/>
      <c r="BQ1152" s="42"/>
      <c r="BR1152" s="42"/>
      <c r="BS1152" s="42"/>
      <c r="BT1152" s="42"/>
      <c r="BU1152" s="42"/>
      <c r="BV1152" s="42"/>
      <c r="BW1152" s="42"/>
      <c r="BX1152" s="42"/>
      <c r="BY1152" s="42"/>
      <c r="BZ1152" s="42"/>
      <c r="CA1152" s="42"/>
      <c r="CB1152" s="42"/>
      <c r="CC1152" s="42"/>
      <c r="CD1152" s="42"/>
      <c r="CE1152" s="42"/>
      <c r="CF1152" s="42"/>
      <c r="CG1152" s="42"/>
      <c r="CH1152" s="42"/>
      <c r="CI1152" s="42"/>
      <c r="CJ1152" s="42"/>
      <c r="CK1152" s="42"/>
      <c r="CL1152" s="42"/>
      <c r="CM1152" s="42"/>
      <c r="CN1152" s="42"/>
      <c r="CO1152" s="42"/>
      <c r="CP1152" s="42"/>
      <c r="CQ1152" s="42"/>
      <c r="CR1152" s="42"/>
      <c r="CS1152" s="42"/>
      <c r="CT1152" s="42"/>
      <c r="CU1152" s="42"/>
      <c r="CV1152" s="42"/>
      <c r="CW1152" s="42"/>
      <c r="CX1152" s="42"/>
      <c r="CY1152" s="42"/>
      <c r="CZ1152" s="42"/>
      <c r="DA1152" s="42"/>
      <c r="DB1152" s="42"/>
      <c r="DC1152" s="42"/>
      <c r="DD1152" s="42"/>
      <c r="DE1152" s="42"/>
      <c r="DF1152" s="42"/>
      <c r="DG1152" s="42"/>
      <c r="DH1152" s="42"/>
      <c r="DI1152" s="42"/>
      <c r="DJ1152" s="42"/>
      <c r="DK1152" s="42"/>
      <c r="DL1152" s="42"/>
      <c r="DM1152" s="42"/>
      <c r="DN1152" s="42"/>
      <c r="DO1152" s="42"/>
      <c r="DP1152" s="42"/>
      <c r="DQ1152" s="42"/>
      <c r="DR1152" s="42"/>
      <c r="DS1152" s="42"/>
      <c r="DT1152" s="42"/>
      <c r="DU1152" s="42"/>
      <c r="DV1152" s="42"/>
      <c r="DW1152" s="42"/>
      <c r="DX1152" s="42"/>
      <c r="DY1152" s="42"/>
      <c r="DZ1152" s="42"/>
      <c r="EA1152" s="42"/>
      <c r="EB1152" s="42"/>
      <c r="EC1152" s="42"/>
      <c r="ED1152" s="42"/>
      <c r="EE1152" s="42"/>
      <c r="EF1152" s="42"/>
      <c r="EG1152" s="42"/>
      <c r="EH1152" s="42"/>
      <c r="EI1152" s="42"/>
      <c r="EJ1152" s="42"/>
      <c r="EK1152" s="42"/>
      <c r="EL1152" s="42"/>
      <c r="EM1152" s="42"/>
      <c r="EN1152" s="42"/>
      <c r="EO1152" s="42"/>
      <c r="EP1152" s="42"/>
      <c r="EQ1152" s="42"/>
      <c r="ER1152" s="42"/>
      <c r="ES1152" s="42"/>
      <c r="ET1152" s="42"/>
      <c r="EU1152" s="42"/>
      <c r="EV1152" s="42"/>
      <c r="EW1152" s="42"/>
      <c r="EX1152" s="42"/>
      <c r="EY1152" s="42"/>
      <c r="EZ1152" s="42"/>
      <c r="FA1152" s="42"/>
      <c r="FB1152" s="42"/>
      <c r="FC1152" s="42"/>
      <c r="FD1152" s="42"/>
    </row>
    <row r="1153" spans="1:160" s="41" customFormat="1" x14ac:dyDescent="0.25">
      <c r="A1153" s="217"/>
      <c r="B1153" s="217"/>
      <c r="C1153" s="219"/>
      <c r="D1153" s="217"/>
      <c r="E1153" s="217"/>
      <c r="F1153" s="217"/>
      <c r="G1153" s="217"/>
      <c r="H1153" s="57" t="s">
        <v>69</v>
      </c>
      <c r="I1153" s="50">
        <f>K1153*D1151</f>
        <v>40932.400000000001</v>
      </c>
      <c r="J1153" s="50">
        <f>I1153/D1151</f>
        <v>124</v>
      </c>
      <c r="K1153" s="50">
        <v>124</v>
      </c>
      <c r="L1153" s="42"/>
      <c r="M1153" s="42"/>
      <c r="N1153" s="42"/>
      <c r="O1153" s="42"/>
      <c r="P1153" s="42"/>
      <c r="Q1153" s="42"/>
      <c r="R1153" s="42"/>
      <c r="S1153" s="42"/>
      <c r="T1153" s="42"/>
      <c r="U1153" s="42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  <c r="AF1153" s="42"/>
      <c r="AG1153" s="42"/>
      <c r="AH1153" s="42"/>
      <c r="AI1153" s="42"/>
      <c r="AJ1153" s="42"/>
      <c r="AK1153" s="42"/>
      <c r="AL1153" s="42"/>
      <c r="AM1153" s="42"/>
      <c r="AN1153" s="42"/>
      <c r="AO1153" s="42"/>
      <c r="AP1153" s="42"/>
      <c r="AQ1153" s="42"/>
      <c r="AR1153" s="42"/>
      <c r="AS1153" s="42"/>
      <c r="AT1153" s="42"/>
      <c r="AU1153" s="42"/>
      <c r="AV1153" s="42"/>
      <c r="AW1153" s="42"/>
      <c r="AX1153" s="42"/>
      <c r="AY1153" s="42"/>
      <c r="AZ1153" s="42"/>
      <c r="BA1153" s="42"/>
      <c r="BB1153" s="42"/>
      <c r="BC1153" s="42"/>
      <c r="BD1153" s="42"/>
      <c r="BE1153" s="42"/>
      <c r="BF1153" s="42"/>
      <c r="BG1153" s="42"/>
      <c r="BH1153" s="42"/>
      <c r="BI1153" s="42"/>
      <c r="BJ1153" s="42"/>
      <c r="BK1153" s="42"/>
      <c r="BL1153" s="42"/>
      <c r="BM1153" s="42"/>
      <c r="BN1153" s="42"/>
      <c r="BO1153" s="42"/>
      <c r="BP1153" s="42"/>
      <c r="BQ1153" s="42"/>
      <c r="BR1153" s="42"/>
      <c r="BS1153" s="42"/>
      <c r="BT1153" s="42"/>
      <c r="BU1153" s="42"/>
      <c r="BV1153" s="42"/>
      <c r="BW1153" s="42"/>
      <c r="BX1153" s="42"/>
      <c r="BY1153" s="42"/>
      <c r="BZ1153" s="42"/>
      <c r="CA1153" s="42"/>
      <c r="CB1153" s="42"/>
      <c r="CC1153" s="42"/>
      <c r="CD1153" s="42"/>
      <c r="CE1153" s="42"/>
      <c r="CF1153" s="42"/>
      <c r="CG1153" s="42"/>
      <c r="CH1153" s="42"/>
      <c r="CI1153" s="42"/>
      <c r="CJ1153" s="42"/>
      <c r="CK1153" s="42"/>
      <c r="CL1153" s="42"/>
      <c r="CM1153" s="42"/>
      <c r="CN1153" s="42"/>
      <c r="CO1153" s="42"/>
      <c r="CP1153" s="42"/>
      <c r="CQ1153" s="42"/>
      <c r="CR1153" s="42"/>
      <c r="CS1153" s="42"/>
      <c r="CT1153" s="42"/>
      <c r="CU1153" s="42"/>
      <c r="CV1153" s="42"/>
      <c r="CW1153" s="42"/>
      <c r="CX1153" s="42"/>
      <c r="CY1153" s="42"/>
      <c r="CZ1153" s="42"/>
      <c r="DA1153" s="42"/>
      <c r="DB1153" s="42"/>
      <c r="DC1153" s="42"/>
      <c r="DD1153" s="42"/>
      <c r="DE1153" s="42"/>
      <c r="DF1153" s="42"/>
      <c r="DG1153" s="42"/>
      <c r="DH1153" s="42"/>
      <c r="DI1153" s="42"/>
      <c r="DJ1153" s="42"/>
      <c r="DK1153" s="42"/>
      <c r="DL1153" s="42"/>
      <c r="DM1153" s="42"/>
      <c r="DN1153" s="42"/>
      <c r="DO1153" s="42"/>
      <c r="DP1153" s="42"/>
      <c r="DQ1153" s="42"/>
      <c r="DR1153" s="42"/>
      <c r="DS1153" s="42"/>
      <c r="DT1153" s="42"/>
      <c r="DU1153" s="42"/>
      <c r="DV1153" s="42"/>
      <c r="DW1153" s="42"/>
      <c r="DX1153" s="42"/>
      <c r="DY1153" s="42"/>
      <c r="DZ1153" s="42"/>
      <c r="EA1153" s="42"/>
      <c r="EB1153" s="42"/>
      <c r="EC1153" s="42"/>
      <c r="ED1153" s="42"/>
      <c r="EE1153" s="42"/>
      <c r="EF1153" s="42"/>
      <c r="EG1153" s="42"/>
      <c r="EH1153" s="42"/>
      <c r="EI1153" s="42"/>
      <c r="EJ1153" s="42"/>
      <c r="EK1153" s="42"/>
      <c r="EL1153" s="42"/>
      <c r="EM1153" s="42"/>
      <c r="EN1153" s="42"/>
      <c r="EO1153" s="42"/>
      <c r="EP1153" s="42"/>
      <c r="EQ1153" s="42"/>
      <c r="ER1153" s="42"/>
      <c r="ES1153" s="42"/>
      <c r="ET1153" s="42"/>
      <c r="EU1153" s="42"/>
      <c r="EV1153" s="42"/>
      <c r="EW1153" s="42"/>
      <c r="EX1153" s="42"/>
      <c r="EY1153" s="42"/>
      <c r="EZ1153" s="42"/>
      <c r="FA1153" s="42"/>
      <c r="FB1153" s="42"/>
      <c r="FC1153" s="42"/>
      <c r="FD1153" s="42"/>
    </row>
    <row r="1154" spans="1:160" s="41" customFormat="1" x14ac:dyDescent="0.25">
      <c r="A1154" s="217"/>
      <c r="B1154" s="217"/>
      <c r="C1154" s="219"/>
      <c r="D1154" s="217"/>
      <c r="E1154" s="217"/>
      <c r="F1154" s="217"/>
      <c r="G1154" s="217"/>
      <c r="H1154" s="57" t="s">
        <v>179</v>
      </c>
      <c r="I1154" s="50">
        <f>K1154*D1151</f>
        <v>1459372.1</v>
      </c>
      <c r="J1154" s="50">
        <f>I1154/D1151</f>
        <v>4421</v>
      </c>
      <c r="K1154" s="50">
        <v>4421</v>
      </c>
      <c r="L1154" s="42"/>
      <c r="M1154" s="42"/>
      <c r="N1154" s="42"/>
      <c r="O1154" s="42"/>
      <c r="P1154" s="42"/>
      <c r="Q1154" s="42"/>
      <c r="R1154" s="42"/>
      <c r="S1154" s="42"/>
      <c r="T1154" s="42"/>
      <c r="U1154" s="42"/>
      <c r="V1154" s="42"/>
      <c r="W1154" s="42"/>
      <c r="X1154" s="42"/>
      <c r="Y1154" s="42"/>
      <c r="Z1154" s="42"/>
      <c r="AA1154" s="42"/>
      <c r="AB1154" s="42"/>
      <c r="AC1154" s="42"/>
      <c r="AD1154" s="42"/>
      <c r="AE1154" s="42"/>
      <c r="AF1154" s="42"/>
      <c r="AG1154" s="42"/>
      <c r="AH1154" s="42"/>
      <c r="AI1154" s="42"/>
      <c r="AJ1154" s="42"/>
      <c r="AK1154" s="42"/>
      <c r="AL1154" s="42"/>
      <c r="AM1154" s="42"/>
      <c r="AN1154" s="42"/>
      <c r="AO1154" s="42"/>
      <c r="AP1154" s="42"/>
      <c r="AQ1154" s="42"/>
      <c r="AR1154" s="42"/>
      <c r="AS1154" s="42"/>
      <c r="AT1154" s="42"/>
      <c r="AU1154" s="42"/>
      <c r="AV1154" s="42"/>
      <c r="AW1154" s="42"/>
      <c r="AX1154" s="42"/>
      <c r="AY1154" s="42"/>
      <c r="AZ1154" s="42"/>
      <c r="BA1154" s="42"/>
      <c r="BB1154" s="42"/>
      <c r="BC1154" s="42"/>
      <c r="BD1154" s="42"/>
      <c r="BE1154" s="42"/>
      <c r="BF1154" s="42"/>
      <c r="BG1154" s="42"/>
      <c r="BH1154" s="42"/>
      <c r="BI1154" s="42"/>
      <c r="BJ1154" s="42"/>
      <c r="BK1154" s="42"/>
      <c r="BL1154" s="42"/>
      <c r="BM1154" s="42"/>
      <c r="BN1154" s="42"/>
      <c r="BO1154" s="42"/>
      <c r="BP1154" s="42"/>
      <c r="BQ1154" s="42"/>
      <c r="BR1154" s="42"/>
      <c r="BS1154" s="42"/>
      <c r="BT1154" s="42"/>
      <c r="BU1154" s="42"/>
      <c r="BV1154" s="42"/>
      <c r="BW1154" s="42"/>
      <c r="BX1154" s="42"/>
      <c r="BY1154" s="42"/>
      <c r="BZ1154" s="42"/>
      <c r="CA1154" s="42"/>
      <c r="CB1154" s="42"/>
      <c r="CC1154" s="42"/>
      <c r="CD1154" s="42"/>
      <c r="CE1154" s="42"/>
      <c r="CF1154" s="42"/>
      <c r="CG1154" s="42"/>
      <c r="CH1154" s="42"/>
      <c r="CI1154" s="42"/>
      <c r="CJ1154" s="42"/>
      <c r="CK1154" s="42"/>
      <c r="CL1154" s="42"/>
      <c r="CM1154" s="42"/>
      <c r="CN1154" s="42"/>
      <c r="CO1154" s="42"/>
      <c r="CP1154" s="42"/>
      <c r="CQ1154" s="42"/>
      <c r="CR1154" s="42"/>
      <c r="CS1154" s="42"/>
      <c r="CT1154" s="42"/>
      <c r="CU1154" s="42"/>
      <c r="CV1154" s="42"/>
      <c r="CW1154" s="42"/>
      <c r="CX1154" s="42"/>
      <c r="CY1154" s="42"/>
      <c r="CZ1154" s="42"/>
      <c r="DA1154" s="42"/>
      <c r="DB1154" s="42"/>
      <c r="DC1154" s="42"/>
      <c r="DD1154" s="42"/>
      <c r="DE1154" s="42"/>
      <c r="DF1154" s="42"/>
      <c r="DG1154" s="42"/>
      <c r="DH1154" s="42"/>
      <c r="DI1154" s="42"/>
      <c r="DJ1154" s="42"/>
      <c r="DK1154" s="42"/>
      <c r="DL1154" s="42"/>
      <c r="DM1154" s="42"/>
      <c r="DN1154" s="42"/>
      <c r="DO1154" s="42"/>
      <c r="DP1154" s="42"/>
      <c r="DQ1154" s="42"/>
      <c r="DR1154" s="42"/>
      <c r="DS1154" s="42"/>
      <c r="DT1154" s="42"/>
      <c r="DU1154" s="42"/>
      <c r="DV1154" s="42"/>
      <c r="DW1154" s="42"/>
      <c r="DX1154" s="42"/>
      <c r="DY1154" s="42"/>
      <c r="DZ1154" s="42"/>
      <c r="EA1154" s="42"/>
      <c r="EB1154" s="42"/>
      <c r="EC1154" s="42"/>
      <c r="ED1154" s="42"/>
      <c r="EE1154" s="42"/>
      <c r="EF1154" s="42"/>
      <c r="EG1154" s="42"/>
      <c r="EH1154" s="42"/>
      <c r="EI1154" s="42"/>
      <c r="EJ1154" s="42"/>
      <c r="EK1154" s="42"/>
      <c r="EL1154" s="42"/>
      <c r="EM1154" s="42"/>
      <c r="EN1154" s="42"/>
      <c r="EO1154" s="42"/>
      <c r="EP1154" s="42"/>
      <c r="EQ1154" s="42"/>
      <c r="ER1154" s="42"/>
      <c r="ES1154" s="42"/>
      <c r="ET1154" s="42"/>
      <c r="EU1154" s="42"/>
      <c r="EV1154" s="42"/>
      <c r="EW1154" s="42"/>
      <c r="EX1154" s="42"/>
      <c r="EY1154" s="42"/>
      <c r="EZ1154" s="42"/>
      <c r="FA1154" s="42"/>
      <c r="FB1154" s="42"/>
      <c r="FC1154" s="42"/>
      <c r="FD1154" s="42"/>
    </row>
    <row r="1155" spans="1:160" s="41" customFormat="1" x14ac:dyDescent="0.25">
      <c r="A1155" s="222"/>
      <c r="B1155" s="222"/>
      <c r="C1155" s="226"/>
      <c r="D1155" s="222"/>
      <c r="E1155" s="222"/>
      <c r="F1155" s="222"/>
      <c r="G1155" s="222"/>
      <c r="H1155" s="57" t="s">
        <v>69</v>
      </c>
      <c r="I1155" s="50">
        <f>K1155*D1151</f>
        <v>31359.5</v>
      </c>
      <c r="J1155" s="50">
        <f>I1155/D1151</f>
        <v>95</v>
      </c>
      <c r="K1155" s="50">
        <v>95</v>
      </c>
      <c r="L1155" s="42"/>
      <c r="M1155" s="42"/>
      <c r="N1155" s="42"/>
      <c r="O1155" s="42"/>
      <c r="P1155" s="42"/>
      <c r="Q1155" s="42"/>
      <c r="R1155" s="42"/>
      <c r="S1155" s="42"/>
      <c r="T1155" s="42"/>
      <c r="U1155" s="42"/>
      <c r="V1155" s="42"/>
      <c r="W1155" s="42"/>
      <c r="X1155" s="42"/>
      <c r="Y1155" s="42"/>
      <c r="Z1155" s="42"/>
      <c r="AA1155" s="42"/>
      <c r="AB1155" s="42"/>
      <c r="AC1155" s="42"/>
      <c r="AD1155" s="42"/>
      <c r="AE1155" s="42"/>
      <c r="AF1155" s="42"/>
      <c r="AG1155" s="42"/>
      <c r="AH1155" s="42"/>
      <c r="AI1155" s="42"/>
      <c r="AJ1155" s="42"/>
      <c r="AK1155" s="42"/>
      <c r="AL1155" s="42"/>
      <c r="AM1155" s="42"/>
      <c r="AN1155" s="42"/>
      <c r="AO1155" s="42"/>
      <c r="AP1155" s="42"/>
      <c r="AQ1155" s="42"/>
      <c r="AR1155" s="42"/>
      <c r="AS1155" s="42"/>
      <c r="AT1155" s="42"/>
      <c r="AU1155" s="42"/>
      <c r="AV1155" s="42"/>
      <c r="AW1155" s="42"/>
      <c r="AX1155" s="42"/>
      <c r="AY1155" s="42"/>
      <c r="AZ1155" s="42"/>
      <c r="BA1155" s="42"/>
      <c r="BB1155" s="42"/>
      <c r="BC1155" s="42"/>
      <c r="BD1155" s="42"/>
      <c r="BE1155" s="42"/>
      <c r="BF1155" s="42"/>
      <c r="BG1155" s="42"/>
      <c r="BH1155" s="42"/>
      <c r="BI1155" s="42"/>
      <c r="BJ1155" s="42"/>
      <c r="BK1155" s="42"/>
      <c r="BL1155" s="42"/>
      <c r="BM1155" s="42"/>
      <c r="BN1155" s="42"/>
      <c r="BO1155" s="42"/>
      <c r="BP1155" s="42"/>
      <c r="BQ1155" s="42"/>
      <c r="BR1155" s="42"/>
      <c r="BS1155" s="42"/>
      <c r="BT1155" s="42"/>
      <c r="BU1155" s="42"/>
      <c r="BV1155" s="42"/>
      <c r="BW1155" s="42"/>
      <c r="BX1155" s="42"/>
      <c r="BY1155" s="42"/>
      <c r="BZ1155" s="42"/>
      <c r="CA1155" s="42"/>
      <c r="CB1155" s="42"/>
      <c r="CC1155" s="42"/>
      <c r="CD1155" s="42"/>
      <c r="CE1155" s="42"/>
      <c r="CF1155" s="42"/>
      <c r="CG1155" s="42"/>
      <c r="CH1155" s="42"/>
      <c r="CI1155" s="42"/>
      <c r="CJ1155" s="42"/>
      <c r="CK1155" s="42"/>
      <c r="CL1155" s="42"/>
      <c r="CM1155" s="42"/>
      <c r="CN1155" s="42"/>
      <c r="CO1155" s="42"/>
      <c r="CP1155" s="42"/>
      <c r="CQ1155" s="42"/>
      <c r="CR1155" s="42"/>
      <c r="CS1155" s="42"/>
      <c r="CT1155" s="42"/>
      <c r="CU1155" s="42"/>
      <c r="CV1155" s="42"/>
      <c r="CW1155" s="42"/>
      <c r="CX1155" s="42"/>
      <c r="CY1155" s="42"/>
      <c r="CZ1155" s="42"/>
      <c r="DA1155" s="42"/>
      <c r="DB1155" s="42"/>
      <c r="DC1155" s="42"/>
      <c r="DD1155" s="42"/>
      <c r="DE1155" s="42"/>
      <c r="DF1155" s="42"/>
      <c r="DG1155" s="42"/>
      <c r="DH1155" s="42"/>
      <c r="DI1155" s="42"/>
      <c r="DJ1155" s="42"/>
      <c r="DK1155" s="42"/>
      <c r="DL1155" s="42"/>
      <c r="DM1155" s="42"/>
      <c r="DN1155" s="42"/>
      <c r="DO1155" s="42"/>
      <c r="DP1155" s="42"/>
      <c r="DQ1155" s="42"/>
      <c r="DR1155" s="42"/>
      <c r="DS1155" s="42"/>
      <c r="DT1155" s="42"/>
      <c r="DU1155" s="42"/>
      <c r="DV1155" s="42"/>
      <c r="DW1155" s="42"/>
      <c r="DX1155" s="42"/>
      <c r="DY1155" s="42"/>
      <c r="DZ1155" s="42"/>
      <c r="EA1155" s="42"/>
      <c r="EB1155" s="42"/>
      <c r="EC1155" s="42"/>
      <c r="ED1155" s="42"/>
      <c r="EE1155" s="42"/>
      <c r="EF1155" s="42"/>
      <c r="EG1155" s="42"/>
      <c r="EH1155" s="42"/>
      <c r="EI1155" s="42"/>
      <c r="EJ1155" s="42"/>
      <c r="EK1155" s="42"/>
      <c r="EL1155" s="42"/>
      <c r="EM1155" s="42"/>
      <c r="EN1155" s="42"/>
      <c r="EO1155" s="42"/>
      <c r="EP1155" s="42"/>
      <c r="EQ1155" s="42"/>
      <c r="ER1155" s="42"/>
      <c r="ES1155" s="42"/>
      <c r="ET1155" s="42"/>
      <c r="EU1155" s="42"/>
      <c r="EV1155" s="42"/>
      <c r="EW1155" s="42"/>
      <c r="EX1155" s="42"/>
      <c r="EY1155" s="42"/>
      <c r="EZ1155" s="42"/>
      <c r="FA1155" s="42"/>
      <c r="FB1155" s="42"/>
      <c r="FC1155" s="42"/>
      <c r="FD1155" s="42"/>
    </row>
    <row r="1156" spans="1:160" s="41" customFormat="1" x14ac:dyDescent="0.25">
      <c r="A1156" s="71" t="s">
        <v>29</v>
      </c>
      <c r="B1156" s="114"/>
      <c r="C1156" s="91"/>
      <c r="D1156" s="109">
        <f>D1157+D1160+D1162+D1169+D1172+D1174+D1176+D1179+D1181+D1184+D1189+D1193+D1196+D1198</f>
        <v>10977.49</v>
      </c>
      <c r="E1156" s="53"/>
      <c r="F1156" s="53"/>
      <c r="G1156" s="109"/>
      <c r="H1156" s="55"/>
      <c r="I1156" s="50">
        <f>I1157+I1160+I1162+I1169+I1172+I1174+I1176+I1179+I1181+I1184+I1189+I1193+I1196+I1198</f>
        <v>27682266.890000001</v>
      </c>
      <c r="J1156" s="50"/>
      <c r="K1156" s="50"/>
      <c r="L1156" s="42"/>
      <c r="M1156" s="42"/>
      <c r="N1156" s="42"/>
      <c r="O1156" s="42"/>
      <c r="P1156" s="42"/>
      <c r="Q1156" s="42"/>
      <c r="R1156" s="42"/>
      <c r="S1156" s="42"/>
      <c r="T1156" s="42"/>
      <c r="U1156" s="42"/>
      <c r="V1156" s="42"/>
      <c r="W1156" s="42"/>
      <c r="X1156" s="42"/>
      <c r="Y1156" s="42"/>
      <c r="Z1156" s="42"/>
      <c r="AA1156" s="42"/>
      <c r="AB1156" s="42"/>
      <c r="AC1156" s="42"/>
      <c r="AD1156" s="42"/>
      <c r="AE1156" s="42"/>
      <c r="AF1156" s="42"/>
      <c r="AG1156" s="42"/>
      <c r="AH1156" s="42"/>
      <c r="AI1156" s="42"/>
      <c r="AJ1156" s="42"/>
      <c r="AK1156" s="42"/>
      <c r="AL1156" s="42"/>
      <c r="AM1156" s="42"/>
      <c r="AN1156" s="42"/>
      <c r="AO1156" s="42"/>
      <c r="AP1156" s="42"/>
      <c r="AQ1156" s="42"/>
      <c r="AR1156" s="42"/>
      <c r="AS1156" s="42"/>
      <c r="AT1156" s="42"/>
      <c r="AU1156" s="42"/>
      <c r="AV1156" s="42"/>
      <c r="AW1156" s="42"/>
      <c r="AX1156" s="42"/>
      <c r="AY1156" s="42"/>
      <c r="AZ1156" s="42"/>
      <c r="BA1156" s="42"/>
      <c r="BB1156" s="42"/>
      <c r="BC1156" s="42"/>
      <c r="BD1156" s="42"/>
      <c r="BE1156" s="42"/>
      <c r="BF1156" s="42"/>
      <c r="BG1156" s="42"/>
      <c r="BH1156" s="42"/>
      <c r="BI1156" s="42"/>
      <c r="BJ1156" s="42"/>
      <c r="BK1156" s="42"/>
      <c r="BL1156" s="42"/>
      <c r="BM1156" s="42"/>
      <c r="BN1156" s="42"/>
      <c r="BO1156" s="42"/>
      <c r="BP1156" s="42"/>
      <c r="BQ1156" s="42"/>
      <c r="BR1156" s="42"/>
      <c r="BS1156" s="42"/>
      <c r="BT1156" s="42"/>
      <c r="BU1156" s="42"/>
      <c r="BV1156" s="42"/>
      <c r="BW1156" s="42"/>
      <c r="BX1156" s="42"/>
      <c r="BY1156" s="42"/>
      <c r="BZ1156" s="42"/>
      <c r="CA1156" s="42"/>
      <c r="CB1156" s="42"/>
      <c r="CC1156" s="42"/>
      <c r="CD1156" s="42"/>
      <c r="CE1156" s="42"/>
      <c r="CF1156" s="42"/>
      <c r="CG1156" s="42"/>
      <c r="CH1156" s="42"/>
      <c r="CI1156" s="42"/>
      <c r="CJ1156" s="42"/>
      <c r="CK1156" s="42"/>
      <c r="CL1156" s="42"/>
      <c r="CM1156" s="42"/>
      <c r="CN1156" s="42"/>
      <c r="CO1156" s="42"/>
      <c r="CP1156" s="42"/>
      <c r="CQ1156" s="42"/>
      <c r="CR1156" s="42"/>
      <c r="CS1156" s="42"/>
      <c r="CT1156" s="42"/>
      <c r="CU1156" s="42"/>
      <c r="CV1156" s="42"/>
      <c r="CW1156" s="42"/>
      <c r="CX1156" s="42"/>
      <c r="CY1156" s="42"/>
      <c r="CZ1156" s="42"/>
      <c r="DA1156" s="42"/>
      <c r="DB1156" s="42"/>
      <c r="DC1156" s="42"/>
      <c r="DD1156" s="42"/>
      <c r="DE1156" s="42"/>
      <c r="DF1156" s="42"/>
      <c r="DG1156" s="42"/>
      <c r="DH1156" s="42"/>
      <c r="DI1156" s="42"/>
      <c r="DJ1156" s="42"/>
      <c r="DK1156" s="42"/>
      <c r="DL1156" s="42"/>
      <c r="DM1156" s="42"/>
      <c r="DN1156" s="42"/>
      <c r="DO1156" s="42"/>
      <c r="DP1156" s="42"/>
      <c r="DQ1156" s="42"/>
      <c r="DR1156" s="42"/>
      <c r="DS1156" s="42"/>
      <c r="DT1156" s="42"/>
      <c r="DU1156" s="42"/>
      <c r="DV1156" s="42"/>
      <c r="DW1156" s="42"/>
      <c r="DX1156" s="42"/>
      <c r="DY1156" s="42"/>
      <c r="DZ1156" s="42"/>
      <c r="EA1156" s="42"/>
      <c r="EB1156" s="42"/>
      <c r="EC1156" s="42"/>
      <c r="ED1156" s="42"/>
      <c r="EE1156" s="42"/>
      <c r="EF1156" s="42"/>
      <c r="EG1156" s="42"/>
      <c r="EH1156" s="42"/>
      <c r="EI1156" s="42"/>
      <c r="EJ1156" s="42"/>
      <c r="EK1156" s="42"/>
      <c r="EL1156" s="42"/>
      <c r="EM1156" s="42"/>
      <c r="EN1156" s="42"/>
      <c r="EO1156" s="42"/>
      <c r="EP1156" s="42"/>
      <c r="EQ1156" s="42"/>
      <c r="ER1156" s="42"/>
      <c r="ES1156" s="42"/>
      <c r="ET1156" s="42"/>
      <c r="EU1156" s="42"/>
      <c r="EV1156" s="42"/>
      <c r="EW1156" s="42"/>
      <c r="EX1156" s="42"/>
      <c r="EY1156" s="42"/>
      <c r="EZ1156" s="42"/>
      <c r="FA1156" s="42"/>
      <c r="FB1156" s="42"/>
      <c r="FC1156" s="42"/>
    </row>
    <row r="1157" spans="1:160" x14ac:dyDescent="0.25">
      <c r="A1157" s="265">
        <v>1</v>
      </c>
      <c r="B1157" s="265">
        <v>4391</v>
      </c>
      <c r="C1157" s="212" t="s">
        <v>346</v>
      </c>
      <c r="D1157" s="271">
        <v>998.1</v>
      </c>
      <c r="E1157" s="265" t="s">
        <v>68</v>
      </c>
      <c r="F1157" s="265">
        <v>2</v>
      </c>
      <c r="G1157" s="105"/>
      <c r="H1157" s="57" t="s">
        <v>66</v>
      </c>
      <c r="I1157" s="50">
        <f>SUM(I1158:I1159)</f>
        <v>168404.42</v>
      </c>
      <c r="J1157" s="50">
        <f>SUM(J1158:J1159)</f>
        <v>168.72</v>
      </c>
      <c r="K1157" s="50">
        <f>SUM(K1158:K1159)</f>
        <v>179</v>
      </c>
    </row>
    <row r="1158" spans="1:160" ht="63" x14ac:dyDescent="0.25">
      <c r="A1158" s="266"/>
      <c r="B1158" s="266"/>
      <c r="C1158" s="213"/>
      <c r="D1158" s="272"/>
      <c r="E1158" s="266"/>
      <c r="F1158" s="266"/>
      <c r="G1158" s="105" t="s">
        <v>70</v>
      </c>
      <c r="H1158" s="92" t="s">
        <v>168</v>
      </c>
      <c r="I1158" s="50">
        <v>128056.23</v>
      </c>
      <c r="J1158" s="50">
        <f>I1158/D1157</f>
        <v>128.30000000000001</v>
      </c>
      <c r="K1158" s="50">
        <f>116+21</f>
        <v>137</v>
      </c>
    </row>
    <row r="1159" spans="1:160" ht="63" x14ac:dyDescent="0.25">
      <c r="A1159" s="266"/>
      <c r="B1159" s="266"/>
      <c r="C1159" s="213"/>
      <c r="D1159" s="272"/>
      <c r="E1159" s="266"/>
      <c r="F1159" s="266"/>
      <c r="G1159" s="105" t="s">
        <v>71</v>
      </c>
      <c r="H1159" s="92" t="s">
        <v>168</v>
      </c>
      <c r="I1159" s="50">
        <v>40348.19</v>
      </c>
      <c r="J1159" s="50">
        <f>I1159/D1157</f>
        <v>40.42</v>
      </c>
      <c r="K1159" s="50">
        <f>21+21</f>
        <v>42</v>
      </c>
    </row>
    <row r="1160" spans="1:160" x14ac:dyDescent="0.25">
      <c r="A1160" s="265">
        <f>A1157+1</f>
        <v>2</v>
      </c>
      <c r="B1160" s="265">
        <v>4552</v>
      </c>
      <c r="C1160" s="212" t="s">
        <v>347</v>
      </c>
      <c r="D1160" s="271">
        <v>301.45999999999998</v>
      </c>
      <c r="E1160" s="265" t="s">
        <v>68</v>
      </c>
      <c r="F1160" s="265">
        <v>2</v>
      </c>
      <c r="G1160" s="216" t="s">
        <v>65</v>
      </c>
      <c r="H1160" s="57" t="s">
        <v>66</v>
      </c>
      <c r="I1160" s="50">
        <f>SUM(I1161:I1161)</f>
        <v>71046.59</v>
      </c>
      <c r="J1160" s="50">
        <f>SUM(J1161:J1161)</f>
        <v>235.68</v>
      </c>
      <c r="K1160" s="50">
        <f>SUM(K1161:K1161)</f>
        <v>247</v>
      </c>
    </row>
    <row r="1161" spans="1:160" ht="63" x14ac:dyDescent="0.25">
      <c r="A1161" s="266"/>
      <c r="B1161" s="266"/>
      <c r="C1161" s="213"/>
      <c r="D1161" s="272"/>
      <c r="E1161" s="266"/>
      <c r="F1161" s="266"/>
      <c r="G1161" s="222"/>
      <c r="H1161" s="92" t="s">
        <v>178</v>
      </c>
      <c r="I1161" s="50">
        <v>71046.59</v>
      </c>
      <c r="J1161" s="50">
        <f>I1161/D1160</f>
        <v>235.68</v>
      </c>
      <c r="K1161" s="50">
        <f>151+96</f>
        <v>247</v>
      </c>
    </row>
    <row r="1162" spans="1:160" x14ac:dyDescent="0.25">
      <c r="A1162" s="265">
        <f>A1160+1</f>
        <v>3</v>
      </c>
      <c r="B1162" s="265">
        <v>4554</v>
      </c>
      <c r="C1162" s="212" t="s">
        <v>348</v>
      </c>
      <c r="D1162" s="271">
        <v>304.41000000000003</v>
      </c>
      <c r="E1162" s="265" t="s">
        <v>68</v>
      </c>
      <c r="F1162" s="265">
        <v>2</v>
      </c>
      <c r="G1162" s="105"/>
      <c r="H1162" s="57" t="s">
        <v>66</v>
      </c>
      <c r="I1162" s="50">
        <f>SUM(I1163:I1168)</f>
        <v>1115883.3400000001</v>
      </c>
      <c r="J1162" s="50">
        <f t="shared" ref="J1162:K1162" si="49">SUM(J1163:J1168)</f>
        <v>3665.72</v>
      </c>
      <c r="K1162" s="50">
        <f t="shared" si="49"/>
        <v>3676</v>
      </c>
    </row>
    <row r="1163" spans="1:160" ht="63" x14ac:dyDescent="0.25">
      <c r="A1163" s="266"/>
      <c r="B1163" s="266"/>
      <c r="C1163" s="213"/>
      <c r="D1163" s="272"/>
      <c r="E1163" s="266"/>
      <c r="F1163" s="266"/>
      <c r="G1163" s="216" t="s">
        <v>70</v>
      </c>
      <c r="H1163" s="92" t="s">
        <v>168</v>
      </c>
      <c r="I1163" s="50">
        <v>39055.800000000003</v>
      </c>
      <c r="J1163" s="50">
        <f>I1163/D1162</f>
        <v>128.30000000000001</v>
      </c>
      <c r="K1163" s="50">
        <f>116+21</f>
        <v>137</v>
      </c>
    </row>
    <row r="1164" spans="1:160" x14ac:dyDescent="0.25">
      <c r="A1164" s="266"/>
      <c r="B1164" s="266"/>
      <c r="C1164" s="213"/>
      <c r="D1164" s="272"/>
      <c r="E1164" s="266"/>
      <c r="F1164" s="266"/>
      <c r="G1164" s="217"/>
      <c r="H1164" s="57" t="s">
        <v>67</v>
      </c>
      <c r="I1164" s="50">
        <f>D1162*K1164</f>
        <v>886137.51</v>
      </c>
      <c r="J1164" s="50">
        <f>I1164/D1162</f>
        <v>2911</v>
      </c>
      <c r="K1164" s="72">
        <v>2911</v>
      </c>
    </row>
    <row r="1165" spans="1:160" x14ac:dyDescent="0.25">
      <c r="A1165" s="266"/>
      <c r="B1165" s="266"/>
      <c r="C1165" s="213"/>
      <c r="D1165" s="272"/>
      <c r="E1165" s="266"/>
      <c r="F1165" s="266"/>
      <c r="G1165" s="222"/>
      <c r="H1165" s="57" t="s">
        <v>69</v>
      </c>
      <c r="I1165" s="50">
        <f>D1162*K1165</f>
        <v>18873.419999999998</v>
      </c>
      <c r="J1165" s="50">
        <f>I1165/D1162</f>
        <v>62</v>
      </c>
      <c r="K1165" s="72">
        <v>62</v>
      </c>
    </row>
    <row r="1166" spans="1:160" ht="63" x14ac:dyDescent="0.25">
      <c r="A1166" s="266"/>
      <c r="B1166" s="266"/>
      <c r="C1166" s="213"/>
      <c r="D1166" s="272"/>
      <c r="E1166" s="266"/>
      <c r="F1166" s="266"/>
      <c r="G1166" s="216" t="s">
        <v>71</v>
      </c>
      <c r="H1166" s="92" t="s">
        <v>168</v>
      </c>
      <c r="I1166" s="50">
        <v>12305.77</v>
      </c>
      <c r="J1166" s="50">
        <f>I1166/D1162</f>
        <v>40.42</v>
      </c>
      <c r="K1166" s="50">
        <f>21+21</f>
        <v>42</v>
      </c>
    </row>
    <row r="1167" spans="1:160" x14ac:dyDescent="0.25">
      <c r="A1167" s="266"/>
      <c r="B1167" s="266"/>
      <c r="C1167" s="213"/>
      <c r="D1167" s="272"/>
      <c r="E1167" s="266"/>
      <c r="F1167" s="266"/>
      <c r="G1167" s="217"/>
      <c r="H1167" s="57" t="s">
        <v>67</v>
      </c>
      <c r="I1167" s="50">
        <f>D1162*K1167</f>
        <v>156162.32999999999</v>
      </c>
      <c r="J1167" s="50">
        <f>I1167/D1162</f>
        <v>513</v>
      </c>
      <c r="K1167" s="72">
        <v>513</v>
      </c>
    </row>
    <row r="1168" spans="1:160" x14ac:dyDescent="0.25">
      <c r="A1168" s="266"/>
      <c r="B1168" s="266"/>
      <c r="C1168" s="213"/>
      <c r="D1168" s="272"/>
      <c r="E1168" s="266"/>
      <c r="F1168" s="266"/>
      <c r="G1168" s="222"/>
      <c r="H1168" s="57" t="s">
        <v>69</v>
      </c>
      <c r="I1168" s="50">
        <f>D1162*K1168</f>
        <v>3348.51</v>
      </c>
      <c r="J1168" s="50">
        <f>I1168/D1162</f>
        <v>11</v>
      </c>
      <c r="K1168" s="72">
        <v>11</v>
      </c>
    </row>
    <row r="1169" spans="1:11" x14ac:dyDescent="0.25">
      <c r="A1169" s="265">
        <f>A1162+1</f>
        <v>4</v>
      </c>
      <c r="B1169" s="265">
        <v>4486</v>
      </c>
      <c r="C1169" s="212" t="s">
        <v>349</v>
      </c>
      <c r="D1169" s="271">
        <v>285.2</v>
      </c>
      <c r="E1169" s="265" t="s">
        <v>68</v>
      </c>
      <c r="F1169" s="265">
        <v>2</v>
      </c>
      <c r="G1169" s="105"/>
      <c r="H1169" s="57" t="s">
        <v>66</v>
      </c>
      <c r="I1169" s="50">
        <f>SUM(I1170:I1171)</f>
        <v>92041.17</v>
      </c>
      <c r="J1169" s="50">
        <f>SUM(J1170:J1171)</f>
        <v>322.73</v>
      </c>
      <c r="K1169" s="50">
        <f>SUM(K1170:K1171)</f>
        <v>333</v>
      </c>
    </row>
    <row r="1170" spans="1:11" ht="63" x14ac:dyDescent="0.25">
      <c r="A1170" s="266"/>
      <c r="B1170" s="266"/>
      <c r="C1170" s="213"/>
      <c r="D1170" s="272"/>
      <c r="E1170" s="266"/>
      <c r="F1170" s="266"/>
      <c r="G1170" s="105" t="s">
        <v>70</v>
      </c>
      <c r="H1170" s="92" t="s">
        <v>168</v>
      </c>
      <c r="I1170" s="50">
        <v>58551.56</v>
      </c>
      <c r="J1170" s="50">
        <f>I1170/D1169</f>
        <v>205.3</v>
      </c>
      <c r="K1170" s="72">
        <f>116+98</f>
        <v>214</v>
      </c>
    </row>
    <row r="1171" spans="1:11" ht="63" x14ac:dyDescent="0.25">
      <c r="A1171" s="266"/>
      <c r="B1171" s="266"/>
      <c r="C1171" s="213"/>
      <c r="D1171" s="272"/>
      <c r="E1171" s="266"/>
      <c r="F1171" s="266"/>
      <c r="G1171" s="105" t="s">
        <v>71</v>
      </c>
      <c r="H1171" s="92" t="s">
        <v>168</v>
      </c>
      <c r="I1171" s="50">
        <v>33489.61</v>
      </c>
      <c r="J1171" s="50">
        <f>I1171/D1169</f>
        <v>117.43</v>
      </c>
      <c r="K1171" s="50">
        <f>21+98</f>
        <v>119</v>
      </c>
    </row>
    <row r="1172" spans="1:11" x14ac:dyDescent="0.25">
      <c r="A1172" s="265">
        <f>A1169+1</f>
        <v>5</v>
      </c>
      <c r="B1172" s="265">
        <v>4616</v>
      </c>
      <c r="C1172" s="212" t="s">
        <v>350</v>
      </c>
      <c r="D1172" s="271">
        <v>404.18</v>
      </c>
      <c r="E1172" s="265" t="s">
        <v>68</v>
      </c>
      <c r="F1172" s="265">
        <v>2</v>
      </c>
      <c r="G1172" s="216" t="s">
        <v>65</v>
      </c>
      <c r="H1172" s="57" t="s">
        <v>66</v>
      </c>
      <c r="I1172" s="50">
        <f>SUM(I1173:I1173)</f>
        <v>95255.12</v>
      </c>
      <c r="J1172" s="50">
        <f>SUM(J1173:J1173)</f>
        <v>235.67</v>
      </c>
      <c r="K1172" s="50">
        <f>SUM(K1173:K1173)</f>
        <v>247</v>
      </c>
    </row>
    <row r="1173" spans="1:11" ht="63" x14ac:dyDescent="0.25">
      <c r="A1173" s="266"/>
      <c r="B1173" s="266"/>
      <c r="C1173" s="213"/>
      <c r="D1173" s="272"/>
      <c r="E1173" s="266"/>
      <c r="F1173" s="266"/>
      <c r="G1173" s="222"/>
      <c r="H1173" s="92" t="s">
        <v>178</v>
      </c>
      <c r="I1173" s="50">
        <v>95255.12</v>
      </c>
      <c r="J1173" s="50">
        <f>I1173/D1172</f>
        <v>235.67</v>
      </c>
      <c r="K1173" s="50">
        <f>151+96</f>
        <v>247</v>
      </c>
    </row>
    <row r="1174" spans="1:11" x14ac:dyDescent="0.25">
      <c r="A1174" s="278">
        <v>6</v>
      </c>
      <c r="B1174" s="278">
        <v>4399</v>
      </c>
      <c r="C1174" s="241" t="s">
        <v>435</v>
      </c>
      <c r="D1174" s="290">
        <v>351</v>
      </c>
      <c r="E1174" s="265" t="s">
        <v>68</v>
      </c>
      <c r="F1174" s="265">
        <v>2</v>
      </c>
      <c r="G1174" s="216" t="s">
        <v>65</v>
      </c>
      <c r="H1174" s="57" t="s">
        <v>66</v>
      </c>
      <c r="I1174" s="50">
        <f>SUM(I1175:I1175)</f>
        <v>82721.929999999993</v>
      </c>
      <c r="J1174" s="50">
        <f>SUM(J1175:J1175)</f>
        <v>235.68</v>
      </c>
      <c r="K1174" s="50">
        <f>SUM(K1175:K1175)</f>
        <v>247</v>
      </c>
    </row>
    <row r="1175" spans="1:11" ht="63" x14ac:dyDescent="0.25">
      <c r="A1175" s="279"/>
      <c r="B1175" s="279"/>
      <c r="C1175" s="242"/>
      <c r="D1175" s="291"/>
      <c r="E1175" s="266"/>
      <c r="F1175" s="266"/>
      <c r="G1175" s="222"/>
      <c r="H1175" s="92" t="s">
        <v>178</v>
      </c>
      <c r="I1175" s="50">
        <v>82721.929999999993</v>
      </c>
      <c r="J1175" s="50">
        <f>I1175/D1174</f>
        <v>235.68</v>
      </c>
      <c r="K1175" s="50">
        <f>151+96</f>
        <v>247</v>
      </c>
    </row>
    <row r="1176" spans="1:11" x14ac:dyDescent="0.25">
      <c r="A1176" s="216">
        <v>8</v>
      </c>
      <c r="B1176" s="216">
        <v>4429</v>
      </c>
      <c r="C1176" s="218" t="s">
        <v>436</v>
      </c>
      <c r="D1176" s="220">
        <v>2632.73</v>
      </c>
      <c r="E1176" s="216" t="s">
        <v>68</v>
      </c>
      <c r="F1176" s="216">
        <v>5</v>
      </c>
      <c r="G1176" s="216" t="s">
        <v>65</v>
      </c>
      <c r="H1176" s="57" t="s">
        <v>66</v>
      </c>
      <c r="I1176" s="50">
        <f>I1177+I1178</f>
        <v>7100735.6299999999</v>
      </c>
      <c r="J1176" s="50">
        <f>J1177+J1178</f>
        <v>2697.1</v>
      </c>
      <c r="K1176" s="50">
        <f>K1177+K1178</f>
        <v>3878</v>
      </c>
    </row>
    <row r="1177" spans="1:11" x14ac:dyDescent="0.25">
      <c r="A1177" s="217"/>
      <c r="B1177" s="217"/>
      <c r="C1177" s="219"/>
      <c r="D1177" s="221"/>
      <c r="E1177" s="217"/>
      <c r="F1177" s="217"/>
      <c r="G1177" s="217"/>
      <c r="H1177" s="57" t="s">
        <v>67</v>
      </c>
      <c r="I1177" s="50">
        <v>6951963.6100000003</v>
      </c>
      <c r="J1177" s="50">
        <f>I1177/D1176</f>
        <v>2640.59</v>
      </c>
      <c r="K1177" s="50">
        <v>3797</v>
      </c>
    </row>
    <row r="1178" spans="1:11" x14ac:dyDescent="0.25">
      <c r="A1178" s="222"/>
      <c r="B1178" s="222"/>
      <c r="C1178" s="226"/>
      <c r="D1178" s="227"/>
      <c r="E1178" s="222"/>
      <c r="F1178" s="222"/>
      <c r="G1178" s="222"/>
      <c r="H1178" s="57" t="s">
        <v>69</v>
      </c>
      <c r="I1178" s="50">
        <f>I1177*0.0214</f>
        <v>148772.01999999999</v>
      </c>
      <c r="J1178" s="50">
        <f>I1178/D1176</f>
        <v>56.51</v>
      </c>
      <c r="K1178" s="50">
        <v>81</v>
      </c>
    </row>
    <row r="1179" spans="1:11" x14ac:dyDescent="0.25">
      <c r="A1179" s="216">
        <f>A1176+1</f>
        <v>9</v>
      </c>
      <c r="B1179" s="265">
        <v>4437</v>
      </c>
      <c r="C1179" s="212" t="s">
        <v>351</v>
      </c>
      <c r="D1179" s="271">
        <v>965.1</v>
      </c>
      <c r="E1179" s="265" t="s">
        <v>68</v>
      </c>
      <c r="F1179" s="265">
        <v>2</v>
      </c>
      <c r="G1179" s="216" t="s">
        <v>65</v>
      </c>
      <c r="H1179" s="57" t="s">
        <v>66</v>
      </c>
      <c r="I1179" s="50">
        <f>SUM(I1180:I1180)</f>
        <v>227449.94</v>
      </c>
      <c r="J1179" s="50">
        <f>SUM(J1180:J1180)</f>
        <v>235.67</v>
      </c>
      <c r="K1179" s="50">
        <f>SUM(K1180:K1180)</f>
        <v>247</v>
      </c>
    </row>
    <row r="1180" spans="1:11" ht="63" x14ac:dyDescent="0.25">
      <c r="A1180" s="217"/>
      <c r="B1180" s="266"/>
      <c r="C1180" s="213"/>
      <c r="D1180" s="272"/>
      <c r="E1180" s="266"/>
      <c r="F1180" s="266"/>
      <c r="G1180" s="222"/>
      <c r="H1180" s="92" t="s">
        <v>178</v>
      </c>
      <c r="I1180" s="50">
        <v>227449.94</v>
      </c>
      <c r="J1180" s="50">
        <f>I1180/D1179</f>
        <v>235.67</v>
      </c>
      <c r="K1180" s="50">
        <f>151+96</f>
        <v>247</v>
      </c>
    </row>
    <row r="1181" spans="1:11" x14ac:dyDescent="0.25">
      <c r="A1181" s="265">
        <f>A1179+1</f>
        <v>10</v>
      </c>
      <c r="B1181" s="265">
        <v>8083</v>
      </c>
      <c r="C1181" s="212" t="s">
        <v>352</v>
      </c>
      <c r="D1181" s="271">
        <v>325.16000000000003</v>
      </c>
      <c r="E1181" s="220" t="s">
        <v>167</v>
      </c>
      <c r="F1181" s="265">
        <v>2</v>
      </c>
      <c r="G1181" s="216" t="s">
        <v>70</v>
      </c>
      <c r="H1181" s="57" t="s">
        <v>66</v>
      </c>
      <c r="I1181" s="50">
        <f>SUM(I1182:I1183)</f>
        <v>966700.68</v>
      </c>
      <c r="J1181" s="50">
        <f>SUM(J1182:J1183)</f>
        <v>2973</v>
      </c>
      <c r="K1181" s="50">
        <f>SUM(K1182:K1183)</f>
        <v>2973</v>
      </c>
    </row>
    <row r="1182" spans="1:11" ht="15.75" customHeight="1" x14ac:dyDescent="0.25">
      <c r="A1182" s="266"/>
      <c r="B1182" s="266"/>
      <c r="C1182" s="213"/>
      <c r="D1182" s="272"/>
      <c r="E1182" s="221"/>
      <c r="F1182" s="266"/>
      <c r="G1182" s="217"/>
      <c r="H1182" s="57" t="s">
        <v>67</v>
      </c>
      <c r="I1182" s="50">
        <f>D1181*K1182</f>
        <v>946540.76</v>
      </c>
      <c r="J1182" s="50">
        <f>I1182/D1181</f>
        <v>2911</v>
      </c>
      <c r="K1182" s="72">
        <v>2911</v>
      </c>
    </row>
    <row r="1183" spans="1:11" x14ac:dyDescent="0.25">
      <c r="A1183" s="266"/>
      <c r="B1183" s="266"/>
      <c r="C1183" s="213"/>
      <c r="D1183" s="272"/>
      <c r="E1183" s="227"/>
      <c r="F1183" s="266"/>
      <c r="G1183" s="222"/>
      <c r="H1183" s="57" t="s">
        <v>69</v>
      </c>
      <c r="I1183" s="50">
        <f>D1181*K1183</f>
        <v>20159.919999999998</v>
      </c>
      <c r="J1183" s="50">
        <f>I1183/D1181</f>
        <v>62</v>
      </c>
      <c r="K1183" s="72">
        <v>62</v>
      </c>
    </row>
    <row r="1184" spans="1:11" ht="15.75" customHeight="1" x14ac:dyDescent="0.25">
      <c r="A1184" s="216">
        <f>A1181+1</f>
        <v>11</v>
      </c>
      <c r="B1184" s="216">
        <v>4478</v>
      </c>
      <c r="C1184" s="218" t="s">
        <v>115</v>
      </c>
      <c r="D1184" s="220">
        <v>2933.1</v>
      </c>
      <c r="E1184" s="216" t="s">
        <v>64</v>
      </c>
      <c r="F1184" s="216">
        <v>5</v>
      </c>
      <c r="G1184" s="216" t="s">
        <v>75</v>
      </c>
      <c r="H1184" s="57" t="s">
        <v>66</v>
      </c>
      <c r="I1184" s="50">
        <f>I1185+I1186+I1187+I1188</f>
        <v>10979952.140000001</v>
      </c>
      <c r="J1184" s="50">
        <f>J1185+J1186+J1187+J1188</f>
        <v>3743.46</v>
      </c>
      <c r="K1184" s="50">
        <f>K1185+K1186+K1187+K1188</f>
        <v>7631</v>
      </c>
    </row>
    <row r="1185" spans="1:11" x14ac:dyDescent="0.25">
      <c r="A1185" s="217"/>
      <c r="B1185" s="217"/>
      <c r="C1185" s="219"/>
      <c r="D1185" s="221"/>
      <c r="E1185" s="217"/>
      <c r="F1185" s="217"/>
      <c r="G1185" s="217"/>
      <c r="H1185" s="57" t="s">
        <v>67</v>
      </c>
      <c r="I1185" s="50">
        <f>(2865697+10034.46)*1.02*1.2</f>
        <v>3519895.31</v>
      </c>
      <c r="J1185" s="50">
        <f>I1185/D1184</f>
        <v>1200.06</v>
      </c>
      <c r="K1185" s="50">
        <v>1733</v>
      </c>
    </row>
    <row r="1186" spans="1:11" x14ac:dyDescent="0.25">
      <c r="A1186" s="217"/>
      <c r="B1186" s="217"/>
      <c r="C1186" s="219"/>
      <c r="D1186" s="221"/>
      <c r="E1186" s="217"/>
      <c r="F1186" s="217"/>
      <c r="G1186" s="217"/>
      <c r="H1186" s="57" t="s">
        <v>69</v>
      </c>
      <c r="I1186" s="50">
        <f>I1185*0.0214</f>
        <v>75325.759999999995</v>
      </c>
      <c r="J1186" s="50">
        <f>I1186/D1184</f>
        <v>25.68</v>
      </c>
      <c r="K1186" s="50">
        <v>37</v>
      </c>
    </row>
    <row r="1187" spans="1:11" x14ac:dyDescent="0.25">
      <c r="A1187" s="217"/>
      <c r="B1187" s="217"/>
      <c r="C1187" s="219"/>
      <c r="D1187" s="221"/>
      <c r="E1187" s="217"/>
      <c r="F1187" s="217"/>
      <c r="G1187" s="217"/>
      <c r="H1187" s="57" t="s">
        <v>179</v>
      </c>
      <c r="I1187" s="50">
        <v>7230008.8799999999</v>
      </c>
      <c r="J1187" s="50">
        <f>I1187/D1184</f>
        <v>2464.9699999999998</v>
      </c>
      <c r="K1187" s="50">
        <v>5738</v>
      </c>
    </row>
    <row r="1188" spans="1:11" x14ac:dyDescent="0.25">
      <c r="A1188" s="222"/>
      <c r="B1188" s="222"/>
      <c r="C1188" s="226"/>
      <c r="D1188" s="227"/>
      <c r="E1188" s="222"/>
      <c r="F1188" s="222"/>
      <c r="G1188" s="222"/>
      <c r="H1188" s="57" t="s">
        <v>69</v>
      </c>
      <c r="I1188" s="50">
        <v>154722.19</v>
      </c>
      <c r="J1188" s="50">
        <f>I1188/D1184</f>
        <v>52.75</v>
      </c>
      <c r="K1188" s="50">
        <v>123</v>
      </c>
    </row>
    <row r="1189" spans="1:11" x14ac:dyDescent="0.25">
      <c r="A1189" s="216">
        <f>A1184+1</f>
        <v>12</v>
      </c>
      <c r="B1189" s="209">
        <v>4440</v>
      </c>
      <c r="C1189" s="212" t="s">
        <v>353</v>
      </c>
      <c r="D1189" s="205">
        <v>386.57</v>
      </c>
      <c r="E1189" s="209" t="s">
        <v>68</v>
      </c>
      <c r="F1189" s="209">
        <v>2</v>
      </c>
      <c r="G1189" s="216" t="s">
        <v>65</v>
      </c>
      <c r="H1189" s="57" t="s">
        <v>66</v>
      </c>
      <c r="I1189" s="50">
        <f>SUM(I1190:I1192)</f>
        <v>3063055.04</v>
      </c>
      <c r="J1189" s="50">
        <f t="shared" ref="J1189:K1189" si="50">SUM(J1190:J1192)</f>
        <v>7923.67</v>
      </c>
      <c r="K1189" s="50">
        <f t="shared" si="50"/>
        <v>7935</v>
      </c>
    </row>
    <row r="1190" spans="1:11" ht="63" x14ac:dyDescent="0.25">
      <c r="A1190" s="217"/>
      <c r="B1190" s="210"/>
      <c r="C1190" s="213"/>
      <c r="D1190" s="206"/>
      <c r="E1190" s="210"/>
      <c r="F1190" s="210"/>
      <c r="G1190" s="217"/>
      <c r="H1190" s="62" t="s">
        <v>168</v>
      </c>
      <c r="I1190" s="125">
        <v>91104.88</v>
      </c>
      <c r="J1190" s="125">
        <f>I1190/D1189</f>
        <v>235.67</v>
      </c>
      <c r="K1190" s="50">
        <f>151+96</f>
        <v>247</v>
      </c>
    </row>
    <row r="1191" spans="1:11" x14ac:dyDescent="0.25">
      <c r="A1191" s="217"/>
      <c r="B1191" s="210"/>
      <c r="C1191" s="213"/>
      <c r="D1191" s="206"/>
      <c r="E1191" s="210"/>
      <c r="F1191" s="210"/>
      <c r="G1191" s="217"/>
      <c r="H1191" s="57" t="s">
        <v>67</v>
      </c>
      <c r="I1191" s="50">
        <f>K1191*D1189</f>
        <v>2909712.39</v>
      </c>
      <c r="J1191" s="50">
        <f>I1191/D1189</f>
        <v>7527</v>
      </c>
      <c r="K1191" s="72">
        <v>7527</v>
      </c>
    </row>
    <row r="1192" spans="1:11" x14ac:dyDescent="0.25">
      <c r="A1192" s="222"/>
      <c r="B1192" s="211"/>
      <c r="C1192" s="214"/>
      <c r="D1192" s="207"/>
      <c r="E1192" s="211"/>
      <c r="F1192" s="211"/>
      <c r="G1192" s="222"/>
      <c r="H1192" s="57" t="s">
        <v>69</v>
      </c>
      <c r="I1192" s="50">
        <f>K1192*D1189</f>
        <v>62237.77</v>
      </c>
      <c r="J1192" s="50">
        <f>I1192/D1189</f>
        <v>161</v>
      </c>
      <c r="K1192" s="72">
        <v>161</v>
      </c>
    </row>
    <row r="1193" spans="1:11" x14ac:dyDescent="0.25">
      <c r="A1193" s="265">
        <f>A1189+1</f>
        <v>13</v>
      </c>
      <c r="B1193" s="265">
        <v>4480</v>
      </c>
      <c r="C1193" s="212" t="s">
        <v>354</v>
      </c>
      <c r="D1193" s="271">
        <v>385</v>
      </c>
      <c r="E1193" s="265" t="s">
        <v>68</v>
      </c>
      <c r="F1193" s="265">
        <v>2</v>
      </c>
      <c r="G1193" s="216" t="s">
        <v>65</v>
      </c>
      <c r="H1193" s="57" t="s">
        <v>66</v>
      </c>
      <c r="I1193" s="50">
        <f>SUM(I1194:I1195)</f>
        <v>2959880</v>
      </c>
      <c r="J1193" s="50">
        <f>SUM(J1194:J1195)</f>
        <v>7688</v>
      </c>
      <c r="K1193" s="50">
        <f>SUM(K1194:K1195)</f>
        <v>7688</v>
      </c>
    </row>
    <row r="1194" spans="1:11" x14ac:dyDescent="0.25">
      <c r="A1194" s="266"/>
      <c r="B1194" s="266"/>
      <c r="C1194" s="213"/>
      <c r="D1194" s="272"/>
      <c r="E1194" s="266"/>
      <c r="F1194" s="266"/>
      <c r="G1194" s="217"/>
      <c r="H1194" s="57" t="s">
        <v>67</v>
      </c>
      <c r="I1194" s="50">
        <f>D1193*K1194</f>
        <v>2897895</v>
      </c>
      <c r="J1194" s="50">
        <f>I1194/D1193</f>
        <v>7527</v>
      </c>
      <c r="K1194" s="72">
        <v>7527</v>
      </c>
    </row>
    <row r="1195" spans="1:11" x14ac:dyDescent="0.25">
      <c r="A1195" s="266"/>
      <c r="B1195" s="266"/>
      <c r="C1195" s="213"/>
      <c r="D1195" s="272"/>
      <c r="E1195" s="266"/>
      <c r="F1195" s="266"/>
      <c r="G1195" s="222"/>
      <c r="H1195" s="57" t="s">
        <v>69</v>
      </c>
      <c r="I1195" s="50">
        <f>D1193*K1195</f>
        <v>61985</v>
      </c>
      <c r="J1195" s="50">
        <f>I1195/D1193</f>
        <v>161</v>
      </c>
      <c r="K1195" s="72">
        <v>161</v>
      </c>
    </row>
    <row r="1196" spans="1:11" x14ac:dyDescent="0.25">
      <c r="A1196" s="265">
        <f>A1193+1</f>
        <v>14</v>
      </c>
      <c r="B1196" s="265">
        <v>4481</v>
      </c>
      <c r="C1196" s="212" t="s">
        <v>355</v>
      </c>
      <c r="D1196" s="271">
        <v>388.18</v>
      </c>
      <c r="E1196" s="265" t="s">
        <v>68</v>
      </c>
      <c r="F1196" s="265">
        <v>2</v>
      </c>
      <c r="G1196" s="216" t="s">
        <v>65</v>
      </c>
      <c r="H1196" s="57" t="s">
        <v>66</v>
      </c>
      <c r="I1196" s="50">
        <f>SUM(I1197:I1197)</f>
        <v>91484.32</v>
      </c>
      <c r="J1196" s="50">
        <f>SUM(J1197:J1197)</f>
        <v>235.67</v>
      </c>
      <c r="K1196" s="50">
        <f>SUM(K1197:K1197)</f>
        <v>247</v>
      </c>
    </row>
    <row r="1197" spans="1:11" ht="63" x14ac:dyDescent="0.25">
      <c r="A1197" s="266"/>
      <c r="B1197" s="266"/>
      <c r="C1197" s="213"/>
      <c r="D1197" s="272"/>
      <c r="E1197" s="266"/>
      <c r="F1197" s="266"/>
      <c r="G1197" s="222"/>
      <c r="H1197" s="92" t="s">
        <v>178</v>
      </c>
      <c r="I1197" s="50">
        <v>91484.32</v>
      </c>
      <c r="J1197" s="50">
        <f>I1197/D1196</f>
        <v>235.67</v>
      </c>
      <c r="K1197" s="50">
        <f>151+96</f>
        <v>247</v>
      </c>
    </row>
    <row r="1198" spans="1:11" x14ac:dyDescent="0.25">
      <c r="A1198" s="265">
        <f>A1196+1</f>
        <v>15</v>
      </c>
      <c r="B1198" s="265">
        <v>4532</v>
      </c>
      <c r="C1198" s="212" t="s">
        <v>356</v>
      </c>
      <c r="D1198" s="271">
        <v>317.3</v>
      </c>
      <c r="E1198" s="265" t="s">
        <v>68</v>
      </c>
      <c r="F1198" s="265">
        <v>2</v>
      </c>
      <c r="G1198" s="105"/>
      <c r="H1198" s="57" t="s">
        <v>66</v>
      </c>
      <c r="I1198" s="50">
        <f>SUM(I1199:I1202)</f>
        <v>667656.56999999995</v>
      </c>
      <c r="J1198" s="50">
        <f>SUM(J1199:J1202)</f>
        <v>2104.1799999999998</v>
      </c>
      <c r="K1198" s="50">
        <f>SUM(K1199:K1202)</f>
        <v>3497</v>
      </c>
    </row>
    <row r="1199" spans="1:11" x14ac:dyDescent="0.25">
      <c r="A1199" s="266"/>
      <c r="B1199" s="266"/>
      <c r="C1199" s="213"/>
      <c r="D1199" s="272"/>
      <c r="E1199" s="266"/>
      <c r="F1199" s="266"/>
      <c r="G1199" s="216" t="s">
        <v>70</v>
      </c>
      <c r="H1199" s="57" t="s">
        <v>67</v>
      </c>
      <c r="I1199" s="50">
        <v>490886.40000000002</v>
      </c>
      <c r="J1199" s="50">
        <f>I1199/D1198</f>
        <v>1547.07</v>
      </c>
      <c r="K1199" s="72">
        <v>2911</v>
      </c>
    </row>
    <row r="1200" spans="1:11" x14ac:dyDescent="0.25">
      <c r="A1200" s="266"/>
      <c r="B1200" s="266"/>
      <c r="C1200" s="213"/>
      <c r="D1200" s="272"/>
      <c r="E1200" s="266"/>
      <c r="F1200" s="266"/>
      <c r="G1200" s="222"/>
      <c r="H1200" s="57" t="s">
        <v>69</v>
      </c>
      <c r="I1200" s="50">
        <f>I1199*0.0214</f>
        <v>10504.97</v>
      </c>
      <c r="J1200" s="50">
        <f>I1200/D1198</f>
        <v>33.11</v>
      </c>
      <c r="K1200" s="72">
        <v>62</v>
      </c>
    </row>
    <row r="1201" spans="1:159" x14ac:dyDescent="0.25">
      <c r="A1201" s="266"/>
      <c r="B1201" s="266"/>
      <c r="C1201" s="213"/>
      <c r="D1201" s="272"/>
      <c r="E1201" s="266"/>
      <c r="F1201" s="266"/>
      <c r="G1201" s="216" t="s">
        <v>71</v>
      </c>
      <c r="H1201" s="57" t="s">
        <v>67</v>
      </c>
      <c r="I1201" s="50">
        <f>D1198*K1201</f>
        <v>162774.9</v>
      </c>
      <c r="J1201" s="50">
        <f>I1201/D1198</f>
        <v>513</v>
      </c>
      <c r="K1201" s="72">
        <v>513</v>
      </c>
    </row>
    <row r="1202" spans="1:159" x14ac:dyDescent="0.25">
      <c r="A1202" s="270"/>
      <c r="B1202" s="270"/>
      <c r="C1202" s="214"/>
      <c r="D1202" s="283"/>
      <c r="E1202" s="270"/>
      <c r="F1202" s="270"/>
      <c r="G1202" s="222"/>
      <c r="H1202" s="57" t="s">
        <v>69</v>
      </c>
      <c r="I1202" s="50">
        <f>D1198*K1202</f>
        <v>3490.3</v>
      </c>
      <c r="J1202" s="50">
        <f>I1202/D1198</f>
        <v>11</v>
      </c>
      <c r="K1202" s="72">
        <v>11</v>
      </c>
    </row>
    <row r="1203" spans="1:159" x14ac:dyDescent="0.25">
      <c r="A1203" s="56" t="s">
        <v>533</v>
      </c>
      <c r="B1203" s="114"/>
      <c r="C1203" s="91"/>
      <c r="D1203" s="109">
        <f>D1204+D1207</f>
        <v>757.6</v>
      </c>
      <c r="E1203" s="122"/>
      <c r="F1203" s="122"/>
      <c r="G1203" s="109"/>
      <c r="H1203" s="55"/>
      <c r="I1203" s="109">
        <f>I1204+I1207</f>
        <v>3221878.9</v>
      </c>
      <c r="J1203" s="50"/>
      <c r="K1203" s="50"/>
    </row>
    <row r="1204" spans="1:159" x14ac:dyDescent="0.25">
      <c r="A1204" s="231">
        <v>1</v>
      </c>
      <c r="B1204" s="231">
        <v>4784</v>
      </c>
      <c r="C1204" s="195" t="s">
        <v>532</v>
      </c>
      <c r="D1204" s="231">
        <v>381.3</v>
      </c>
      <c r="E1204" s="231" t="s">
        <v>68</v>
      </c>
      <c r="F1204" s="231">
        <v>2</v>
      </c>
      <c r="G1204" s="216" t="s">
        <v>65</v>
      </c>
      <c r="H1204" s="108" t="s">
        <v>66</v>
      </c>
      <c r="I1204" s="109">
        <f>SUM(I1205:I1206)</f>
        <v>3127803.9</v>
      </c>
      <c r="J1204" s="109">
        <f>SUM(J1205:J1206)</f>
        <v>8203</v>
      </c>
      <c r="K1204" s="109">
        <f>SUM(K1205:K1206)</f>
        <v>8203</v>
      </c>
    </row>
    <row r="1205" spans="1:159" x14ac:dyDescent="0.25">
      <c r="A1205" s="231"/>
      <c r="B1205" s="231"/>
      <c r="C1205" s="195"/>
      <c r="D1205" s="231"/>
      <c r="E1205" s="231"/>
      <c r="F1205" s="231"/>
      <c r="G1205" s="217"/>
      <c r="H1205" s="57" t="s">
        <v>67</v>
      </c>
      <c r="I1205" s="109">
        <f>D1204*K1205</f>
        <v>3062220.3</v>
      </c>
      <c r="J1205" s="50">
        <f>I1205/D1204</f>
        <v>8031</v>
      </c>
      <c r="K1205" s="50">
        <v>8031</v>
      </c>
    </row>
    <row r="1206" spans="1:159" x14ac:dyDescent="0.25">
      <c r="A1206" s="231"/>
      <c r="B1206" s="231"/>
      <c r="C1206" s="195"/>
      <c r="D1206" s="231"/>
      <c r="E1206" s="231"/>
      <c r="F1206" s="231"/>
      <c r="G1206" s="222"/>
      <c r="H1206" s="59" t="s">
        <v>69</v>
      </c>
      <c r="I1206" s="107">
        <f>D1204*K1206</f>
        <v>65583.600000000006</v>
      </c>
      <c r="J1206" s="60">
        <f>I1206/D1204</f>
        <v>172</v>
      </c>
      <c r="K1206" s="60">
        <v>172</v>
      </c>
    </row>
    <row r="1207" spans="1:159" x14ac:dyDescent="0.25">
      <c r="A1207" s="232">
        <f>A1204+1</f>
        <v>2</v>
      </c>
      <c r="B1207" s="232">
        <v>4777</v>
      </c>
      <c r="C1207" s="298" t="s">
        <v>562</v>
      </c>
      <c r="D1207" s="232">
        <v>376.3</v>
      </c>
      <c r="E1207" s="232" t="s">
        <v>68</v>
      </c>
      <c r="F1207" s="232">
        <v>2</v>
      </c>
      <c r="G1207" s="216" t="s">
        <v>65</v>
      </c>
      <c r="H1207" s="57" t="s">
        <v>66</v>
      </c>
      <c r="I1207" s="109">
        <f>I1208</f>
        <v>94075</v>
      </c>
      <c r="J1207" s="109">
        <f>J1208</f>
        <v>250</v>
      </c>
      <c r="K1207" s="109">
        <f>K1208</f>
        <v>250</v>
      </c>
    </row>
    <row r="1208" spans="1:159" ht="63" x14ac:dyDescent="0.25">
      <c r="A1208" s="234"/>
      <c r="B1208" s="234"/>
      <c r="C1208" s="299"/>
      <c r="D1208" s="234"/>
      <c r="E1208" s="234"/>
      <c r="F1208" s="234"/>
      <c r="G1208" s="222"/>
      <c r="H1208" s="57" t="s">
        <v>168</v>
      </c>
      <c r="I1208" s="109">
        <f>K1208*D1207</f>
        <v>94075</v>
      </c>
      <c r="J1208" s="50">
        <f>I1208/D1207</f>
        <v>250</v>
      </c>
      <c r="K1208" s="50">
        <f>154+96</f>
        <v>250</v>
      </c>
    </row>
    <row r="1209" spans="1:159" s="41" customFormat="1" x14ac:dyDescent="0.25">
      <c r="A1209" s="71" t="s">
        <v>30</v>
      </c>
      <c r="B1209" s="114"/>
      <c r="C1209" s="91"/>
      <c r="D1209" s="109">
        <f>D1210</f>
        <v>721.7</v>
      </c>
      <c r="E1209" s="122"/>
      <c r="F1209" s="122"/>
      <c r="G1209" s="109"/>
      <c r="H1209" s="55"/>
      <c r="I1209" s="50">
        <f>I1210</f>
        <v>1794144.04</v>
      </c>
      <c r="J1209" s="50"/>
      <c r="K1209" s="50"/>
      <c r="L1209" s="42"/>
      <c r="M1209" s="42"/>
      <c r="N1209" s="42"/>
      <c r="O1209" s="42"/>
      <c r="P1209" s="42"/>
      <c r="Q1209" s="42"/>
      <c r="R1209" s="42"/>
      <c r="S1209" s="42"/>
      <c r="T1209" s="42"/>
      <c r="U1209" s="42"/>
      <c r="V1209" s="42"/>
      <c r="W1209" s="42"/>
      <c r="X1209" s="42"/>
      <c r="Y1209" s="42"/>
      <c r="Z1209" s="42"/>
      <c r="AA1209" s="42"/>
      <c r="AB1209" s="42"/>
      <c r="AC1209" s="42"/>
      <c r="AD1209" s="42"/>
      <c r="AE1209" s="42"/>
      <c r="AF1209" s="42"/>
      <c r="AG1209" s="42"/>
      <c r="AH1209" s="42"/>
      <c r="AI1209" s="42"/>
      <c r="AJ1209" s="42"/>
      <c r="AK1209" s="42"/>
      <c r="AL1209" s="42"/>
      <c r="AM1209" s="42"/>
      <c r="AN1209" s="42"/>
      <c r="AO1209" s="42"/>
      <c r="AP1209" s="42"/>
      <c r="AQ1209" s="42"/>
      <c r="AR1209" s="42"/>
      <c r="AS1209" s="42"/>
      <c r="AT1209" s="42"/>
      <c r="AU1209" s="42"/>
      <c r="AV1209" s="42"/>
      <c r="AW1209" s="42"/>
      <c r="AX1209" s="42"/>
      <c r="AY1209" s="42"/>
      <c r="AZ1209" s="42"/>
      <c r="BA1209" s="42"/>
      <c r="BB1209" s="42"/>
      <c r="BC1209" s="42"/>
      <c r="BD1209" s="42"/>
      <c r="BE1209" s="42"/>
      <c r="BF1209" s="42"/>
      <c r="BG1209" s="42"/>
      <c r="BH1209" s="42"/>
      <c r="BI1209" s="42"/>
      <c r="BJ1209" s="42"/>
      <c r="BK1209" s="42"/>
      <c r="BL1209" s="42"/>
      <c r="BM1209" s="42"/>
      <c r="BN1209" s="42"/>
      <c r="BO1209" s="42"/>
      <c r="BP1209" s="42"/>
      <c r="BQ1209" s="42"/>
      <c r="BR1209" s="42"/>
      <c r="BS1209" s="42"/>
      <c r="BT1209" s="42"/>
      <c r="BU1209" s="42"/>
      <c r="BV1209" s="42"/>
      <c r="BW1209" s="42"/>
      <c r="BX1209" s="42"/>
      <c r="BY1209" s="42"/>
      <c r="BZ1209" s="42"/>
      <c r="CA1209" s="42"/>
      <c r="CB1209" s="42"/>
      <c r="CC1209" s="42"/>
      <c r="CD1209" s="42"/>
      <c r="CE1209" s="42"/>
      <c r="CF1209" s="42"/>
      <c r="CG1209" s="42"/>
      <c r="CH1209" s="42"/>
      <c r="CI1209" s="42"/>
      <c r="CJ1209" s="42"/>
      <c r="CK1209" s="42"/>
      <c r="CL1209" s="42"/>
      <c r="CM1209" s="42"/>
      <c r="CN1209" s="42"/>
      <c r="CO1209" s="42"/>
      <c r="CP1209" s="42"/>
      <c r="CQ1209" s="42"/>
      <c r="CR1209" s="42"/>
      <c r="CS1209" s="42"/>
      <c r="CT1209" s="42"/>
      <c r="CU1209" s="42"/>
      <c r="CV1209" s="42"/>
      <c r="CW1209" s="42"/>
      <c r="CX1209" s="42"/>
      <c r="CY1209" s="42"/>
      <c r="CZ1209" s="42"/>
      <c r="DA1209" s="42"/>
      <c r="DB1209" s="42"/>
      <c r="DC1209" s="42"/>
      <c r="DD1209" s="42"/>
      <c r="DE1209" s="42"/>
      <c r="DF1209" s="42"/>
      <c r="DG1209" s="42"/>
      <c r="DH1209" s="42"/>
      <c r="DI1209" s="42"/>
      <c r="DJ1209" s="42"/>
      <c r="DK1209" s="42"/>
      <c r="DL1209" s="42"/>
      <c r="DM1209" s="42"/>
      <c r="DN1209" s="42"/>
      <c r="DO1209" s="42"/>
      <c r="DP1209" s="42"/>
      <c r="DQ1209" s="42"/>
      <c r="DR1209" s="42"/>
      <c r="DS1209" s="42"/>
      <c r="DT1209" s="42"/>
      <c r="DU1209" s="42"/>
      <c r="DV1209" s="42"/>
      <c r="DW1209" s="42"/>
      <c r="DX1209" s="42"/>
      <c r="DY1209" s="42"/>
      <c r="DZ1209" s="42"/>
      <c r="EA1209" s="42"/>
      <c r="EB1209" s="42"/>
      <c r="EC1209" s="42"/>
      <c r="ED1209" s="42"/>
      <c r="EE1209" s="42"/>
      <c r="EF1209" s="42"/>
      <c r="EG1209" s="42"/>
      <c r="EH1209" s="42"/>
      <c r="EI1209" s="42"/>
      <c r="EJ1209" s="42"/>
      <c r="EK1209" s="42"/>
      <c r="EL1209" s="42"/>
      <c r="EM1209" s="42"/>
      <c r="EN1209" s="42"/>
      <c r="EO1209" s="42"/>
      <c r="EP1209" s="42"/>
      <c r="EQ1209" s="42"/>
      <c r="ER1209" s="42"/>
      <c r="ES1209" s="42"/>
      <c r="ET1209" s="42"/>
      <c r="EU1209" s="42"/>
      <c r="EV1209" s="42"/>
      <c r="EW1209" s="42"/>
      <c r="EX1209" s="42"/>
      <c r="EY1209" s="42"/>
      <c r="EZ1209" s="42"/>
      <c r="FA1209" s="42"/>
      <c r="FB1209" s="42"/>
      <c r="FC1209" s="42"/>
    </row>
    <row r="1210" spans="1:159" s="41" customFormat="1" x14ac:dyDescent="0.25">
      <c r="A1210" s="232">
        <v>1</v>
      </c>
      <c r="B1210" s="232">
        <v>6711</v>
      </c>
      <c r="C1210" s="298" t="s">
        <v>463</v>
      </c>
      <c r="D1210" s="232">
        <v>721.7</v>
      </c>
      <c r="E1210" s="232" t="s">
        <v>68</v>
      </c>
      <c r="F1210" s="232">
        <v>2</v>
      </c>
      <c r="G1210" s="113"/>
      <c r="H1210" s="57" t="s">
        <v>66</v>
      </c>
      <c r="I1210" s="50">
        <f>SUM(I1211:I1214)</f>
        <v>1794144.04</v>
      </c>
      <c r="J1210" s="50">
        <f>SUM(J1211:J1214)</f>
        <v>2486</v>
      </c>
      <c r="K1210" s="50">
        <f>SUM(K1211:K1214)</f>
        <v>3568</v>
      </c>
      <c r="L1210" s="42"/>
      <c r="M1210" s="42"/>
      <c r="N1210" s="42"/>
      <c r="O1210" s="42"/>
      <c r="P1210" s="42"/>
      <c r="Q1210" s="42"/>
      <c r="R1210" s="42"/>
      <c r="S1210" s="42"/>
      <c r="T1210" s="42"/>
      <c r="U1210" s="42"/>
      <c r="V1210" s="42"/>
      <c r="W1210" s="42"/>
      <c r="X1210" s="42"/>
      <c r="Y1210" s="42"/>
      <c r="Z1210" s="42"/>
      <c r="AA1210" s="42"/>
      <c r="AB1210" s="42"/>
      <c r="AC1210" s="42"/>
      <c r="AD1210" s="42"/>
      <c r="AE1210" s="42"/>
      <c r="AF1210" s="42"/>
      <c r="AG1210" s="42"/>
      <c r="AH1210" s="42"/>
      <c r="AI1210" s="42"/>
      <c r="AJ1210" s="42"/>
      <c r="AK1210" s="42"/>
      <c r="AL1210" s="42"/>
      <c r="AM1210" s="42"/>
      <c r="AN1210" s="42"/>
      <c r="AO1210" s="42"/>
      <c r="AP1210" s="42"/>
      <c r="AQ1210" s="42"/>
      <c r="AR1210" s="42"/>
      <c r="AS1210" s="42"/>
      <c r="AT1210" s="42"/>
      <c r="AU1210" s="42"/>
      <c r="AV1210" s="42"/>
      <c r="AW1210" s="42"/>
      <c r="AX1210" s="42"/>
      <c r="AY1210" s="42"/>
      <c r="AZ1210" s="42"/>
      <c r="BA1210" s="42"/>
      <c r="BB1210" s="42"/>
      <c r="BC1210" s="42"/>
      <c r="BD1210" s="42"/>
      <c r="BE1210" s="42"/>
      <c r="BF1210" s="42"/>
      <c r="BG1210" s="42"/>
      <c r="BH1210" s="42"/>
      <c r="BI1210" s="42"/>
      <c r="BJ1210" s="42"/>
      <c r="BK1210" s="42"/>
      <c r="BL1210" s="42"/>
      <c r="BM1210" s="42"/>
      <c r="BN1210" s="42"/>
      <c r="BO1210" s="42"/>
      <c r="BP1210" s="42"/>
      <c r="BQ1210" s="42"/>
      <c r="BR1210" s="42"/>
      <c r="BS1210" s="42"/>
      <c r="BT1210" s="42"/>
      <c r="BU1210" s="42"/>
      <c r="BV1210" s="42"/>
      <c r="BW1210" s="42"/>
      <c r="BX1210" s="42"/>
      <c r="BY1210" s="42"/>
      <c r="BZ1210" s="42"/>
      <c r="CA1210" s="42"/>
      <c r="CB1210" s="42"/>
      <c r="CC1210" s="42"/>
      <c r="CD1210" s="42"/>
      <c r="CE1210" s="42"/>
      <c r="CF1210" s="42"/>
      <c r="CG1210" s="42"/>
      <c r="CH1210" s="42"/>
      <c r="CI1210" s="42"/>
      <c r="CJ1210" s="42"/>
      <c r="CK1210" s="42"/>
      <c r="CL1210" s="42"/>
      <c r="CM1210" s="42"/>
      <c r="CN1210" s="42"/>
      <c r="CO1210" s="42"/>
      <c r="CP1210" s="42"/>
      <c r="CQ1210" s="42"/>
      <c r="CR1210" s="42"/>
      <c r="CS1210" s="42"/>
      <c r="CT1210" s="42"/>
      <c r="CU1210" s="42"/>
      <c r="CV1210" s="42"/>
      <c r="CW1210" s="42"/>
      <c r="CX1210" s="42"/>
      <c r="CY1210" s="42"/>
      <c r="CZ1210" s="42"/>
      <c r="DA1210" s="42"/>
      <c r="DB1210" s="42"/>
      <c r="DC1210" s="42"/>
      <c r="DD1210" s="42"/>
      <c r="DE1210" s="42"/>
      <c r="DF1210" s="42"/>
      <c r="DG1210" s="42"/>
      <c r="DH1210" s="42"/>
      <c r="DI1210" s="42"/>
      <c r="DJ1210" s="42"/>
      <c r="DK1210" s="42"/>
      <c r="DL1210" s="42"/>
      <c r="DM1210" s="42"/>
      <c r="DN1210" s="42"/>
      <c r="DO1210" s="42"/>
      <c r="DP1210" s="42"/>
      <c r="DQ1210" s="42"/>
      <c r="DR1210" s="42"/>
      <c r="DS1210" s="42"/>
      <c r="DT1210" s="42"/>
      <c r="DU1210" s="42"/>
      <c r="DV1210" s="42"/>
      <c r="DW1210" s="42"/>
      <c r="DX1210" s="42"/>
      <c r="DY1210" s="42"/>
      <c r="DZ1210" s="42"/>
      <c r="EA1210" s="42"/>
      <c r="EB1210" s="42"/>
      <c r="EC1210" s="42"/>
      <c r="ED1210" s="42"/>
      <c r="EE1210" s="42"/>
      <c r="EF1210" s="42"/>
      <c r="EG1210" s="42"/>
      <c r="EH1210" s="42"/>
      <c r="EI1210" s="42"/>
      <c r="EJ1210" s="42"/>
      <c r="EK1210" s="42"/>
      <c r="EL1210" s="42"/>
      <c r="EM1210" s="42"/>
      <c r="EN1210" s="42"/>
      <c r="EO1210" s="42"/>
      <c r="EP1210" s="42"/>
      <c r="EQ1210" s="42"/>
      <c r="ER1210" s="42"/>
      <c r="ES1210" s="42"/>
      <c r="ET1210" s="42"/>
      <c r="EU1210" s="42"/>
      <c r="EV1210" s="42"/>
      <c r="EW1210" s="42"/>
      <c r="EX1210" s="42"/>
      <c r="EY1210" s="42"/>
      <c r="EZ1210" s="42"/>
      <c r="FA1210" s="42"/>
      <c r="FB1210" s="42"/>
      <c r="FC1210" s="42"/>
    </row>
    <row r="1211" spans="1:159" s="41" customFormat="1" ht="15.75" customHeight="1" x14ac:dyDescent="0.25">
      <c r="A1211" s="233"/>
      <c r="B1211" s="233"/>
      <c r="C1211" s="306"/>
      <c r="D1211" s="233"/>
      <c r="E1211" s="233"/>
      <c r="F1211" s="233"/>
      <c r="G1211" s="232" t="s">
        <v>70</v>
      </c>
      <c r="H1211" s="57" t="s">
        <v>67</v>
      </c>
      <c r="I1211" s="50">
        <v>1465308.49</v>
      </c>
      <c r="J1211" s="50">
        <f>I1211/D1210</f>
        <v>2030.36</v>
      </c>
      <c r="K1211" s="50">
        <f>2967</f>
        <v>2967</v>
      </c>
      <c r="L1211" s="42"/>
      <c r="M1211" s="42"/>
      <c r="N1211" s="42"/>
      <c r="O1211" s="42"/>
      <c r="P1211" s="42"/>
      <c r="Q1211" s="42"/>
      <c r="R1211" s="42"/>
      <c r="S1211" s="42"/>
      <c r="T1211" s="42"/>
      <c r="U1211" s="42"/>
      <c r="V1211" s="42"/>
      <c r="W1211" s="42"/>
      <c r="X1211" s="42"/>
      <c r="Y1211" s="42"/>
      <c r="Z1211" s="42"/>
      <c r="AA1211" s="42"/>
      <c r="AB1211" s="42"/>
      <c r="AC1211" s="42"/>
      <c r="AD1211" s="42"/>
      <c r="AE1211" s="42"/>
      <c r="AF1211" s="42"/>
      <c r="AG1211" s="42"/>
      <c r="AH1211" s="42"/>
      <c r="AI1211" s="42"/>
      <c r="AJ1211" s="42"/>
      <c r="AK1211" s="42"/>
      <c r="AL1211" s="42"/>
      <c r="AM1211" s="42"/>
      <c r="AN1211" s="42"/>
      <c r="AO1211" s="42"/>
      <c r="AP1211" s="42"/>
      <c r="AQ1211" s="42"/>
      <c r="AR1211" s="42"/>
      <c r="AS1211" s="42"/>
      <c r="AT1211" s="42"/>
      <c r="AU1211" s="42"/>
      <c r="AV1211" s="42"/>
      <c r="AW1211" s="42"/>
      <c r="AX1211" s="42"/>
      <c r="AY1211" s="42"/>
      <c r="AZ1211" s="42"/>
      <c r="BA1211" s="42"/>
      <c r="BB1211" s="42"/>
      <c r="BC1211" s="42"/>
      <c r="BD1211" s="42"/>
      <c r="BE1211" s="42"/>
      <c r="BF1211" s="42"/>
      <c r="BG1211" s="42"/>
      <c r="BH1211" s="42"/>
      <c r="BI1211" s="42"/>
      <c r="BJ1211" s="42"/>
      <c r="BK1211" s="42"/>
      <c r="BL1211" s="42"/>
      <c r="BM1211" s="42"/>
      <c r="BN1211" s="42"/>
      <c r="BO1211" s="42"/>
      <c r="BP1211" s="42"/>
      <c r="BQ1211" s="42"/>
      <c r="BR1211" s="42"/>
      <c r="BS1211" s="42"/>
      <c r="BT1211" s="42"/>
      <c r="BU1211" s="42"/>
      <c r="BV1211" s="42"/>
      <c r="BW1211" s="42"/>
      <c r="BX1211" s="42"/>
      <c r="BY1211" s="42"/>
      <c r="BZ1211" s="42"/>
      <c r="CA1211" s="42"/>
      <c r="CB1211" s="42"/>
      <c r="CC1211" s="42"/>
      <c r="CD1211" s="42"/>
      <c r="CE1211" s="42"/>
      <c r="CF1211" s="42"/>
      <c r="CG1211" s="42"/>
      <c r="CH1211" s="42"/>
      <c r="CI1211" s="42"/>
      <c r="CJ1211" s="42"/>
      <c r="CK1211" s="42"/>
      <c r="CL1211" s="42"/>
      <c r="CM1211" s="42"/>
      <c r="CN1211" s="42"/>
      <c r="CO1211" s="42"/>
      <c r="CP1211" s="42"/>
      <c r="CQ1211" s="42"/>
      <c r="CR1211" s="42"/>
      <c r="CS1211" s="42"/>
      <c r="CT1211" s="42"/>
      <c r="CU1211" s="42"/>
      <c r="CV1211" s="42"/>
      <c r="CW1211" s="42"/>
      <c r="CX1211" s="42"/>
      <c r="CY1211" s="42"/>
      <c r="CZ1211" s="42"/>
      <c r="DA1211" s="42"/>
      <c r="DB1211" s="42"/>
      <c r="DC1211" s="42"/>
      <c r="DD1211" s="42"/>
      <c r="DE1211" s="42"/>
      <c r="DF1211" s="42"/>
      <c r="DG1211" s="42"/>
      <c r="DH1211" s="42"/>
      <c r="DI1211" s="42"/>
      <c r="DJ1211" s="42"/>
      <c r="DK1211" s="42"/>
      <c r="DL1211" s="42"/>
      <c r="DM1211" s="42"/>
      <c r="DN1211" s="42"/>
      <c r="DO1211" s="42"/>
      <c r="DP1211" s="42"/>
      <c r="DQ1211" s="42"/>
      <c r="DR1211" s="42"/>
      <c r="DS1211" s="42"/>
      <c r="DT1211" s="42"/>
      <c r="DU1211" s="42"/>
      <c r="DV1211" s="42"/>
      <c r="DW1211" s="42"/>
      <c r="DX1211" s="42"/>
      <c r="DY1211" s="42"/>
      <c r="DZ1211" s="42"/>
      <c r="EA1211" s="42"/>
      <c r="EB1211" s="42"/>
      <c r="EC1211" s="42"/>
      <c r="ED1211" s="42"/>
      <c r="EE1211" s="42"/>
      <c r="EF1211" s="42"/>
      <c r="EG1211" s="42"/>
      <c r="EH1211" s="42"/>
      <c r="EI1211" s="42"/>
      <c r="EJ1211" s="42"/>
      <c r="EK1211" s="42"/>
      <c r="EL1211" s="42"/>
      <c r="EM1211" s="42"/>
      <c r="EN1211" s="42"/>
      <c r="EO1211" s="42"/>
      <c r="EP1211" s="42"/>
      <c r="EQ1211" s="42"/>
      <c r="ER1211" s="42"/>
      <c r="ES1211" s="42"/>
      <c r="ET1211" s="42"/>
      <c r="EU1211" s="42"/>
      <c r="EV1211" s="42"/>
      <c r="EW1211" s="42"/>
      <c r="EX1211" s="42"/>
      <c r="EY1211" s="42"/>
      <c r="EZ1211" s="42"/>
      <c r="FA1211" s="42"/>
      <c r="FB1211" s="42"/>
      <c r="FC1211" s="42"/>
    </row>
    <row r="1212" spans="1:159" s="41" customFormat="1" x14ac:dyDescent="0.25">
      <c r="A1212" s="233"/>
      <c r="B1212" s="233"/>
      <c r="C1212" s="306"/>
      <c r="D1212" s="233"/>
      <c r="E1212" s="233"/>
      <c r="F1212" s="233"/>
      <c r="G1212" s="234"/>
      <c r="H1212" s="57" t="s">
        <v>69</v>
      </c>
      <c r="I1212" s="50">
        <v>31357.599999999999</v>
      </c>
      <c r="J1212" s="50">
        <f>I1212/D1210</f>
        <v>43.45</v>
      </c>
      <c r="K1212" s="50">
        <v>63</v>
      </c>
      <c r="L1212" s="42"/>
      <c r="M1212" s="42"/>
      <c r="N1212" s="42"/>
      <c r="O1212" s="42"/>
      <c r="P1212" s="42"/>
      <c r="Q1212" s="42"/>
      <c r="R1212" s="42"/>
      <c r="S1212" s="42"/>
      <c r="T1212" s="42"/>
      <c r="U1212" s="42"/>
      <c r="V1212" s="42"/>
      <c r="W1212" s="42"/>
      <c r="X1212" s="42"/>
      <c r="Y1212" s="42"/>
      <c r="Z1212" s="42"/>
      <c r="AA1212" s="42"/>
      <c r="AB1212" s="42"/>
      <c r="AC1212" s="42"/>
      <c r="AD1212" s="42"/>
      <c r="AE1212" s="42"/>
      <c r="AF1212" s="42"/>
      <c r="AG1212" s="42"/>
      <c r="AH1212" s="42"/>
      <c r="AI1212" s="42"/>
      <c r="AJ1212" s="42"/>
      <c r="AK1212" s="42"/>
      <c r="AL1212" s="42"/>
      <c r="AM1212" s="42"/>
      <c r="AN1212" s="42"/>
      <c r="AO1212" s="42"/>
      <c r="AP1212" s="42"/>
      <c r="AQ1212" s="42"/>
      <c r="AR1212" s="42"/>
      <c r="AS1212" s="42"/>
      <c r="AT1212" s="42"/>
      <c r="AU1212" s="42"/>
      <c r="AV1212" s="42"/>
      <c r="AW1212" s="42"/>
      <c r="AX1212" s="42"/>
      <c r="AY1212" s="42"/>
      <c r="AZ1212" s="42"/>
      <c r="BA1212" s="42"/>
      <c r="BB1212" s="42"/>
      <c r="BC1212" s="42"/>
      <c r="BD1212" s="42"/>
      <c r="BE1212" s="42"/>
      <c r="BF1212" s="42"/>
      <c r="BG1212" s="42"/>
      <c r="BH1212" s="42"/>
      <c r="BI1212" s="42"/>
      <c r="BJ1212" s="42"/>
      <c r="BK1212" s="42"/>
      <c r="BL1212" s="42"/>
      <c r="BM1212" s="42"/>
      <c r="BN1212" s="42"/>
      <c r="BO1212" s="42"/>
      <c r="BP1212" s="42"/>
      <c r="BQ1212" s="42"/>
      <c r="BR1212" s="42"/>
      <c r="BS1212" s="42"/>
      <c r="BT1212" s="42"/>
      <c r="BU1212" s="42"/>
      <c r="BV1212" s="42"/>
      <c r="BW1212" s="42"/>
      <c r="BX1212" s="42"/>
      <c r="BY1212" s="42"/>
      <c r="BZ1212" s="42"/>
      <c r="CA1212" s="42"/>
      <c r="CB1212" s="42"/>
      <c r="CC1212" s="42"/>
      <c r="CD1212" s="42"/>
      <c r="CE1212" s="42"/>
      <c r="CF1212" s="42"/>
      <c r="CG1212" s="42"/>
      <c r="CH1212" s="42"/>
      <c r="CI1212" s="42"/>
      <c r="CJ1212" s="42"/>
      <c r="CK1212" s="42"/>
      <c r="CL1212" s="42"/>
      <c r="CM1212" s="42"/>
      <c r="CN1212" s="42"/>
      <c r="CO1212" s="42"/>
      <c r="CP1212" s="42"/>
      <c r="CQ1212" s="42"/>
      <c r="CR1212" s="42"/>
      <c r="CS1212" s="42"/>
      <c r="CT1212" s="42"/>
      <c r="CU1212" s="42"/>
      <c r="CV1212" s="42"/>
      <c r="CW1212" s="42"/>
      <c r="CX1212" s="42"/>
      <c r="CY1212" s="42"/>
      <c r="CZ1212" s="42"/>
      <c r="DA1212" s="42"/>
      <c r="DB1212" s="42"/>
      <c r="DC1212" s="42"/>
      <c r="DD1212" s="42"/>
      <c r="DE1212" s="42"/>
      <c r="DF1212" s="42"/>
      <c r="DG1212" s="42"/>
      <c r="DH1212" s="42"/>
      <c r="DI1212" s="42"/>
      <c r="DJ1212" s="42"/>
      <c r="DK1212" s="42"/>
      <c r="DL1212" s="42"/>
      <c r="DM1212" s="42"/>
      <c r="DN1212" s="42"/>
      <c r="DO1212" s="42"/>
      <c r="DP1212" s="42"/>
      <c r="DQ1212" s="42"/>
      <c r="DR1212" s="42"/>
      <c r="DS1212" s="42"/>
      <c r="DT1212" s="42"/>
      <c r="DU1212" s="42"/>
      <c r="DV1212" s="42"/>
      <c r="DW1212" s="42"/>
      <c r="DX1212" s="42"/>
      <c r="DY1212" s="42"/>
      <c r="DZ1212" s="42"/>
      <c r="EA1212" s="42"/>
      <c r="EB1212" s="42"/>
      <c r="EC1212" s="42"/>
      <c r="ED1212" s="42"/>
      <c r="EE1212" s="42"/>
      <c r="EF1212" s="42"/>
      <c r="EG1212" s="42"/>
      <c r="EH1212" s="42"/>
      <c r="EI1212" s="42"/>
      <c r="EJ1212" s="42"/>
      <c r="EK1212" s="42"/>
      <c r="EL1212" s="42"/>
      <c r="EM1212" s="42"/>
      <c r="EN1212" s="42"/>
      <c r="EO1212" s="42"/>
      <c r="EP1212" s="42"/>
      <c r="EQ1212" s="42"/>
      <c r="ER1212" s="42"/>
      <c r="ES1212" s="42"/>
      <c r="ET1212" s="42"/>
      <c r="EU1212" s="42"/>
      <c r="EV1212" s="42"/>
      <c r="EW1212" s="42"/>
      <c r="EX1212" s="42"/>
      <c r="EY1212" s="42"/>
      <c r="EZ1212" s="42"/>
      <c r="FA1212" s="42"/>
      <c r="FB1212" s="42"/>
      <c r="FC1212" s="42"/>
    </row>
    <row r="1213" spans="1:159" s="41" customFormat="1" ht="15.75" customHeight="1" x14ac:dyDescent="0.25">
      <c r="A1213" s="233"/>
      <c r="B1213" s="233"/>
      <c r="C1213" s="306"/>
      <c r="D1213" s="233"/>
      <c r="E1213" s="233"/>
      <c r="F1213" s="233"/>
      <c r="G1213" s="232" t="s">
        <v>78</v>
      </c>
      <c r="H1213" s="57" t="s">
        <v>67</v>
      </c>
      <c r="I1213" s="50">
        <v>291245.3</v>
      </c>
      <c r="J1213" s="50">
        <f>I1213/D1210</f>
        <v>403.55</v>
      </c>
      <c r="K1213" s="50">
        <f>527</f>
        <v>527</v>
      </c>
      <c r="L1213" s="42"/>
      <c r="M1213" s="42"/>
      <c r="N1213" s="42"/>
      <c r="O1213" s="42"/>
      <c r="P1213" s="42"/>
      <c r="Q1213" s="42"/>
      <c r="R1213" s="42"/>
      <c r="S1213" s="42"/>
      <c r="T1213" s="42"/>
      <c r="U1213" s="42"/>
      <c r="V1213" s="42"/>
      <c r="W1213" s="42"/>
      <c r="X1213" s="42"/>
      <c r="Y1213" s="42"/>
      <c r="Z1213" s="42"/>
      <c r="AA1213" s="42"/>
      <c r="AB1213" s="42"/>
      <c r="AC1213" s="42"/>
      <c r="AD1213" s="42"/>
      <c r="AE1213" s="42"/>
      <c r="AF1213" s="42"/>
      <c r="AG1213" s="42"/>
      <c r="AH1213" s="42"/>
      <c r="AI1213" s="42"/>
      <c r="AJ1213" s="42"/>
      <c r="AK1213" s="42"/>
      <c r="AL1213" s="42"/>
      <c r="AM1213" s="42"/>
      <c r="AN1213" s="42"/>
      <c r="AO1213" s="42"/>
      <c r="AP1213" s="42"/>
      <c r="AQ1213" s="42"/>
      <c r="AR1213" s="42"/>
      <c r="AS1213" s="42"/>
      <c r="AT1213" s="42"/>
      <c r="AU1213" s="42"/>
      <c r="AV1213" s="42"/>
      <c r="AW1213" s="42"/>
      <c r="AX1213" s="42"/>
      <c r="AY1213" s="42"/>
      <c r="AZ1213" s="42"/>
      <c r="BA1213" s="42"/>
      <c r="BB1213" s="42"/>
      <c r="BC1213" s="42"/>
      <c r="BD1213" s="42"/>
      <c r="BE1213" s="42"/>
      <c r="BF1213" s="42"/>
      <c r="BG1213" s="42"/>
      <c r="BH1213" s="42"/>
      <c r="BI1213" s="42"/>
      <c r="BJ1213" s="42"/>
      <c r="BK1213" s="42"/>
      <c r="BL1213" s="42"/>
      <c r="BM1213" s="42"/>
      <c r="BN1213" s="42"/>
      <c r="BO1213" s="42"/>
      <c r="BP1213" s="42"/>
      <c r="BQ1213" s="42"/>
      <c r="BR1213" s="42"/>
      <c r="BS1213" s="42"/>
      <c r="BT1213" s="42"/>
      <c r="BU1213" s="42"/>
      <c r="BV1213" s="42"/>
      <c r="BW1213" s="42"/>
      <c r="BX1213" s="42"/>
      <c r="BY1213" s="42"/>
      <c r="BZ1213" s="42"/>
      <c r="CA1213" s="42"/>
      <c r="CB1213" s="42"/>
      <c r="CC1213" s="42"/>
      <c r="CD1213" s="42"/>
      <c r="CE1213" s="42"/>
      <c r="CF1213" s="42"/>
      <c r="CG1213" s="42"/>
      <c r="CH1213" s="42"/>
      <c r="CI1213" s="42"/>
      <c r="CJ1213" s="42"/>
      <c r="CK1213" s="42"/>
      <c r="CL1213" s="42"/>
      <c r="CM1213" s="42"/>
      <c r="CN1213" s="42"/>
      <c r="CO1213" s="42"/>
      <c r="CP1213" s="42"/>
      <c r="CQ1213" s="42"/>
      <c r="CR1213" s="42"/>
      <c r="CS1213" s="42"/>
      <c r="CT1213" s="42"/>
      <c r="CU1213" s="42"/>
      <c r="CV1213" s="42"/>
      <c r="CW1213" s="42"/>
      <c r="CX1213" s="42"/>
      <c r="CY1213" s="42"/>
      <c r="CZ1213" s="42"/>
      <c r="DA1213" s="42"/>
      <c r="DB1213" s="42"/>
      <c r="DC1213" s="42"/>
      <c r="DD1213" s="42"/>
      <c r="DE1213" s="42"/>
      <c r="DF1213" s="42"/>
      <c r="DG1213" s="42"/>
      <c r="DH1213" s="42"/>
      <c r="DI1213" s="42"/>
      <c r="DJ1213" s="42"/>
      <c r="DK1213" s="42"/>
      <c r="DL1213" s="42"/>
      <c r="DM1213" s="42"/>
      <c r="DN1213" s="42"/>
      <c r="DO1213" s="42"/>
      <c r="DP1213" s="42"/>
      <c r="DQ1213" s="42"/>
      <c r="DR1213" s="42"/>
      <c r="DS1213" s="42"/>
      <c r="DT1213" s="42"/>
      <c r="DU1213" s="42"/>
      <c r="DV1213" s="42"/>
      <c r="DW1213" s="42"/>
      <c r="DX1213" s="42"/>
      <c r="DY1213" s="42"/>
      <c r="DZ1213" s="42"/>
      <c r="EA1213" s="42"/>
      <c r="EB1213" s="42"/>
      <c r="EC1213" s="42"/>
      <c r="ED1213" s="42"/>
      <c r="EE1213" s="42"/>
      <c r="EF1213" s="42"/>
      <c r="EG1213" s="42"/>
      <c r="EH1213" s="42"/>
      <c r="EI1213" s="42"/>
      <c r="EJ1213" s="42"/>
      <c r="EK1213" s="42"/>
      <c r="EL1213" s="42"/>
      <c r="EM1213" s="42"/>
      <c r="EN1213" s="42"/>
      <c r="EO1213" s="42"/>
      <c r="EP1213" s="42"/>
      <c r="EQ1213" s="42"/>
      <c r="ER1213" s="42"/>
      <c r="ES1213" s="42"/>
      <c r="ET1213" s="42"/>
      <c r="EU1213" s="42"/>
      <c r="EV1213" s="42"/>
      <c r="EW1213" s="42"/>
      <c r="EX1213" s="42"/>
      <c r="EY1213" s="42"/>
      <c r="EZ1213" s="42"/>
      <c r="FA1213" s="42"/>
      <c r="FB1213" s="42"/>
      <c r="FC1213" s="42"/>
    </row>
    <row r="1214" spans="1:159" s="41" customFormat="1" x14ac:dyDescent="0.25">
      <c r="A1214" s="234"/>
      <c r="B1214" s="234"/>
      <c r="C1214" s="299"/>
      <c r="D1214" s="234"/>
      <c r="E1214" s="234"/>
      <c r="F1214" s="234"/>
      <c r="G1214" s="234"/>
      <c r="H1214" s="57" t="s">
        <v>69</v>
      </c>
      <c r="I1214" s="50">
        <v>6232.65</v>
      </c>
      <c r="J1214" s="50">
        <f>I1214/D1210</f>
        <v>8.64</v>
      </c>
      <c r="K1214" s="50">
        <f>11</f>
        <v>11</v>
      </c>
      <c r="L1214" s="42"/>
      <c r="M1214" s="42"/>
      <c r="N1214" s="42"/>
      <c r="O1214" s="42"/>
      <c r="P1214" s="42"/>
      <c r="Q1214" s="42"/>
      <c r="R1214" s="42"/>
      <c r="S1214" s="42"/>
      <c r="T1214" s="42"/>
      <c r="U1214" s="42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  <c r="AF1214" s="42"/>
      <c r="AG1214" s="42"/>
      <c r="AH1214" s="42"/>
      <c r="AI1214" s="42"/>
      <c r="AJ1214" s="42"/>
      <c r="AK1214" s="42"/>
      <c r="AL1214" s="42"/>
      <c r="AM1214" s="42"/>
      <c r="AN1214" s="42"/>
      <c r="AO1214" s="42"/>
      <c r="AP1214" s="42"/>
      <c r="AQ1214" s="42"/>
      <c r="AR1214" s="42"/>
      <c r="AS1214" s="42"/>
      <c r="AT1214" s="42"/>
      <c r="AU1214" s="42"/>
      <c r="AV1214" s="42"/>
      <c r="AW1214" s="42"/>
      <c r="AX1214" s="42"/>
      <c r="AY1214" s="42"/>
      <c r="AZ1214" s="42"/>
      <c r="BA1214" s="42"/>
      <c r="BB1214" s="42"/>
      <c r="BC1214" s="42"/>
      <c r="BD1214" s="42"/>
      <c r="BE1214" s="42"/>
      <c r="BF1214" s="42"/>
      <c r="BG1214" s="42"/>
      <c r="BH1214" s="42"/>
      <c r="BI1214" s="42"/>
      <c r="BJ1214" s="42"/>
      <c r="BK1214" s="42"/>
      <c r="BL1214" s="42"/>
      <c r="BM1214" s="42"/>
      <c r="BN1214" s="42"/>
      <c r="BO1214" s="42"/>
      <c r="BP1214" s="42"/>
      <c r="BQ1214" s="42"/>
      <c r="BR1214" s="42"/>
      <c r="BS1214" s="42"/>
      <c r="BT1214" s="42"/>
      <c r="BU1214" s="42"/>
      <c r="BV1214" s="42"/>
      <c r="BW1214" s="42"/>
      <c r="BX1214" s="42"/>
      <c r="BY1214" s="42"/>
      <c r="BZ1214" s="42"/>
      <c r="CA1214" s="42"/>
      <c r="CB1214" s="42"/>
      <c r="CC1214" s="42"/>
      <c r="CD1214" s="42"/>
      <c r="CE1214" s="42"/>
      <c r="CF1214" s="42"/>
      <c r="CG1214" s="42"/>
      <c r="CH1214" s="42"/>
      <c r="CI1214" s="42"/>
      <c r="CJ1214" s="42"/>
      <c r="CK1214" s="42"/>
      <c r="CL1214" s="42"/>
      <c r="CM1214" s="42"/>
      <c r="CN1214" s="42"/>
      <c r="CO1214" s="42"/>
      <c r="CP1214" s="42"/>
      <c r="CQ1214" s="42"/>
      <c r="CR1214" s="42"/>
      <c r="CS1214" s="42"/>
      <c r="CT1214" s="42"/>
      <c r="CU1214" s="42"/>
      <c r="CV1214" s="42"/>
      <c r="CW1214" s="42"/>
      <c r="CX1214" s="42"/>
      <c r="CY1214" s="42"/>
      <c r="CZ1214" s="42"/>
      <c r="DA1214" s="42"/>
      <c r="DB1214" s="42"/>
      <c r="DC1214" s="42"/>
      <c r="DD1214" s="42"/>
      <c r="DE1214" s="42"/>
      <c r="DF1214" s="42"/>
      <c r="DG1214" s="42"/>
      <c r="DH1214" s="42"/>
      <c r="DI1214" s="42"/>
      <c r="DJ1214" s="42"/>
      <c r="DK1214" s="42"/>
      <c r="DL1214" s="42"/>
      <c r="DM1214" s="42"/>
      <c r="DN1214" s="42"/>
      <c r="DO1214" s="42"/>
      <c r="DP1214" s="42"/>
      <c r="DQ1214" s="42"/>
      <c r="DR1214" s="42"/>
      <c r="DS1214" s="42"/>
      <c r="DT1214" s="42"/>
      <c r="DU1214" s="42"/>
      <c r="DV1214" s="42"/>
      <c r="DW1214" s="42"/>
      <c r="DX1214" s="42"/>
      <c r="DY1214" s="42"/>
      <c r="DZ1214" s="42"/>
      <c r="EA1214" s="42"/>
      <c r="EB1214" s="42"/>
      <c r="EC1214" s="42"/>
      <c r="ED1214" s="42"/>
      <c r="EE1214" s="42"/>
      <c r="EF1214" s="42"/>
      <c r="EG1214" s="42"/>
      <c r="EH1214" s="42"/>
      <c r="EI1214" s="42"/>
      <c r="EJ1214" s="42"/>
      <c r="EK1214" s="42"/>
      <c r="EL1214" s="42"/>
      <c r="EM1214" s="42"/>
      <c r="EN1214" s="42"/>
      <c r="EO1214" s="42"/>
      <c r="EP1214" s="42"/>
      <c r="EQ1214" s="42"/>
      <c r="ER1214" s="42"/>
      <c r="ES1214" s="42"/>
      <c r="ET1214" s="42"/>
      <c r="EU1214" s="42"/>
      <c r="EV1214" s="42"/>
      <c r="EW1214" s="42"/>
      <c r="EX1214" s="42"/>
      <c r="EY1214" s="42"/>
      <c r="EZ1214" s="42"/>
      <c r="FA1214" s="42"/>
      <c r="FB1214" s="42"/>
      <c r="FC1214" s="42"/>
    </row>
    <row r="1215" spans="1:159" s="41" customFormat="1" x14ac:dyDescent="0.25">
      <c r="A1215" s="71" t="s">
        <v>40</v>
      </c>
      <c r="B1215" s="114"/>
      <c r="C1215" s="91"/>
      <c r="D1215" s="116">
        <f>D1216+D1223+D1226+D1228+D1230+D1233+D1236+D1238+D1241+D1243+D1259+D1262+D1269+D1272+D1275+D1279+D1282+D1285+D1287+D1289+D1292+D1296+D1298+D1301+D1304+D1307+D1309+D1313+D1321+D1325+D1329+D1333+D1336+D1340+D1349+D1360+D1363+D1367+D1374+D1381+D1386+D1388+D1391+D1398+D1400+D1405</f>
        <v>266149.95</v>
      </c>
      <c r="E1215" s="116"/>
      <c r="F1215" s="73"/>
      <c r="G1215" s="104"/>
      <c r="H1215" s="8"/>
      <c r="I1215" s="125">
        <f>I1216+I1223+I1226+I1228+I1230+I1233+I1236+I1238+I1241+I1243+I1259+I1262+I1269+I1272+I1275+I1279+I1282+I1285+I1287+I1289+I1292+I1296+I1298+I1301+I1304+I1307+I1309+I1313+I1321+I1325+I1329+I1333+I1336+I1340+I1349+I1360+I1363+I1367+I1374+I1381+I1386+I1388+I1391+I1398+I1400+I1405</f>
        <v>235135664.30000001</v>
      </c>
      <c r="J1215" s="125"/>
      <c r="K1215" s="125"/>
    </row>
    <row r="1216" spans="1:159" s="41" customFormat="1" x14ac:dyDescent="0.25">
      <c r="A1216" s="209">
        <v>1</v>
      </c>
      <c r="B1216" s="209">
        <v>5956</v>
      </c>
      <c r="C1216" s="212" t="s">
        <v>394</v>
      </c>
      <c r="D1216" s="205">
        <v>1225.2</v>
      </c>
      <c r="E1216" s="262" t="s">
        <v>68</v>
      </c>
      <c r="F1216" s="262">
        <v>3</v>
      </c>
      <c r="G1216" s="124"/>
      <c r="H1216" s="62" t="s">
        <v>66</v>
      </c>
      <c r="I1216" s="125">
        <f>SUM(I1217:I1222)</f>
        <v>1696656.96</v>
      </c>
      <c r="J1216" s="125">
        <f>SUM(J1217:J1222)</f>
        <v>1384.8</v>
      </c>
      <c r="K1216" s="125">
        <f>SUM(K1217:K1222)</f>
        <v>4161</v>
      </c>
    </row>
    <row r="1217" spans="1:11" s="41" customFormat="1" ht="63" x14ac:dyDescent="0.25">
      <c r="A1217" s="210"/>
      <c r="B1217" s="210"/>
      <c r="C1217" s="213"/>
      <c r="D1217" s="206"/>
      <c r="E1217" s="263"/>
      <c r="F1217" s="263"/>
      <c r="G1217" s="209" t="s">
        <v>70</v>
      </c>
      <c r="H1217" s="62" t="s">
        <v>168</v>
      </c>
      <c r="I1217" s="125">
        <f>D1216*K1217</f>
        <v>167852.4</v>
      </c>
      <c r="J1217" s="125">
        <f>I1217/D1216</f>
        <v>137</v>
      </c>
      <c r="K1217" s="125">
        <f>116+21</f>
        <v>137</v>
      </c>
    </row>
    <row r="1218" spans="1:11" s="41" customFormat="1" x14ac:dyDescent="0.25">
      <c r="A1218" s="210"/>
      <c r="B1218" s="210"/>
      <c r="C1218" s="213"/>
      <c r="D1218" s="206"/>
      <c r="E1218" s="263"/>
      <c r="F1218" s="263"/>
      <c r="G1218" s="211"/>
      <c r="H1218" s="62" t="s">
        <v>169</v>
      </c>
      <c r="I1218" s="125">
        <f>D1216*K1218*30/100</f>
        <v>1069967.1599999999</v>
      </c>
      <c r="J1218" s="125">
        <f>I1218/D1216</f>
        <v>873.3</v>
      </c>
      <c r="K1218" s="125">
        <v>2911</v>
      </c>
    </row>
    <row r="1219" spans="1:11" s="41" customFormat="1" ht="63" x14ac:dyDescent="0.25">
      <c r="A1219" s="210"/>
      <c r="B1219" s="210"/>
      <c r="C1219" s="213"/>
      <c r="D1219" s="206"/>
      <c r="E1219" s="263"/>
      <c r="F1219" s="263"/>
      <c r="G1219" s="209" t="s">
        <v>71</v>
      </c>
      <c r="H1219" s="62" t="s">
        <v>168</v>
      </c>
      <c r="I1219" s="125">
        <f>D1216*K1219</f>
        <v>35530.800000000003</v>
      </c>
      <c r="J1219" s="125">
        <f>I1219/D1216</f>
        <v>29</v>
      </c>
      <c r="K1219" s="125">
        <f>21+8</f>
        <v>29</v>
      </c>
    </row>
    <row r="1220" spans="1:11" s="41" customFormat="1" x14ac:dyDescent="0.25">
      <c r="A1220" s="210"/>
      <c r="B1220" s="210"/>
      <c r="C1220" s="213"/>
      <c r="D1220" s="206"/>
      <c r="E1220" s="263"/>
      <c r="F1220" s="263"/>
      <c r="G1220" s="211"/>
      <c r="H1220" s="62" t="s">
        <v>169</v>
      </c>
      <c r="I1220" s="125">
        <f>D1216*K1220*30/100</f>
        <v>188558.28</v>
      </c>
      <c r="J1220" s="125">
        <f>I1220/D1216</f>
        <v>153.9</v>
      </c>
      <c r="K1220" s="125">
        <v>513</v>
      </c>
    </row>
    <row r="1221" spans="1:11" s="41" customFormat="1" ht="63" x14ac:dyDescent="0.25">
      <c r="A1221" s="210"/>
      <c r="B1221" s="210"/>
      <c r="C1221" s="213"/>
      <c r="D1221" s="206"/>
      <c r="E1221" s="263"/>
      <c r="F1221" s="263"/>
      <c r="G1221" s="209" t="s">
        <v>72</v>
      </c>
      <c r="H1221" s="62" t="s">
        <v>168</v>
      </c>
      <c r="I1221" s="125">
        <f>D1216*K1221</f>
        <v>35530.800000000003</v>
      </c>
      <c r="J1221" s="125">
        <f>I1221/D1216</f>
        <v>29</v>
      </c>
      <c r="K1221" s="125">
        <f>22+7</f>
        <v>29</v>
      </c>
    </row>
    <row r="1222" spans="1:11" s="41" customFormat="1" x14ac:dyDescent="0.25">
      <c r="A1222" s="210"/>
      <c r="B1222" s="210"/>
      <c r="C1222" s="213"/>
      <c r="D1222" s="206"/>
      <c r="E1222" s="263"/>
      <c r="F1222" s="263"/>
      <c r="G1222" s="211"/>
      <c r="H1222" s="62" t="s">
        <v>169</v>
      </c>
      <c r="I1222" s="125">
        <f>D1216*K1222*30/100</f>
        <v>199217.52</v>
      </c>
      <c r="J1222" s="125">
        <f>I1222/D1216</f>
        <v>162.6</v>
      </c>
      <c r="K1222" s="125">
        <v>542</v>
      </c>
    </row>
    <row r="1223" spans="1:11" s="41" customFormat="1" x14ac:dyDescent="0.25">
      <c r="A1223" s="209">
        <f>A1216+1</f>
        <v>2</v>
      </c>
      <c r="B1223" s="209">
        <v>5990</v>
      </c>
      <c r="C1223" s="212" t="s">
        <v>395</v>
      </c>
      <c r="D1223" s="205">
        <v>3134</v>
      </c>
      <c r="E1223" s="262" t="s">
        <v>68</v>
      </c>
      <c r="F1223" s="262">
        <v>5</v>
      </c>
      <c r="G1223" s="124"/>
      <c r="H1223" s="62" t="s">
        <v>66</v>
      </c>
      <c r="I1223" s="125">
        <f>SUM(I1224:I1225)</f>
        <v>3999751.81</v>
      </c>
      <c r="J1223" s="125">
        <f>SUM(J1224:J1225)</f>
        <v>1276.24</v>
      </c>
      <c r="K1223" s="125">
        <f>SUM(K1224:K1225)</f>
        <v>3966</v>
      </c>
    </row>
    <row r="1224" spans="1:11" s="41" customFormat="1" ht="63" x14ac:dyDescent="0.25">
      <c r="A1224" s="210"/>
      <c r="B1224" s="210"/>
      <c r="C1224" s="213"/>
      <c r="D1224" s="206"/>
      <c r="E1224" s="263"/>
      <c r="F1224" s="263"/>
      <c r="G1224" s="209" t="s">
        <v>65</v>
      </c>
      <c r="H1224" s="62" t="s">
        <v>168</v>
      </c>
      <c r="I1224" s="125">
        <f>373400.41+56412</f>
        <v>429812.41</v>
      </c>
      <c r="J1224" s="125">
        <f>I1224/D1223</f>
        <v>137.13999999999999</v>
      </c>
      <c r="K1224" s="125">
        <f>151+18</f>
        <v>169</v>
      </c>
    </row>
    <row r="1225" spans="1:11" s="41" customFormat="1" x14ac:dyDescent="0.25">
      <c r="A1225" s="210"/>
      <c r="B1225" s="210"/>
      <c r="C1225" s="213"/>
      <c r="D1225" s="206"/>
      <c r="E1225" s="263"/>
      <c r="F1225" s="263"/>
      <c r="G1225" s="210"/>
      <c r="H1225" s="62" t="s">
        <v>169</v>
      </c>
      <c r="I1225" s="125">
        <f>D1223*K1225*30/100</f>
        <v>3569939.4</v>
      </c>
      <c r="J1225" s="125">
        <f>I1225/D1223</f>
        <v>1139.0999999999999</v>
      </c>
      <c r="K1225" s="125">
        <v>3797</v>
      </c>
    </row>
    <row r="1226" spans="1:11" s="41" customFormat="1" x14ac:dyDescent="0.25">
      <c r="A1226" s="209">
        <f>A1223+1</f>
        <v>3</v>
      </c>
      <c r="B1226" s="209">
        <v>6007</v>
      </c>
      <c r="C1226" s="212" t="s">
        <v>396</v>
      </c>
      <c r="D1226" s="205">
        <v>3159.5</v>
      </c>
      <c r="E1226" s="262" t="s">
        <v>68</v>
      </c>
      <c r="F1226" s="262">
        <v>5</v>
      </c>
      <c r="G1226" s="124"/>
      <c r="H1226" s="62" t="s">
        <v>66</v>
      </c>
      <c r="I1226" s="125">
        <f>SUM(I1227:I1227)</f>
        <v>436618.56</v>
      </c>
      <c r="J1226" s="125">
        <f>SUM(J1227:J1227)</f>
        <v>138.19</v>
      </c>
      <c r="K1226" s="125">
        <f>SUM(K1227:K1227)</f>
        <v>169</v>
      </c>
    </row>
    <row r="1227" spans="1:11" s="41" customFormat="1" ht="63" x14ac:dyDescent="0.25">
      <c r="A1227" s="210"/>
      <c r="B1227" s="210"/>
      <c r="C1227" s="213"/>
      <c r="D1227" s="206"/>
      <c r="E1227" s="263"/>
      <c r="F1227" s="263"/>
      <c r="G1227" s="106" t="s">
        <v>65</v>
      </c>
      <c r="H1227" s="62" t="s">
        <v>168</v>
      </c>
      <c r="I1227" s="125">
        <f>379747.56+56871</f>
        <v>436618.56</v>
      </c>
      <c r="J1227" s="125">
        <f>I1227/D1226</f>
        <v>138.19</v>
      </c>
      <c r="K1227" s="125">
        <f>151+18</f>
        <v>169</v>
      </c>
    </row>
    <row r="1228" spans="1:11" s="41" customFormat="1" x14ac:dyDescent="0.25">
      <c r="A1228" s="209">
        <f>A1226+1</f>
        <v>4</v>
      </c>
      <c r="B1228" s="209">
        <v>6024</v>
      </c>
      <c r="C1228" s="212" t="s">
        <v>397</v>
      </c>
      <c r="D1228" s="205">
        <v>2445.6</v>
      </c>
      <c r="E1228" s="205" t="s">
        <v>68</v>
      </c>
      <c r="F1228" s="262">
        <v>9</v>
      </c>
      <c r="G1228" s="209" t="s">
        <v>65</v>
      </c>
      <c r="H1228" s="62" t="s">
        <v>66</v>
      </c>
      <c r="I1228" s="125">
        <f>I1229</f>
        <v>401078.4</v>
      </c>
      <c r="J1228" s="125">
        <f>J1229</f>
        <v>164</v>
      </c>
      <c r="K1228" s="125">
        <f>K1229</f>
        <v>164</v>
      </c>
    </row>
    <row r="1229" spans="1:11" s="41" customFormat="1" ht="63" x14ac:dyDescent="0.25">
      <c r="A1229" s="210"/>
      <c r="B1229" s="210"/>
      <c r="C1229" s="213"/>
      <c r="D1229" s="206"/>
      <c r="E1229" s="206"/>
      <c r="F1229" s="263"/>
      <c r="G1229" s="210"/>
      <c r="H1229" s="62" t="s">
        <v>178</v>
      </c>
      <c r="I1229" s="125">
        <f>D1228*K1229</f>
        <v>401078.4</v>
      </c>
      <c r="J1229" s="125">
        <f>I1229/D1228</f>
        <v>164</v>
      </c>
      <c r="K1229" s="125">
        <f>151+13</f>
        <v>164</v>
      </c>
    </row>
    <row r="1230" spans="1:11" s="41" customFormat="1" x14ac:dyDescent="0.25">
      <c r="A1230" s="209">
        <f>A1228+1</f>
        <v>5</v>
      </c>
      <c r="B1230" s="209">
        <v>6026</v>
      </c>
      <c r="C1230" s="212" t="s">
        <v>386</v>
      </c>
      <c r="D1230" s="205">
        <v>2728.7</v>
      </c>
      <c r="E1230" s="205" t="s">
        <v>64</v>
      </c>
      <c r="F1230" s="262">
        <v>5</v>
      </c>
      <c r="G1230" s="209" t="s">
        <v>65</v>
      </c>
      <c r="H1230" s="62" t="s">
        <v>66</v>
      </c>
      <c r="I1230" s="125">
        <f>I1231+I1232</f>
        <v>6428255.9900000002</v>
      </c>
      <c r="J1230" s="125">
        <f>J1231+J1232</f>
        <v>2355.79</v>
      </c>
      <c r="K1230" s="125">
        <f>K1231+K1232</f>
        <v>3878</v>
      </c>
    </row>
    <row r="1231" spans="1:11" s="41" customFormat="1" x14ac:dyDescent="0.25">
      <c r="A1231" s="210"/>
      <c r="B1231" s="210"/>
      <c r="C1231" s="213"/>
      <c r="D1231" s="206"/>
      <c r="E1231" s="206"/>
      <c r="F1231" s="263"/>
      <c r="G1231" s="210"/>
      <c r="H1231" s="62" t="s">
        <v>67</v>
      </c>
      <c r="I1231" s="125">
        <v>6428255.9900000002</v>
      </c>
      <c r="J1231" s="125">
        <f>I1231/D1230</f>
        <v>2355.79</v>
      </c>
      <c r="K1231" s="125">
        <v>3797</v>
      </c>
    </row>
    <row r="1232" spans="1:11" s="41" customFormat="1" x14ac:dyDescent="0.25">
      <c r="A1232" s="211"/>
      <c r="B1232" s="211"/>
      <c r="C1232" s="214"/>
      <c r="D1232" s="207"/>
      <c r="E1232" s="207"/>
      <c r="F1232" s="264"/>
      <c r="G1232" s="211"/>
      <c r="H1232" s="62" t="s">
        <v>69</v>
      </c>
      <c r="I1232" s="125">
        <f>0</f>
        <v>0</v>
      </c>
      <c r="J1232" s="125">
        <f>I1232/D1230</f>
        <v>0</v>
      </c>
      <c r="K1232" s="125">
        <v>81</v>
      </c>
    </row>
    <row r="1233" spans="1:11" s="41" customFormat="1" x14ac:dyDescent="0.25">
      <c r="A1233" s="209">
        <f>A1230+1</f>
        <v>6</v>
      </c>
      <c r="B1233" s="209">
        <v>6030</v>
      </c>
      <c r="C1233" s="212" t="s">
        <v>387</v>
      </c>
      <c r="D1233" s="205">
        <v>16127.59</v>
      </c>
      <c r="E1233" s="205" t="s">
        <v>68</v>
      </c>
      <c r="F1233" s="262">
        <v>9</v>
      </c>
      <c r="G1233" s="209" t="s">
        <v>65</v>
      </c>
      <c r="H1233" s="62" t="s">
        <v>66</v>
      </c>
      <c r="I1233" s="125">
        <f>I1234+I1235</f>
        <v>10578755.75</v>
      </c>
      <c r="J1233" s="125">
        <f>J1234+J1235</f>
        <v>655.94</v>
      </c>
      <c r="K1233" s="125">
        <f>K1234+K1235</f>
        <v>2492</v>
      </c>
    </row>
    <row r="1234" spans="1:11" s="41" customFormat="1" x14ac:dyDescent="0.25">
      <c r="A1234" s="210"/>
      <c r="B1234" s="210"/>
      <c r="C1234" s="213"/>
      <c r="D1234" s="206"/>
      <c r="E1234" s="206"/>
      <c r="F1234" s="263"/>
      <c r="G1234" s="210"/>
      <c r="H1234" s="62" t="s">
        <v>67</v>
      </c>
      <c r="I1234" s="125">
        <v>10578755.75</v>
      </c>
      <c r="J1234" s="125">
        <f>I1234/D1233</f>
        <v>655.94</v>
      </c>
      <c r="K1234" s="125">
        <v>2440</v>
      </c>
    </row>
    <row r="1235" spans="1:11" s="41" customFormat="1" x14ac:dyDescent="0.25">
      <c r="A1235" s="211"/>
      <c r="B1235" s="211"/>
      <c r="C1235" s="214"/>
      <c r="D1235" s="207"/>
      <c r="E1235" s="207"/>
      <c r="F1235" s="264"/>
      <c r="G1235" s="211"/>
      <c r="H1235" s="62" t="s">
        <v>69</v>
      </c>
      <c r="I1235" s="125">
        <v>0</v>
      </c>
      <c r="J1235" s="125">
        <f>I1235/D1233</f>
        <v>0</v>
      </c>
      <c r="K1235" s="125">
        <v>52</v>
      </c>
    </row>
    <row r="1236" spans="1:11" s="41" customFormat="1" ht="15.75" customHeight="1" x14ac:dyDescent="0.25">
      <c r="A1236" s="209">
        <f>A1233+1</f>
        <v>7</v>
      </c>
      <c r="B1236" s="209">
        <v>6031</v>
      </c>
      <c r="C1236" s="212" t="s">
        <v>420</v>
      </c>
      <c r="D1236" s="205">
        <v>5197.3900000000003</v>
      </c>
      <c r="E1236" s="205" t="s">
        <v>68</v>
      </c>
      <c r="F1236" s="262">
        <v>5</v>
      </c>
      <c r="G1236" s="209" t="s">
        <v>65</v>
      </c>
      <c r="H1236" s="62" t="s">
        <v>66</v>
      </c>
      <c r="I1236" s="125">
        <f>I1237</f>
        <v>556330.99</v>
      </c>
      <c r="J1236" s="125">
        <f>J1237</f>
        <v>107.04</v>
      </c>
      <c r="K1236" s="125">
        <f>K1237</f>
        <v>169</v>
      </c>
    </row>
    <row r="1237" spans="1:11" s="41" customFormat="1" ht="63" x14ac:dyDescent="0.25">
      <c r="A1237" s="210"/>
      <c r="B1237" s="210"/>
      <c r="C1237" s="213"/>
      <c r="D1237" s="206"/>
      <c r="E1237" s="206"/>
      <c r="F1237" s="263"/>
      <c r="G1237" s="210"/>
      <c r="H1237" s="62" t="s">
        <v>178</v>
      </c>
      <c r="I1237" s="125">
        <f>462777.97+93553.02</f>
        <v>556330.99</v>
      </c>
      <c r="J1237" s="125">
        <f>I1237/D1236</f>
        <v>107.04</v>
      </c>
      <c r="K1237" s="125">
        <f>151+18</f>
        <v>169</v>
      </c>
    </row>
    <row r="1238" spans="1:11" s="41" customFormat="1" x14ac:dyDescent="0.25">
      <c r="A1238" s="209">
        <f>A1236+1</f>
        <v>8</v>
      </c>
      <c r="B1238" s="209">
        <v>6039</v>
      </c>
      <c r="C1238" s="212" t="s">
        <v>570</v>
      </c>
      <c r="D1238" s="205">
        <v>6661.52</v>
      </c>
      <c r="E1238" s="205" t="s">
        <v>68</v>
      </c>
      <c r="F1238" s="262">
        <v>10</v>
      </c>
      <c r="G1238" s="117"/>
      <c r="H1238" s="62" t="s">
        <v>66</v>
      </c>
      <c r="I1238" s="125">
        <f>SUM(I1239:I1240)</f>
        <v>2458756</v>
      </c>
      <c r="J1238" s="125">
        <f>SUM(J1239:J1240)</f>
        <v>369.1</v>
      </c>
      <c r="K1238" s="125">
        <f>SUM(K1239:K1240)</f>
        <v>377</v>
      </c>
    </row>
    <row r="1239" spans="1:11" s="41" customFormat="1" ht="15.75" customHeight="1" x14ac:dyDescent="0.25">
      <c r="A1239" s="210"/>
      <c r="B1239" s="210"/>
      <c r="C1239" s="213"/>
      <c r="D1239" s="206"/>
      <c r="E1239" s="206"/>
      <c r="F1239" s="263"/>
      <c r="G1239" s="210" t="s">
        <v>173</v>
      </c>
      <c r="H1239" s="62" t="s">
        <v>171</v>
      </c>
      <c r="I1239" s="125">
        <v>2458756</v>
      </c>
      <c r="J1239" s="125">
        <f>I1239/D1238</f>
        <v>369.1</v>
      </c>
      <c r="K1239" s="125">
        <f>2458756/D1238</f>
        <v>369.1</v>
      </c>
    </row>
    <row r="1240" spans="1:11" s="41" customFormat="1" x14ac:dyDescent="0.25">
      <c r="A1240" s="210"/>
      <c r="B1240" s="210"/>
      <c r="C1240" s="213"/>
      <c r="D1240" s="206"/>
      <c r="E1240" s="206"/>
      <c r="F1240" s="263"/>
      <c r="G1240" s="211"/>
      <c r="H1240" s="62" t="s">
        <v>69</v>
      </c>
      <c r="I1240" s="125">
        <v>0</v>
      </c>
      <c r="J1240" s="125">
        <f>I1240/D1238</f>
        <v>0</v>
      </c>
      <c r="K1240" s="125">
        <f>52617/D1238</f>
        <v>7.9</v>
      </c>
    </row>
    <row r="1241" spans="1:11" s="41" customFormat="1" x14ac:dyDescent="0.25">
      <c r="A1241" s="209">
        <f>A1238+1</f>
        <v>9</v>
      </c>
      <c r="B1241" s="209">
        <v>6045</v>
      </c>
      <c r="C1241" s="212" t="s">
        <v>580</v>
      </c>
      <c r="D1241" s="205">
        <v>34688.300000000003</v>
      </c>
      <c r="E1241" s="205" t="s">
        <v>68</v>
      </c>
      <c r="F1241" s="262">
        <v>9</v>
      </c>
      <c r="G1241" s="117"/>
      <c r="H1241" s="62" t="s">
        <v>66</v>
      </c>
      <c r="I1241" s="125">
        <f>SUM(I1242:I1242)</f>
        <v>32281</v>
      </c>
      <c r="J1241" s="125">
        <f>SUM(J1242:J1242)</f>
        <v>0.93</v>
      </c>
      <c r="K1241" s="125">
        <f>SUM(K1242:K1242)</f>
        <v>0.93</v>
      </c>
    </row>
    <row r="1242" spans="1:11" s="41" customFormat="1" ht="63" x14ac:dyDescent="0.25">
      <c r="A1242" s="210"/>
      <c r="B1242" s="210"/>
      <c r="C1242" s="213"/>
      <c r="D1242" s="206"/>
      <c r="E1242" s="206"/>
      <c r="F1242" s="263"/>
      <c r="G1242" s="106" t="s">
        <v>581</v>
      </c>
      <c r="H1242" s="62" t="s">
        <v>168</v>
      </c>
      <c r="I1242" s="125">
        <v>32281</v>
      </c>
      <c r="J1242" s="125">
        <f>I1242/D1241</f>
        <v>0.93</v>
      </c>
      <c r="K1242" s="125">
        <f>(22681+9600)/D1241</f>
        <v>0.93</v>
      </c>
    </row>
    <row r="1243" spans="1:11" s="41" customFormat="1" x14ac:dyDescent="0.25">
      <c r="A1243" s="209">
        <f>A1241+1</f>
        <v>10</v>
      </c>
      <c r="B1243" s="209">
        <v>6061</v>
      </c>
      <c r="C1243" s="212" t="s">
        <v>466</v>
      </c>
      <c r="D1243" s="205">
        <v>43293.2</v>
      </c>
      <c r="E1243" s="205" t="s">
        <v>68</v>
      </c>
      <c r="F1243" s="262">
        <v>9</v>
      </c>
      <c r="G1243" s="117"/>
      <c r="H1243" s="62" t="s">
        <v>66</v>
      </c>
      <c r="I1243" s="125">
        <f>SUM(I1244:I1258)</f>
        <v>11369640</v>
      </c>
      <c r="J1243" s="125">
        <f>SUM(J1244:J1258)</f>
        <v>262.62</v>
      </c>
      <c r="K1243" s="125">
        <f>SUM(K1244:K1258)</f>
        <v>268.72000000000003</v>
      </c>
    </row>
    <row r="1244" spans="1:11" s="41" customFormat="1" ht="63" x14ac:dyDescent="0.25">
      <c r="A1244" s="210"/>
      <c r="B1244" s="210"/>
      <c r="C1244" s="213"/>
      <c r="D1244" s="206"/>
      <c r="E1244" s="206"/>
      <c r="F1244" s="263"/>
      <c r="G1244" s="106" t="s">
        <v>170</v>
      </c>
      <c r="H1244" s="62" t="s">
        <v>168</v>
      </c>
      <c r="I1244" s="125">
        <v>32281</v>
      </c>
      <c r="J1244" s="125">
        <f>I1244/D1243</f>
        <v>0.75</v>
      </c>
      <c r="K1244" s="125">
        <f>(22681+9600)/D1243</f>
        <v>0.75</v>
      </c>
    </row>
    <row r="1245" spans="1:11" s="41" customFormat="1" ht="63" x14ac:dyDescent="0.25">
      <c r="A1245" s="210"/>
      <c r="B1245" s="210"/>
      <c r="C1245" s="213"/>
      <c r="D1245" s="206"/>
      <c r="E1245" s="206"/>
      <c r="F1245" s="263"/>
      <c r="G1245" s="106" t="s">
        <v>173</v>
      </c>
      <c r="H1245" s="62" t="s">
        <v>168</v>
      </c>
      <c r="I1245" s="125">
        <v>32281</v>
      </c>
      <c r="J1245" s="125">
        <f>I1245/D1243</f>
        <v>0.75</v>
      </c>
      <c r="K1245" s="125">
        <f>(22681+9600)/D1243</f>
        <v>0.75</v>
      </c>
    </row>
    <row r="1246" spans="1:11" s="41" customFormat="1" ht="63" x14ac:dyDescent="0.25">
      <c r="A1246" s="210"/>
      <c r="B1246" s="210"/>
      <c r="C1246" s="213"/>
      <c r="D1246" s="206"/>
      <c r="E1246" s="206"/>
      <c r="F1246" s="263"/>
      <c r="G1246" s="106" t="s">
        <v>174</v>
      </c>
      <c r="H1246" s="62" t="s">
        <v>168</v>
      </c>
      <c r="I1246" s="125">
        <v>32281</v>
      </c>
      <c r="J1246" s="125">
        <f>I1246/D1243</f>
        <v>0.75</v>
      </c>
      <c r="K1246" s="125">
        <f>(22681+9600)/D1243</f>
        <v>0.75</v>
      </c>
    </row>
    <row r="1247" spans="1:11" s="41" customFormat="1" ht="63" x14ac:dyDescent="0.25">
      <c r="A1247" s="210"/>
      <c r="B1247" s="210"/>
      <c r="C1247" s="213"/>
      <c r="D1247" s="206"/>
      <c r="E1247" s="206"/>
      <c r="F1247" s="263"/>
      <c r="G1247" s="104" t="s">
        <v>175</v>
      </c>
      <c r="H1247" s="62" t="s">
        <v>168</v>
      </c>
      <c r="I1247" s="125">
        <v>32281</v>
      </c>
      <c r="J1247" s="125">
        <f>I1247/D1243</f>
        <v>0.75</v>
      </c>
      <c r="K1247" s="125">
        <f>(22681+9600)/D1243</f>
        <v>0.75</v>
      </c>
    </row>
    <row r="1248" spans="1:11" s="41" customFormat="1" x14ac:dyDescent="0.25">
      <c r="A1248" s="210"/>
      <c r="B1248" s="210"/>
      <c r="C1248" s="213"/>
      <c r="D1248" s="206"/>
      <c r="E1248" s="206"/>
      <c r="F1248" s="263"/>
      <c r="G1248" s="210" t="s">
        <v>461</v>
      </c>
      <c r="H1248" s="62" t="s">
        <v>171</v>
      </c>
      <c r="I1248" s="125">
        <v>2241647</v>
      </c>
      <c r="J1248" s="125">
        <f>I1248/D1243</f>
        <v>51.78</v>
      </c>
      <c r="K1248" s="125">
        <f>2241647/D1243</f>
        <v>51.78</v>
      </c>
    </row>
    <row r="1249" spans="1:11" s="41" customFormat="1" x14ac:dyDescent="0.25">
      <c r="A1249" s="210"/>
      <c r="B1249" s="210"/>
      <c r="C1249" s="213"/>
      <c r="D1249" s="206"/>
      <c r="E1249" s="206"/>
      <c r="F1249" s="263"/>
      <c r="G1249" s="211"/>
      <c r="H1249" s="62" t="s">
        <v>69</v>
      </c>
      <c r="I1249" s="125">
        <v>0</v>
      </c>
      <c r="J1249" s="125">
        <f>I1249/D1243</f>
        <v>0</v>
      </c>
      <c r="K1249" s="125">
        <f>52617/D1243</f>
        <v>1.22</v>
      </c>
    </row>
    <row r="1250" spans="1:11" s="41" customFormat="1" x14ac:dyDescent="0.25">
      <c r="A1250" s="210"/>
      <c r="B1250" s="210"/>
      <c r="C1250" s="213"/>
      <c r="D1250" s="206"/>
      <c r="E1250" s="206"/>
      <c r="F1250" s="263"/>
      <c r="G1250" s="210" t="s">
        <v>571</v>
      </c>
      <c r="H1250" s="62" t="s">
        <v>171</v>
      </c>
      <c r="I1250" s="125">
        <v>2241647</v>
      </c>
      <c r="J1250" s="125">
        <f>I1250/D1243</f>
        <v>51.78</v>
      </c>
      <c r="K1250" s="125">
        <f>2241647/D1243</f>
        <v>51.78</v>
      </c>
    </row>
    <row r="1251" spans="1:11" s="41" customFormat="1" x14ac:dyDescent="0.25">
      <c r="A1251" s="210"/>
      <c r="B1251" s="210"/>
      <c r="C1251" s="213"/>
      <c r="D1251" s="206"/>
      <c r="E1251" s="206"/>
      <c r="F1251" s="263"/>
      <c r="G1251" s="211"/>
      <c r="H1251" s="62" t="s">
        <v>69</v>
      </c>
      <c r="I1251" s="125">
        <v>0</v>
      </c>
      <c r="J1251" s="125">
        <f>I1251/D1243</f>
        <v>0</v>
      </c>
      <c r="K1251" s="125">
        <f>52617/D1243</f>
        <v>1.22</v>
      </c>
    </row>
    <row r="1252" spans="1:11" s="41" customFormat="1" ht="63" x14ac:dyDescent="0.25">
      <c r="A1252" s="210"/>
      <c r="B1252" s="210"/>
      <c r="C1252" s="213"/>
      <c r="D1252" s="206"/>
      <c r="E1252" s="206"/>
      <c r="F1252" s="263"/>
      <c r="G1252" s="104" t="s">
        <v>582</v>
      </c>
      <c r="H1252" s="62" t="s">
        <v>168</v>
      </c>
      <c r="I1252" s="125">
        <v>32281</v>
      </c>
      <c r="J1252" s="125">
        <f>I1252/D1243</f>
        <v>0.75</v>
      </c>
      <c r="K1252" s="125">
        <f>(22681+9600)/D1243</f>
        <v>0.75</v>
      </c>
    </row>
    <row r="1253" spans="1:11" s="41" customFormat="1" x14ac:dyDescent="0.25">
      <c r="A1253" s="210"/>
      <c r="B1253" s="210"/>
      <c r="C1253" s="213"/>
      <c r="D1253" s="206"/>
      <c r="E1253" s="206"/>
      <c r="F1253" s="263"/>
      <c r="G1253" s="210" t="s">
        <v>572</v>
      </c>
      <c r="H1253" s="62" t="s">
        <v>171</v>
      </c>
      <c r="I1253" s="125">
        <v>2241647</v>
      </c>
      <c r="J1253" s="125">
        <f>I1253/D1243-0.01</f>
        <v>51.77</v>
      </c>
      <c r="K1253" s="125">
        <f>2241647/D1243-0.01</f>
        <v>51.77</v>
      </c>
    </row>
    <row r="1254" spans="1:11" s="41" customFormat="1" x14ac:dyDescent="0.25">
      <c r="A1254" s="210"/>
      <c r="B1254" s="210"/>
      <c r="C1254" s="213"/>
      <c r="D1254" s="206"/>
      <c r="E1254" s="206"/>
      <c r="F1254" s="263"/>
      <c r="G1254" s="211"/>
      <c r="H1254" s="62" t="s">
        <v>69</v>
      </c>
      <c r="I1254" s="125">
        <v>0</v>
      </c>
      <c r="J1254" s="125">
        <f>I1254/D1243</f>
        <v>0</v>
      </c>
      <c r="K1254" s="125">
        <f>52617/D1243</f>
        <v>1.22</v>
      </c>
    </row>
    <row r="1255" spans="1:11" s="41" customFormat="1" x14ac:dyDescent="0.25">
      <c r="A1255" s="210"/>
      <c r="B1255" s="210"/>
      <c r="C1255" s="213"/>
      <c r="D1255" s="206"/>
      <c r="E1255" s="206"/>
      <c r="F1255" s="263"/>
      <c r="G1255" s="210" t="s">
        <v>573</v>
      </c>
      <c r="H1255" s="62" t="s">
        <v>171</v>
      </c>
      <c r="I1255" s="125">
        <v>2241647</v>
      </c>
      <c r="J1255" s="125">
        <f>I1255/D1243-0.01</f>
        <v>51.77</v>
      </c>
      <c r="K1255" s="125">
        <f>2241647/D1243-0.01</f>
        <v>51.77</v>
      </c>
    </row>
    <row r="1256" spans="1:11" s="41" customFormat="1" x14ac:dyDescent="0.25">
      <c r="A1256" s="210"/>
      <c r="B1256" s="210"/>
      <c r="C1256" s="213"/>
      <c r="D1256" s="206"/>
      <c r="E1256" s="206"/>
      <c r="F1256" s="263"/>
      <c r="G1256" s="211"/>
      <c r="H1256" s="62" t="s">
        <v>69</v>
      </c>
      <c r="I1256" s="125">
        <v>0</v>
      </c>
      <c r="J1256" s="125">
        <f>I1256/D1243</f>
        <v>0</v>
      </c>
      <c r="K1256" s="125">
        <f>52617/D1243</f>
        <v>1.22</v>
      </c>
    </row>
    <row r="1257" spans="1:11" s="41" customFormat="1" x14ac:dyDescent="0.25">
      <c r="A1257" s="210"/>
      <c r="B1257" s="210"/>
      <c r="C1257" s="213"/>
      <c r="D1257" s="206"/>
      <c r="E1257" s="206"/>
      <c r="F1257" s="263"/>
      <c r="G1257" s="210" t="s">
        <v>574</v>
      </c>
      <c r="H1257" s="62" t="s">
        <v>171</v>
      </c>
      <c r="I1257" s="125">
        <v>2241647</v>
      </c>
      <c r="J1257" s="125">
        <f>I1257/D1243-0.01</f>
        <v>51.77</v>
      </c>
      <c r="K1257" s="125">
        <f>2241647/D1243-0.01</f>
        <v>51.77</v>
      </c>
    </row>
    <row r="1258" spans="1:11" s="41" customFormat="1" x14ac:dyDescent="0.25">
      <c r="A1258" s="210"/>
      <c r="B1258" s="210"/>
      <c r="C1258" s="213"/>
      <c r="D1258" s="206"/>
      <c r="E1258" s="206"/>
      <c r="F1258" s="263"/>
      <c r="G1258" s="211"/>
      <c r="H1258" s="62" t="s">
        <v>69</v>
      </c>
      <c r="I1258" s="125">
        <v>0</v>
      </c>
      <c r="J1258" s="125">
        <f>I1258/D1243</f>
        <v>0</v>
      </c>
      <c r="K1258" s="125">
        <f>52617/D1243</f>
        <v>1.22</v>
      </c>
    </row>
    <row r="1259" spans="1:11" s="41" customFormat="1" x14ac:dyDescent="0.25">
      <c r="A1259" s="209">
        <f>A1243+1</f>
        <v>11</v>
      </c>
      <c r="B1259" s="209">
        <v>5835</v>
      </c>
      <c r="C1259" s="212" t="s">
        <v>398</v>
      </c>
      <c r="D1259" s="205">
        <v>3133.1</v>
      </c>
      <c r="E1259" s="262" t="s">
        <v>68</v>
      </c>
      <c r="F1259" s="262">
        <v>5</v>
      </c>
      <c r="G1259" s="124"/>
      <c r="H1259" s="62" t="s">
        <v>66</v>
      </c>
      <c r="I1259" s="125">
        <f>SUM(I1260:I1261)</f>
        <v>3999274.6</v>
      </c>
      <c r="J1259" s="125">
        <f>SUM(J1260:J1261)</f>
        <v>1276.46</v>
      </c>
      <c r="K1259" s="125">
        <f>SUM(K1260:K1261)</f>
        <v>3966</v>
      </c>
    </row>
    <row r="1260" spans="1:11" s="41" customFormat="1" ht="63" x14ac:dyDescent="0.25">
      <c r="A1260" s="210"/>
      <c r="B1260" s="210"/>
      <c r="C1260" s="213"/>
      <c r="D1260" s="206"/>
      <c r="E1260" s="263"/>
      <c r="F1260" s="263"/>
      <c r="G1260" s="209" t="s">
        <v>65</v>
      </c>
      <c r="H1260" s="62" t="s">
        <v>168</v>
      </c>
      <c r="I1260" s="125">
        <f>373964.59+56395.8</f>
        <v>430360.39</v>
      </c>
      <c r="J1260" s="125">
        <f>I1260/D1259</f>
        <v>137.36000000000001</v>
      </c>
      <c r="K1260" s="125">
        <f>151+18</f>
        <v>169</v>
      </c>
    </row>
    <row r="1261" spans="1:11" s="41" customFormat="1" x14ac:dyDescent="0.25">
      <c r="A1261" s="210"/>
      <c r="B1261" s="210"/>
      <c r="C1261" s="213"/>
      <c r="D1261" s="206"/>
      <c r="E1261" s="263"/>
      <c r="F1261" s="263"/>
      <c r="G1261" s="210"/>
      <c r="H1261" s="62" t="s">
        <v>169</v>
      </c>
      <c r="I1261" s="125">
        <f>D1259*K1261*30/100</f>
        <v>3568914.21</v>
      </c>
      <c r="J1261" s="125">
        <f>I1261/D1259</f>
        <v>1139.0999999999999</v>
      </c>
      <c r="K1261" s="125">
        <v>3797</v>
      </c>
    </row>
    <row r="1262" spans="1:11" s="41" customFormat="1" x14ac:dyDescent="0.25">
      <c r="A1262" s="209">
        <f>A1259+1</f>
        <v>12</v>
      </c>
      <c r="B1262" s="209">
        <v>5836</v>
      </c>
      <c r="C1262" s="212" t="s">
        <v>399</v>
      </c>
      <c r="D1262" s="205">
        <v>1222.0999999999999</v>
      </c>
      <c r="E1262" s="262" t="s">
        <v>68</v>
      </c>
      <c r="F1262" s="262">
        <v>4</v>
      </c>
      <c r="G1262" s="124"/>
      <c r="H1262" s="62" t="s">
        <v>66</v>
      </c>
      <c r="I1262" s="125">
        <f>SUM(I1263:I1268)</f>
        <v>1692364.08</v>
      </c>
      <c r="J1262" s="125">
        <f>SUM(J1263:J1268)</f>
        <v>1384.8</v>
      </c>
      <c r="K1262" s="125">
        <f>SUM(K1263:K1268)</f>
        <v>4161</v>
      </c>
    </row>
    <row r="1263" spans="1:11" s="41" customFormat="1" ht="63" x14ac:dyDescent="0.25">
      <c r="A1263" s="210"/>
      <c r="B1263" s="210"/>
      <c r="C1263" s="213"/>
      <c r="D1263" s="206"/>
      <c r="E1263" s="263"/>
      <c r="F1263" s="263"/>
      <c r="G1263" s="209" t="s">
        <v>70</v>
      </c>
      <c r="H1263" s="62" t="s">
        <v>168</v>
      </c>
      <c r="I1263" s="125">
        <f>D1262*K1263</f>
        <v>167427.70000000001</v>
      </c>
      <c r="J1263" s="125">
        <f>I1263/D1262</f>
        <v>137</v>
      </c>
      <c r="K1263" s="125">
        <f>116+21</f>
        <v>137</v>
      </c>
    </row>
    <row r="1264" spans="1:11" s="41" customFormat="1" x14ac:dyDescent="0.25">
      <c r="A1264" s="210"/>
      <c r="B1264" s="210"/>
      <c r="C1264" s="213"/>
      <c r="D1264" s="206"/>
      <c r="E1264" s="263"/>
      <c r="F1264" s="263"/>
      <c r="G1264" s="210"/>
      <c r="H1264" s="62" t="s">
        <v>169</v>
      </c>
      <c r="I1264" s="125">
        <f>D1262*K1264*30/100</f>
        <v>1067259.93</v>
      </c>
      <c r="J1264" s="125">
        <f>I1264/D1262</f>
        <v>873.3</v>
      </c>
      <c r="K1264" s="125">
        <v>2911</v>
      </c>
    </row>
    <row r="1265" spans="1:11" s="41" customFormat="1" ht="63" x14ac:dyDescent="0.25">
      <c r="A1265" s="210"/>
      <c r="B1265" s="210"/>
      <c r="C1265" s="213"/>
      <c r="D1265" s="206"/>
      <c r="E1265" s="263"/>
      <c r="F1265" s="263"/>
      <c r="G1265" s="209" t="s">
        <v>71</v>
      </c>
      <c r="H1265" s="62" t="s">
        <v>168</v>
      </c>
      <c r="I1265" s="125">
        <f>D1262*K1265</f>
        <v>35440.9</v>
      </c>
      <c r="J1265" s="125">
        <f>I1265/D1262</f>
        <v>29</v>
      </c>
      <c r="K1265" s="125">
        <f>21+8</f>
        <v>29</v>
      </c>
    </row>
    <row r="1266" spans="1:11" s="41" customFormat="1" x14ac:dyDescent="0.25">
      <c r="A1266" s="210"/>
      <c r="B1266" s="210"/>
      <c r="C1266" s="213"/>
      <c r="D1266" s="206"/>
      <c r="E1266" s="263"/>
      <c r="F1266" s="263"/>
      <c r="G1266" s="211"/>
      <c r="H1266" s="62" t="s">
        <v>169</v>
      </c>
      <c r="I1266" s="125">
        <f>D1262*K1266*30/100</f>
        <v>188081.19</v>
      </c>
      <c r="J1266" s="125">
        <f>I1266/D1262</f>
        <v>153.9</v>
      </c>
      <c r="K1266" s="125">
        <v>513</v>
      </c>
    </row>
    <row r="1267" spans="1:11" s="41" customFormat="1" ht="63" x14ac:dyDescent="0.25">
      <c r="A1267" s="210"/>
      <c r="B1267" s="210"/>
      <c r="C1267" s="213"/>
      <c r="D1267" s="206"/>
      <c r="E1267" s="263"/>
      <c r="F1267" s="263"/>
      <c r="G1267" s="209" t="s">
        <v>72</v>
      </c>
      <c r="H1267" s="62" t="s">
        <v>168</v>
      </c>
      <c r="I1267" s="125">
        <f>D1262*K1267</f>
        <v>35440.9</v>
      </c>
      <c r="J1267" s="125">
        <f>I1267/D1262</f>
        <v>29</v>
      </c>
      <c r="K1267" s="125">
        <f>22+7</f>
        <v>29</v>
      </c>
    </row>
    <row r="1268" spans="1:11" s="41" customFormat="1" x14ac:dyDescent="0.25">
      <c r="A1268" s="210"/>
      <c r="B1268" s="210"/>
      <c r="C1268" s="213"/>
      <c r="D1268" s="206"/>
      <c r="E1268" s="263"/>
      <c r="F1268" s="263"/>
      <c r="G1268" s="211"/>
      <c r="H1268" s="62" t="s">
        <v>169</v>
      </c>
      <c r="I1268" s="125">
        <f>D1262*K1268*30/100</f>
        <v>198713.46</v>
      </c>
      <c r="J1268" s="125">
        <f>I1268/D1262</f>
        <v>162.6</v>
      </c>
      <c r="K1268" s="125">
        <v>542</v>
      </c>
    </row>
    <row r="1269" spans="1:11" s="41" customFormat="1" x14ac:dyDescent="0.25">
      <c r="A1269" s="209">
        <f>A1262+1</f>
        <v>13</v>
      </c>
      <c r="B1269" s="209">
        <v>5847</v>
      </c>
      <c r="C1269" s="212" t="s">
        <v>400</v>
      </c>
      <c r="D1269" s="205">
        <v>3433.2</v>
      </c>
      <c r="E1269" s="205" t="s">
        <v>68</v>
      </c>
      <c r="F1269" s="262">
        <v>5</v>
      </c>
      <c r="G1269" s="209" t="s">
        <v>65</v>
      </c>
      <c r="H1269" s="62" t="s">
        <v>66</v>
      </c>
      <c r="I1269" s="125">
        <f>I1270+I1271</f>
        <v>4353954.0199999996</v>
      </c>
      <c r="J1269" s="125">
        <f>J1270+J1271</f>
        <v>1268.19</v>
      </c>
      <c r="K1269" s="125">
        <f>K1270+K1271</f>
        <v>3966</v>
      </c>
    </row>
    <row r="1270" spans="1:11" s="41" customFormat="1" ht="63" x14ac:dyDescent="0.25">
      <c r="A1270" s="210"/>
      <c r="B1270" s="210"/>
      <c r="C1270" s="213"/>
      <c r="D1270" s="206"/>
      <c r="E1270" s="206"/>
      <c r="F1270" s="263"/>
      <c r="G1270" s="210"/>
      <c r="H1270" s="62" t="s">
        <v>178</v>
      </c>
      <c r="I1270" s="125">
        <v>443195.9</v>
      </c>
      <c r="J1270" s="125">
        <f>I1270/D1269</f>
        <v>129.09</v>
      </c>
      <c r="K1270" s="125">
        <f>151+18</f>
        <v>169</v>
      </c>
    </row>
    <row r="1271" spans="1:11" s="41" customFormat="1" x14ac:dyDescent="0.25">
      <c r="A1271" s="210"/>
      <c r="B1271" s="210"/>
      <c r="C1271" s="213"/>
      <c r="D1271" s="206"/>
      <c r="E1271" s="206"/>
      <c r="F1271" s="263"/>
      <c r="G1271" s="210"/>
      <c r="H1271" s="62" t="s">
        <v>67</v>
      </c>
      <c r="I1271" s="125">
        <f>D1269*K1271*30/100</f>
        <v>3910758.12</v>
      </c>
      <c r="J1271" s="125">
        <f>I1271/D1269</f>
        <v>1139.0999999999999</v>
      </c>
      <c r="K1271" s="125">
        <v>3797</v>
      </c>
    </row>
    <row r="1272" spans="1:11" s="41" customFormat="1" x14ac:dyDescent="0.25">
      <c r="A1272" s="209">
        <f>A1269+1</f>
        <v>14</v>
      </c>
      <c r="B1272" s="209">
        <v>5864</v>
      </c>
      <c r="C1272" s="212" t="s">
        <v>388</v>
      </c>
      <c r="D1272" s="205">
        <v>2829</v>
      </c>
      <c r="E1272" s="262" t="s">
        <v>68</v>
      </c>
      <c r="F1272" s="262">
        <v>4</v>
      </c>
      <c r="G1272" s="209" t="s">
        <v>65</v>
      </c>
      <c r="H1272" s="62" t="s">
        <v>66</v>
      </c>
      <c r="I1272" s="125">
        <f>SUM(I1273:I1274)</f>
        <v>6279270.4699999997</v>
      </c>
      <c r="J1272" s="125">
        <f>SUM(J1273:J1274)</f>
        <v>2219.61</v>
      </c>
      <c r="K1272" s="125">
        <f>SUM(K1273:K1274)</f>
        <v>5144</v>
      </c>
    </row>
    <row r="1273" spans="1:11" s="41" customFormat="1" x14ac:dyDescent="0.25">
      <c r="A1273" s="210"/>
      <c r="B1273" s="210"/>
      <c r="C1273" s="213"/>
      <c r="D1273" s="206"/>
      <c r="E1273" s="263"/>
      <c r="F1273" s="263"/>
      <c r="G1273" s="210"/>
      <c r="H1273" s="62" t="s">
        <v>169</v>
      </c>
      <c r="I1273" s="125">
        <v>6279270.4699999997</v>
      </c>
      <c r="J1273" s="125">
        <f>I1273/D1272</f>
        <v>2219.61</v>
      </c>
      <c r="K1273" s="125">
        <v>5036</v>
      </c>
    </row>
    <row r="1274" spans="1:11" s="41" customFormat="1" x14ac:dyDescent="0.25">
      <c r="A1274" s="210"/>
      <c r="B1274" s="210"/>
      <c r="C1274" s="213"/>
      <c r="D1274" s="206"/>
      <c r="E1274" s="263"/>
      <c r="F1274" s="263"/>
      <c r="G1274" s="211"/>
      <c r="H1274" s="62" t="s">
        <v>69</v>
      </c>
      <c r="I1274" s="125">
        <v>0</v>
      </c>
      <c r="J1274" s="125">
        <f>I1274/D1272</f>
        <v>0</v>
      </c>
      <c r="K1274" s="125">
        <v>108</v>
      </c>
    </row>
    <row r="1275" spans="1:11" s="41" customFormat="1" x14ac:dyDescent="0.25">
      <c r="A1275" s="209">
        <f>A1272+1</f>
        <v>15</v>
      </c>
      <c r="B1275" s="209">
        <v>5922</v>
      </c>
      <c r="C1275" s="212" t="s">
        <v>401</v>
      </c>
      <c r="D1275" s="205">
        <v>5449.1</v>
      </c>
      <c r="E1275" s="205" t="s">
        <v>68</v>
      </c>
      <c r="F1275" s="262">
        <v>5</v>
      </c>
      <c r="G1275" s="209" t="s">
        <v>65</v>
      </c>
      <c r="H1275" s="62" t="s">
        <v>66</v>
      </c>
      <c r="I1275" s="125">
        <f>I1276+I1277+I1278</f>
        <v>21274453.170000002</v>
      </c>
      <c r="J1275" s="125">
        <f t="shared" ref="J1275:K1275" si="51">J1276+J1277+J1278</f>
        <v>3904.21</v>
      </c>
      <c r="K1275" s="125">
        <f t="shared" si="51"/>
        <v>4047</v>
      </c>
    </row>
    <row r="1276" spans="1:11" s="41" customFormat="1" ht="63" x14ac:dyDescent="0.25">
      <c r="A1276" s="210"/>
      <c r="B1276" s="210"/>
      <c r="C1276" s="213"/>
      <c r="D1276" s="206"/>
      <c r="E1276" s="206"/>
      <c r="F1276" s="263"/>
      <c r="G1276" s="210"/>
      <c r="H1276" s="62" t="s">
        <v>178</v>
      </c>
      <c r="I1276" s="125">
        <v>584220.47</v>
      </c>
      <c r="J1276" s="125">
        <f>I1276/D1275</f>
        <v>107.21</v>
      </c>
      <c r="K1276" s="125">
        <f>151+18</f>
        <v>169</v>
      </c>
    </row>
    <row r="1277" spans="1:11" s="41" customFormat="1" x14ac:dyDescent="0.25">
      <c r="A1277" s="210"/>
      <c r="B1277" s="210"/>
      <c r="C1277" s="213"/>
      <c r="D1277" s="206"/>
      <c r="E1277" s="206"/>
      <c r="F1277" s="263"/>
      <c r="G1277" s="210"/>
      <c r="H1277" s="62" t="s">
        <v>67</v>
      </c>
      <c r="I1277" s="125">
        <f>D1275*K1277</f>
        <v>20690232.699999999</v>
      </c>
      <c r="J1277" s="125">
        <f>I1277/D1275</f>
        <v>3797</v>
      </c>
      <c r="K1277" s="125">
        <v>3797</v>
      </c>
    </row>
    <row r="1278" spans="1:11" s="41" customFormat="1" x14ac:dyDescent="0.25">
      <c r="A1278" s="210"/>
      <c r="B1278" s="210"/>
      <c r="C1278" s="213"/>
      <c r="D1278" s="206"/>
      <c r="E1278" s="206"/>
      <c r="F1278" s="263"/>
      <c r="G1278" s="210"/>
      <c r="H1278" s="62" t="s">
        <v>69</v>
      </c>
      <c r="I1278" s="125">
        <v>0</v>
      </c>
      <c r="J1278" s="125">
        <f>I1278/D1275</f>
        <v>0</v>
      </c>
      <c r="K1278" s="125">
        <v>81</v>
      </c>
    </row>
    <row r="1279" spans="1:11" s="41" customFormat="1" x14ac:dyDescent="0.25">
      <c r="A1279" s="209">
        <f>A1275+1</f>
        <v>16</v>
      </c>
      <c r="B1279" s="209">
        <v>5925</v>
      </c>
      <c r="C1279" s="212" t="s">
        <v>402</v>
      </c>
      <c r="D1279" s="205">
        <v>3413.9</v>
      </c>
      <c r="E1279" s="205" t="s">
        <v>68</v>
      </c>
      <c r="F1279" s="262">
        <v>5</v>
      </c>
      <c r="G1279" s="209" t="s">
        <v>65</v>
      </c>
      <c r="H1279" s="62" t="s">
        <v>66</v>
      </c>
      <c r="I1279" s="125">
        <f>I1280+I1281</f>
        <v>4325282.45</v>
      </c>
      <c r="J1279" s="125">
        <f>J1280+J1281</f>
        <v>1266.96</v>
      </c>
      <c r="K1279" s="125">
        <f>K1280+K1281</f>
        <v>3966</v>
      </c>
    </row>
    <row r="1280" spans="1:11" s="41" customFormat="1" ht="63" x14ac:dyDescent="0.25">
      <c r="A1280" s="210"/>
      <c r="B1280" s="210"/>
      <c r="C1280" s="213"/>
      <c r="D1280" s="206"/>
      <c r="E1280" s="206"/>
      <c r="F1280" s="263"/>
      <c r="G1280" s="210"/>
      <c r="H1280" s="62" t="s">
        <v>178</v>
      </c>
      <c r="I1280" s="125">
        <v>436508.96</v>
      </c>
      <c r="J1280" s="125">
        <f>I1280/D1279</f>
        <v>127.86</v>
      </c>
      <c r="K1280" s="125">
        <f>151+18</f>
        <v>169</v>
      </c>
    </row>
    <row r="1281" spans="1:11" s="41" customFormat="1" x14ac:dyDescent="0.25">
      <c r="A1281" s="210"/>
      <c r="B1281" s="210"/>
      <c r="C1281" s="213"/>
      <c r="D1281" s="206"/>
      <c r="E1281" s="206"/>
      <c r="F1281" s="263"/>
      <c r="G1281" s="210"/>
      <c r="H1281" s="62" t="s">
        <v>67</v>
      </c>
      <c r="I1281" s="125">
        <f>D1279*K1281*30/100</f>
        <v>3888773.49</v>
      </c>
      <c r="J1281" s="125">
        <f>I1281/D1279</f>
        <v>1139.0999999999999</v>
      </c>
      <c r="K1281" s="125">
        <v>3797</v>
      </c>
    </row>
    <row r="1282" spans="1:11" s="41" customFormat="1" x14ac:dyDescent="0.25">
      <c r="A1282" s="209">
        <f>A1279+1</f>
        <v>17</v>
      </c>
      <c r="B1282" s="209">
        <v>5928</v>
      </c>
      <c r="C1282" s="212" t="s">
        <v>403</v>
      </c>
      <c r="D1282" s="205">
        <v>5262.7</v>
      </c>
      <c r="E1282" s="205" t="s">
        <v>68</v>
      </c>
      <c r="F1282" s="262">
        <v>5</v>
      </c>
      <c r="G1282" s="209" t="s">
        <v>65</v>
      </c>
      <c r="H1282" s="62" t="s">
        <v>66</v>
      </c>
      <c r="I1282" s="125">
        <f>I1283+I1284</f>
        <v>6566241.5199999996</v>
      </c>
      <c r="J1282" s="125">
        <f>J1283+J1284</f>
        <v>1247.69</v>
      </c>
      <c r="K1282" s="125">
        <f>K1283+K1284</f>
        <v>3966</v>
      </c>
    </row>
    <row r="1283" spans="1:11" s="41" customFormat="1" ht="63" x14ac:dyDescent="0.25">
      <c r="A1283" s="210"/>
      <c r="B1283" s="210"/>
      <c r="C1283" s="213"/>
      <c r="D1283" s="206"/>
      <c r="E1283" s="206"/>
      <c r="F1283" s="263"/>
      <c r="G1283" s="210"/>
      <c r="H1283" s="62" t="s">
        <v>178</v>
      </c>
      <c r="I1283" s="125">
        <v>571499.94999999995</v>
      </c>
      <c r="J1283" s="125">
        <f>I1283/D1282</f>
        <v>108.59</v>
      </c>
      <c r="K1283" s="125">
        <f>151+18</f>
        <v>169</v>
      </c>
    </row>
    <row r="1284" spans="1:11" s="41" customFormat="1" x14ac:dyDescent="0.25">
      <c r="A1284" s="210"/>
      <c r="B1284" s="210"/>
      <c r="C1284" s="213"/>
      <c r="D1284" s="206"/>
      <c r="E1284" s="206"/>
      <c r="F1284" s="263"/>
      <c r="G1284" s="210"/>
      <c r="H1284" s="62" t="s">
        <v>67</v>
      </c>
      <c r="I1284" s="125">
        <f>D1282*K1284*30/100</f>
        <v>5994741.5700000003</v>
      </c>
      <c r="J1284" s="125">
        <f>I1284/D1282</f>
        <v>1139.0999999999999</v>
      </c>
      <c r="K1284" s="125">
        <v>3797</v>
      </c>
    </row>
    <row r="1285" spans="1:11" s="41" customFormat="1" x14ac:dyDescent="0.25">
      <c r="A1285" s="209">
        <f>A1282+1</f>
        <v>18</v>
      </c>
      <c r="B1285" s="209">
        <v>6080</v>
      </c>
      <c r="C1285" s="212" t="s">
        <v>404</v>
      </c>
      <c r="D1285" s="205">
        <v>2511.4</v>
      </c>
      <c r="E1285" s="262" t="s">
        <v>64</v>
      </c>
      <c r="F1285" s="262">
        <v>5</v>
      </c>
      <c r="G1285" s="124"/>
      <c r="H1285" s="62" t="s">
        <v>66</v>
      </c>
      <c r="I1285" s="125">
        <f>SUM(I1286:I1286)</f>
        <v>368651.08</v>
      </c>
      <c r="J1285" s="125">
        <f>SUM(J1286:J1286)</f>
        <v>146.79</v>
      </c>
      <c r="K1285" s="125">
        <f>SUM(K1286:K1286)</f>
        <v>169</v>
      </c>
    </row>
    <row r="1286" spans="1:11" s="41" customFormat="1" ht="63" x14ac:dyDescent="0.25">
      <c r="A1286" s="210"/>
      <c r="B1286" s="210"/>
      <c r="C1286" s="213"/>
      <c r="D1286" s="206"/>
      <c r="E1286" s="263"/>
      <c r="F1286" s="263"/>
      <c r="G1286" s="106" t="s">
        <v>65</v>
      </c>
      <c r="H1286" s="62" t="s">
        <v>168</v>
      </c>
      <c r="I1286" s="125">
        <f>323445.88+45205.2</f>
        <v>368651.08</v>
      </c>
      <c r="J1286" s="125">
        <f>I1286/D1285</f>
        <v>146.79</v>
      </c>
      <c r="K1286" s="125">
        <f>151+18</f>
        <v>169</v>
      </c>
    </row>
    <row r="1287" spans="1:11" s="41" customFormat="1" ht="15.75" customHeight="1" x14ac:dyDescent="0.25">
      <c r="A1287" s="209">
        <f>A1285+1</f>
        <v>19</v>
      </c>
      <c r="B1287" s="209">
        <v>6117</v>
      </c>
      <c r="C1287" s="212" t="s">
        <v>421</v>
      </c>
      <c r="D1287" s="205">
        <v>4372.33</v>
      </c>
      <c r="E1287" s="205" t="s">
        <v>64</v>
      </c>
      <c r="F1287" s="262">
        <v>5</v>
      </c>
      <c r="G1287" s="209" t="s">
        <v>65</v>
      </c>
      <c r="H1287" s="62" t="s">
        <v>66</v>
      </c>
      <c r="I1287" s="125">
        <f>I1288</f>
        <v>484174.87</v>
      </c>
      <c r="J1287" s="125">
        <f>J1288</f>
        <v>110.74</v>
      </c>
      <c r="K1287" s="125">
        <f>K1288</f>
        <v>169</v>
      </c>
    </row>
    <row r="1288" spans="1:11" s="41" customFormat="1" ht="63" x14ac:dyDescent="0.25">
      <c r="A1288" s="210"/>
      <c r="B1288" s="210"/>
      <c r="C1288" s="213"/>
      <c r="D1288" s="206"/>
      <c r="E1288" s="206"/>
      <c r="F1288" s="263"/>
      <c r="G1288" s="210"/>
      <c r="H1288" s="62" t="s">
        <v>178</v>
      </c>
      <c r="I1288" s="125">
        <f>405472.93+78701.94</f>
        <v>484174.87</v>
      </c>
      <c r="J1288" s="125">
        <f>I1288/D1287</f>
        <v>110.74</v>
      </c>
      <c r="K1288" s="125">
        <f>151+18</f>
        <v>169</v>
      </c>
    </row>
    <row r="1289" spans="1:11" s="41" customFormat="1" ht="15.75" customHeight="1" x14ac:dyDescent="0.25">
      <c r="A1289" s="209">
        <f>A1287+1</f>
        <v>20</v>
      </c>
      <c r="B1289" s="209">
        <v>6120</v>
      </c>
      <c r="C1289" s="212" t="s">
        <v>575</v>
      </c>
      <c r="D1289" s="205">
        <v>2259.1</v>
      </c>
      <c r="E1289" s="209" t="s">
        <v>68</v>
      </c>
      <c r="F1289" s="209">
        <v>9</v>
      </c>
      <c r="G1289" s="117"/>
      <c r="H1289" s="62" t="s">
        <v>66</v>
      </c>
      <c r="I1289" s="125">
        <f>SUM(I1290:I1291)</f>
        <v>2241647</v>
      </c>
      <c r="J1289" s="125">
        <f>SUM(J1290:J1291)</f>
        <v>992.27</v>
      </c>
      <c r="K1289" s="125">
        <f>SUM(K1290:K1291)</f>
        <v>1013.5</v>
      </c>
    </row>
    <row r="1290" spans="1:11" s="41" customFormat="1" x14ac:dyDescent="0.25">
      <c r="A1290" s="210"/>
      <c r="B1290" s="210"/>
      <c r="C1290" s="213"/>
      <c r="D1290" s="206"/>
      <c r="E1290" s="210"/>
      <c r="F1290" s="210"/>
      <c r="G1290" s="209" t="s">
        <v>170</v>
      </c>
      <c r="H1290" s="62" t="s">
        <v>171</v>
      </c>
      <c r="I1290" s="125">
        <v>2241647</v>
      </c>
      <c r="J1290" s="125">
        <f>I1290/D1289</f>
        <v>992.27</v>
      </c>
      <c r="K1290" s="125">
        <f>2241647/D1289</f>
        <v>992.27</v>
      </c>
    </row>
    <row r="1291" spans="1:11" s="41" customFormat="1" x14ac:dyDescent="0.25">
      <c r="A1291" s="211"/>
      <c r="B1291" s="211"/>
      <c r="C1291" s="214"/>
      <c r="D1291" s="207"/>
      <c r="E1291" s="211"/>
      <c r="F1291" s="211"/>
      <c r="G1291" s="211"/>
      <c r="H1291" s="62" t="s">
        <v>69</v>
      </c>
      <c r="I1291" s="125">
        <v>0</v>
      </c>
      <c r="J1291" s="125">
        <f>I1291/D1289</f>
        <v>0</v>
      </c>
      <c r="K1291" s="125">
        <f>47971/D1289</f>
        <v>21.23</v>
      </c>
    </row>
    <row r="1292" spans="1:11" s="41" customFormat="1" x14ac:dyDescent="0.25">
      <c r="A1292" s="209">
        <f>A1289+1</f>
        <v>21</v>
      </c>
      <c r="B1292" s="209">
        <v>6145</v>
      </c>
      <c r="C1292" s="212" t="s">
        <v>405</v>
      </c>
      <c r="D1292" s="205">
        <v>1653.94</v>
      </c>
      <c r="E1292" s="262" t="s">
        <v>180</v>
      </c>
      <c r="F1292" s="262">
        <v>4</v>
      </c>
      <c r="G1292" s="124"/>
      <c r="H1292" s="62" t="s">
        <v>66</v>
      </c>
      <c r="I1292" s="125">
        <f>SUM(I1293:I1295)</f>
        <v>322518.3</v>
      </c>
      <c r="J1292" s="125">
        <f>SUM(J1293:J1295)</f>
        <v>195</v>
      </c>
      <c r="K1292" s="125">
        <f>SUM(K1293:K1295)</f>
        <v>195</v>
      </c>
    </row>
    <row r="1293" spans="1:11" s="41" customFormat="1" ht="63" x14ac:dyDescent="0.25">
      <c r="A1293" s="210"/>
      <c r="B1293" s="210"/>
      <c r="C1293" s="213"/>
      <c r="D1293" s="206"/>
      <c r="E1293" s="263"/>
      <c r="F1293" s="263"/>
      <c r="G1293" s="106" t="s">
        <v>70</v>
      </c>
      <c r="H1293" s="62" t="s">
        <v>168</v>
      </c>
      <c r="I1293" s="125">
        <f>D1292*K1293</f>
        <v>226589.78</v>
      </c>
      <c r="J1293" s="125">
        <f>I1293/D1292</f>
        <v>137</v>
      </c>
      <c r="K1293" s="125">
        <f>116+21</f>
        <v>137</v>
      </c>
    </row>
    <row r="1294" spans="1:11" s="41" customFormat="1" ht="63" x14ac:dyDescent="0.25">
      <c r="A1294" s="210"/>
      <c r="B1294" s="210"/>
      <c r="C1294" s="213"/>
      <c r="D1294" s="206"/>
      <c r="E1294" s="263"/>
      <c r="F1294" s="263"/>
      <c r="G1294" s="106" t="s">
        <v>71</v>
      </c>
      <c r="H1294" s="62" t="s">
        <v>168</v>
      </c>
      <c r="I1294" s="125">
        <f>D1292*K1294</f>
        <v>47964.26</v>
      </c>
      <c r="J1294" s="125">
        <f>I1294/D1292</f>
        <v>29</v>
      </c>
      <c r="K1294" s="125">
        <f>21+8</f>
        <v>29</v>
      </c>
    </row>
    <row r="1295" spans="1:11" s="41" customFormat="1" ht="63" x14ac:dyDescent="0.25">
      <c r="A1295" s="210"/>
      <c r="B1295" s="210"/>
      <c r="C1295" s="213"/>
      <c r="D1295" s="206"/>
      <c r="E1295" s="263"/>
      <c r="F1295" s="263"/>
      <c r="G1295" s="106" t="s">
        <v>72</v>
      </c>
      <c r="H1295" s="62" t="s">
        <v>168</v>
      </c>
      <c r="I1295" s="125">
        <f>D1292*K1295</f>
        <v>47964.26</v>
      </c>
      <c r="J1295" s="125">
        <f>I1295/D1292</f>
        <v>29</v>
      </c>
      <c r="K1295" s="125">
        <f>22+7</f>
        <v>29</v>
      </c>
    </row>
    <row r="1296" spans="1:11" s="41" customFormat="1" x14ac:dyDescent="0.25">
      <c r="A1296" s="209">
        <f>A1292+1</f>
        <v>22</v>
      </c>
      <c r="B1296" s="209">
        <v>6163</v>
      </c>
      <c r="C1296" s="212" t="s">
        <v>406</v>
      </c>
      <c r="D1296" s="205">
        <v>2467.5</v>
      </c>
      <c r="E1296" s="262" t="s">
        <v>68</v>
      </c>
      <c r="F1296" s="262">
        <v>5</v>
      </c>
      <c r="G1296" s="124"/>
      <c r="H1296" s="62" t="s">
        <v>66</v>
      </c>
      <c r="I1296" s="125">
        <f>SUM(I1297:I1297)</f>
        <v>379767.71</v>
      </c>
      <c r="J1296" s="125">
        <f>SUM(J1297:J1297)</f>
        <v>153.91</v>
      </c>
      <c r="K1296" s="125">
        <f>SUM(K1297:K1297)</f>
        <v>169</v>
      </c>
    </row>
    <row r="1297" spans="1:11" s="41" customFormat="1" ht="63" x14ac:dyDescent="0.25">
      <c r="A1297" s="210"/>
      <c r="B1297" s="210"/>
      <c r="C1297" s="213"/>
      <c r="D1297" s="206"/>
      <c r="E1297" s="263"/>
      <c r="F1297" s="263"/>
      <c r="G1297" s="106" t="s">
        <v>65</v>
      </c>
      <c r="H1297" s="62" t="s">
        <v>168</v>
      </c>
      <c r="I1297" s="125">
        <f>335352.71+44415</f>
        <v>379767.71</v>
      </c>
      <c r="J1297" s="125">
        <f>I1297/D1296</f>
        <v>153.91</v>
      </c>
      <c r="K1297" s="125">
        <f>151+18</f>
        <v>169</v>
      </c>
    </row>
    <row r="1298" spans="1:11" s="41" customFormat="1" x14ac:dyDescent="0.25">
      <c r="A1298" s="209">
        <f>A1296+1</f>
        <v>23</v>
      </c>
      <c r="B1298" s="209">
        <v>6183</v>
      </c>
      <c r="C1298" s="212" t="s">
        <v>390</v>
      </c>
      <c r="D1298" s="205">
        <v>9992</v>
      </c>
      <c r="E1298" s="205" t="s">
        <v>68</v>
      </c>
      <c r="F1298" s="262">
        <v>10</v>
      </c>
      <c r="G1298" s="209" t="s">
        <v>65</v>
      </c>
      <c r="H1298" s="62" t="s">
        <v>66</v>
      </c>
      <c r="I1298" s="125">
        <f>I1299+I1300</f>
        <v>12500227.42</v>
      </c>
      <c r="J1298" s="125">
        <f>J1299+J1300</f>
        <v>1251.02</v>
      </c>
      <c r="K1298" s="125">
        <f>K1299+K1300</f>
        <v>2492</v>
      </c>
    </row>
    <row r="1299" spans="1:11" s="41" customFormat="1" x14ac:dyDescent="0.25">
      <c r="A1299" s="210"/>
      <c r="B1299" s="210"/>
      <c r="C1299" s="213"/>
      <c r="D1299" s="206"/>
      <c r="E1299" s="206"/>
      <c r="F1299" s="263"/>
      <c r="G1299" s="210"/>
      <c r="H1299" s="62" t="s">
        <v>67</v>
      </c>
      <c r="I1299" s="125">
        <v>12500227.42</v>
      </c>
      <c r="J1299" s="125">
        <f>I1299/D1298</f>
        <v>1251.02</v>
      </c>
      <c r="K1299" s="125">
        <v>2440</v>
      </c>
    </row>
    <row r="1300" spans="1:11" s="41" customFormat="1" x14ac:dyDescent="0.25">
      <c r="A1300" s="211"/>
      <c r="B1300" s="211"/>
      <c r="C1300" s="214"/>
      <c r="D1300" s="207"/>
      <c r="E1300" s="207"/>
      <c r="F1300" s="264"/>
      <c r="G1300" s="211"/>
      <c r="H1300" s="62" t="s">
        <v>69</v>
      </c>
      <c r="I1300" s="125">
        <f>0</f>
        <v>0</v>
      </c>
      <c r="J1300" s="125">
        <f>I1300/D1298</f>
        <v>0</v>
      </c>
      <c r="K1300" s="125">
        <v>52</v>
      </c>
    </row>
    <row r="1301" spans="1:11" s="41" customFormat="1" x14ac:dyDescent="0.25">
      <c r="A1301" s="209">
        <f>A1298+1</f>
        <v>24</v>
      </c>
      <c r="B1301" s="209">
        <v>6184</v>
      </c>
      <c r="C1301" s="212" t="s">
        <v>391</v>
      </c>
      <c r="D1301" s="205">
        <v>10125.5</v>
      </c>
      <c r="E1301" s="205" t="s">
        <v>68</v>
      </c>
      <c r="F1301" s="262">
        <v>10</v>
      </c>
      <c r="G1301" s="209" t="s">
        <v>65</v>
      </c>
      <c r="H1301" s="62" t="s">
        <v>66</v>
      </c>
      <c r="I1301" s="125">
        <f>I1302+I1303</f>
        <v>12812071.470000001</v>
      </c>
      <c r="J1301" s="125">
        <f>J1302+J1303</f>
        <v>1265.33</v>
      </c>
      <c r="K1301" s="125">
        <f>K1302+K1303</f>
        <v>2492</v>
      </c>
    </row>
    <row r="1302" spans="1:11" s="41" customFormat="1" x14ac:dyDescent="0.25">
      <c r="A1302" s="210"/>
      <c r="B1302" s="210"/>
      <c r="C1302" s="213"/>
      <c r="D1302" s="206"/>
      <c r="E1302" s="206"/>
      <c r="F1302" s="263"/>
      <c r="G1302" s="210"/>
      <c r="H1302" s="62" t="s">
        <v>67</v>
      </c>
      <c r="I1302" s="125">
        <v>12812071.470000001</v>
      </c>
      <c r="J1302" s="125">
        <f>I1302/D1301</f>
        <v>1265.33</v>
      </c>
      <c r="K1302" s="125">
        <v>2440</v>
      </c>
    </row>
    <row r="1303" spans="1:11" s="41" customFormat="1" x14ac:dyDescent="0.25">
      <c r="A1303" s="211"/>
      <c r="B1303" s="211"/>
      <c r="C1303" s="214"/>
      <c r="D1303" s="207"/>
      <c r="E1303" s="207"/>
      <c r="F1303" s="264"/>
      <c r="G1303" s="211"/>
      <c r="H1303" s="62" t="s">
        <v>69</v>
      </c>
      <c r="I1303" s="125">
        <f>0</f>
        <v>0</v>
      </c>
      <c r="J1303" s="125">
        <f>I1303/D1301</f>
        <v>0</v>
      </c>
      <c r="K1303" s="125">
        <v>52</v>
      </c>
    </row>
    <row r="1304" spans="1:11" s="41" customFormat="1" ht="15.75" customHeight="1" x14ac:dyDescent="0.25">
      <c r="A1304" s="209">
        <f>A1301+1</f>
        <v>25</v>
      </c>
      <c r="B1304" s="209">
        <v>6193</v>
      </c>
      <c r="C1304" s="212" t="s">
        <v>576</v>
      </c>
      <c r="D1304" s="205">
        <v>11067.6</v>
      </c>
      <c r="E1304" s="209" t="s">
        <v>64</v>
      </c>
      <c r="F1304" s="209">
        <v>9</v>
      </c>
      <c r="G1304" s="117"/>
      <c r="H1304" s="62" t="s">
        <v>66</v>
      </c>
      <c r="I1304" s="125">
        <f>SUM(I1305:I1306)</f>
        <v>2241647</v>
      </c>
      <c r="J1304" s="125">
        <f>SUM(J1305:J1306)</f>
        <v>202.54</v>
      </c>
      <c r="K1304" s="125">
        <f>SUM(K1305:K1306)</f>
        <v>206.87</v>
      </c>
    </row>
    <row r="1305" spans="1:11" s="41" customFormat="1" x14ac:dyDescent="0.25">
      <c r="A1305" s="210"/>
      <c r="B1305" s="210"/>
      <c r="C1305" s="213"/>
      <c r="D1305" s="206"/>
      <c r="E1305" s="210"/>
      <c r="F1305" s="210"/>
      <c r="G1305" s="209" t="s">
        <v>170</v>
      </c>
      <c r="H1305" s="62" t="s">
        <v>171</v>
      </c>
      <c r="I1305" s="125">
        <f>2241647</f>
        <v>2241647</v>
      </c>
      <c r="J1305" s="125">
        <f>I1305/D1304</f>
        <v>202.54</v>
      </c>
      <c r="K1305" s="125">
        <f>2241647/D1304</f>
        <v>202.54</v>
      </c>
    </row>
    <row r="1306" spans="1:11" s="41" customFormat="1" x14ac:dyDescent="0.25">
      <c r="A1306" s="211"/>
      <c r="B1306" s="211"/>
      <c r="C1306" s="214"/>
      <c r="D1306" s="207"/>
      <c r="E1306" s="211"/>
      <c r="F1306" s="211"/>
      <c r="G1306" s="211"/>
      <c r="H1306" s="62" t="s">
        <v>69</v>
      </c>
      <c r="I1306" s="125">
        <v>0</v>
      </c>
      <c r="J1306" s="125">
        <f>I1306/D1304</f>
        <v>0</v>
      </c>
      <c r="K1306" s="125">
        <f>47971/D1304</f>
        <v>4.33</v>
      </c>
    </row>
    <row r="1307" spans="1:11" s="41" customFormat="1" x14ac:dyDescent="0.25">
      <c r="A1307" s="209">
        <f>A1304+1</f>
        <v>26</v>
      </c>
      <c r="B1307" s="209">
        <v>6304</v>
      </c>
      <c r="C1307" s="212" t="s">
        <v>407</v>
      </c>
      <c r="D1307" s="205">
        <v>3493.48</v>
      </c>
      <c r="E1307" s="205" t="s">
        <v>68</v>
      </c>
      <c r="F1307" s="262">
        <v>5</v>
      </c>
      <c r="G1307" s="209" t="s">
        <v>65</v>
      </c>
      <c r="H1307" s="62" t="s">
        <v>66</v>
      </c>
      <c r="I1307" s="125">
        <f>I1308</f>
        <v>444118.28</v>
      </c>
      <c r="J1307" s="125">
        <f>J1308</f>
        <v>127.13</v>
      </c>
      <c r="K1307" s="125">
        <f>K1308</f>
        <v>169</v>
      </c>
    </row>
    <row r="1308" spans="1:11" s="41" customFormat="1" ht="63" x14ac:dyDescent="0.25">
      <c r="A1308" s="210"/>
      <c r="B1308" s="210"/>
      <c r="C1308" s="213"/>
      <c r="D1308" s="206"/>
      <c r="E1308" s="206"/>
      <c r="F1308" s="263"/>
      <c r="G1308" s="210"/>
      <c r="H1308" s="62" t="s">
        <v>178</v>
      </c>
      <c r="I1308" s="125">
        <v>444118.28</v>
      </c>
      <c r="J1308" s="125">
        <f>I1308/D1307</f>
        <v>127.13</v>
      </c>
      <c r="K1308" s="125">
        <f>151+18</f>
        <v>169</v>
      </c>
    </row>
    <row r="1309" spans="1:11" s="41" customFormat="1" ht="15.75" customHeight="1" x14ac:dyDescent="0.25">
      <c r="A1309" s="209">
        <f>A1307+1</f>
        <v>27</v>
      </c>
      <c r="B1309" s="209">
        <v>6320</v>
      </c>
      <c r="C1309" s="212" t="s">
        <v>583</v>
      </c>
      <c r="D1309" s="205">
        <v>6684.9</v>
      </c>
      <c r="E1309" s="209" t="s">
        <v>64</v>
      </c>
      <c r="F1309" s="209">
        <v>10</v>
      </c>
      <c r="G1309" s="117"/>
      <c r="H1309" s="62" t="s">
        <v>66</v>
      </c>
      <c r="I1309" s="125">
        <f>SUM(I1310:I1312)</f>
        <v>96843</v>
      </c>
      <c r="J1309" s="125">
        <f>SUM(J1310:J1312)</f>
        <v>14.49</v>
      </c>
      <c r="K1309" s="125">
        <f>SUM(K1310:K1312)</f>
        <v>14.49</v>
      </c>
    </row>
    <row r="1310" spans="1:11" s="41" customFormat="1" ht="63" x14ac:dyDescent="0.25">
      <c r="A1310" s="210"/>
      <c r="B1310" s="210"/>
      <c r="C1310" s="213"/>
      <c r="D1310" s="206"/>
      <c r="E1310" s="210"/>
      <c r="F1310" s="210"/>
      <c r="G1310" s="106" t="s">
        <v>170</v>
      </c>
      <c r="H1310" s="62" t="s">
        <v>168</v>
      </c>
      <c r="I1310" s="125">
        <f>22681+9600</f>
        <v>32281</v>
      </c>
      <c r="J1310" s="125">
        <f>I1310/D1309</f>
        <v>4.83</v>
      </c>
      <c r="K1310" s="125">
        <f>(22681+9600)/D1309</f>
        <v>4.83</v>
      </c>
    </row>
    <row r="1311" spans="1:11" s="41" customFormat="1" ht="63" x14ac:dyDescent="0.25">
      <c r="A1311" s="210"/>
      <c r="B1311" s="210"/>
      <c r="C1311" s="213"/>
      <c r="D1311" s="206"/>
      <c r="E1311" s="210"/>
      <c r="F1311" s="210"/>
      <c r="G1311" s="106" t="s">
        <v>173</v>
      </c>
      <c r="H1311" s="62" t="s">
        <v>168</v>
      </c>
      <c r="I1311" s="125">
        <f>22681+9600</f>
        <v>32281</v>
      </c>
      <c r="J1311" s="125">
        <f>I1311/D1309</f>
        <v>4.83</v>
      </c>
      <c r="K1311" s="125">
        <f>(22681+9600)/D1309</f>
        <v>4.83</v>
      </c>
    </row>
    <row r="1312" spans="1:11" s="41" customFormat="1" ht="63" x14ac:dyDescent="0.25">
      <c r="A1312" s="210"/>
      <c r="B1312" s="210"/>
      <c r="C1312" s="213"/>
      <c r="D1312" s="206"/>
      <c r="E1312" s="210"/>
      <c r="F1312" s="210"/>
      <c r="G1312" s="106" t="s">
        <v>174</v>
      </c>
      <c r="H1312" s="62" t="s">
        <v>168</v>
      </c>
      <c r="I1312" s="125">
        <f>22681+9600</f>
        <v>32281</v>
      </c>
      <c r="J1312" s="125">
        <f>I1312/D1309</f>
        <v>4.83</v>
      </c>
      <c r="K1312" s="125">
        <f>(22681+9600)/D1309</f>
        <v>4.83</v>
      </c>
    </row>
    <row r="1313" spans="1:11" s="41" customFormat="1" x14ac:dyDescent="0.25">
      <c r="A1313" s="209">
        <f>A1309+1</f>
        <v>28</v>
      </c>
      <c r="B1313" s="209">
        <v>6330</v>
      </c>
      <c r="C1313" s="212" t="s">
        <v>577</v>
      </c>
      <c r="D1313" s="205">
        <v>10514.2</v>
      </c>
      <c r="E1313" s="205" t="s">
        <v>64</v>
      </c>
      <c r="F1313" s="262">
        <v>10</v>
      </c>
      <c r="G1313" s="117"/>
      <c r="H1313" s="62" t="s">
        <v>66</v>
      </c>
      <c r="I1313" s="125">
        <f>SUM(I1314:I1320)</f>
        <v>4580137</v>
      </c>
      <c r="J1313" s="125">
        <f>SUM(J1314:J1320)</f>
        <v>435.61</v>
      </c>
      <c r="K1313" s="125">
        <f>SUM(K1314:K1320)</f>
        <v>445.61</v>
      </c>
    </row>
    <row r="1314" spans="1:11" s="41" customFormat="1" ht="63" x14ac:dyDescent="0.25">
      <c r="A1314" s="210"/>
      <c r="B1314" s="210"/>
      <c r="C1314" s="213"/>
      <c r="D1314" s="206"/>
      <c r="E1314" s="206"/>
      <c r="F1314" s="263"/>
      <c r="G1314" s="93" t="s">
        <v>170</v>
      </c>
      <c r="H1314" s="62" t="s">
        <v>168</v>
      </c>
      <c r="I1314" s="125">
        <v>32281</v>
      </c>
      <c r="J1314" s="125">
        <f>I1314/D1313</f>
        <v>3.07</v>
      </c>
      <c r="K1314" s="125">
        <f>(22681+9600)/D1313</f>
        <v>3.07</v>
      </c>
    </row>
    <row r="1315" spans="1:11" s="41" customFormat="1" ht="63" x14ac:dyDescent="0.25">
      <c r="A1315" s="210"/>
      <c r="B1315" s="210"/>
      <c r="C1315" s="213"/>
      <c r="D1315" s="206"/>
      <c r="E1315" s="206"/>
      <c r="F1315" s="263"/>
      <c r="G1315" s="93" t="s">
        <v>173</v>
      </c>
      <c r="H1315" s="62" t="s">
        <v>168</v>
      </c>
      <c r="I1315" s="125">
        <v>32281</v>
      </c>
      <c r="J1315" s="125">
        <f>I1315/D1313</f>
        <v>3.07</v>
      </c>
      <c r="K1315" s="125">
        <f>(22681+9600)/D1313</f>
        <v>3.07</v>
      </c>
    </row>
    <row r="1316" spans="1:11" s="41" customFormat="1" ht="63" x14ac:dyDescent="0.25">
      <c r="A1316" s="210"/>
      <c r="B1316" s="210"/>
      <c r="C1316" s="213"/>
      <c r="D1316" s="206"/>
      <c r="E1316" s="206"/>
      <c r="F1316" s="263"/>
      <c r="G1316" s="127" t="s">
        <v>174</v>
      </c>
      <c r="H1316" s="62" t="s">
        <v>168</v>
      </c>
      <c r="I1316" s="125">
        <v>32281</v>
      </c>
      <c r="J1316" s="125">
        <f>I1316/D1313</f>
        <v>3.07</v>
      </c>
      <c r="K1316" s="125">
        <f>(22681+9600)/D1313</f>
        <v>3.07</v>
      </c>
    </row>
    <row r="1317" spans="1:11" s="41" customFormat="1" ht="31.5" x14ac:dyDescent="0.25">
      <c r="A1317" s="210"/>
      <c r="B1317" s="210"/>
      <c r="C1317" s="213"/>
      <c r="D1317" s="206"/>
      <c r="E1317" s="206"/>
      <c r="F1317" s="263"/>
      <c r="G1317" s="161" t="s">
        <v>175</v>
      </c>
      <c r="H1317" s="62" t="s">
        <v>171</v>
      </c>
      <c r="I1317" s="125">
        <v>2241647</v>
      </c>
      <c r="J1317" s="125">
        <f>I1317/D1313</f>
        <v>213.2</v>
      </c>
      <c r="K1317" s="125">
        <f>2241647/D1313</f>
        <v>213.2</v>
      </c>
    </row>
    <row r="1318" spans="1:11" s="41" customFormat="1" x14ac:dyDescent="0.25">
      <c r="A1318" s="210"/>
      <c r="B1318" s="210"/>
      <c r="C1318" s="213"/>
      <c r="D1318" s="206"/>
      <c r="E1318" s="206"/>
      <c r="F1318" s="263"/>
      <c r="G1318" s="162"/>
      <c r="H1318" s="62" t="s">
        <v>69</v>
      </c>
      <c r="I1318" s="125">
        <v>0</v>
      </c>
      <c r="J1318" s="125">
        <f>I1318/D1313</f>
        <v>0</v>
      </c>
      <c r="K1318" s="125">
        <f>52617/D1313</f>
        <v>5</v>
      </c>
    </row>
    <row r="1319" spans="1:11" s="41" customFormat="1" ht="31.5" x14ac:dyDescent="0.25">
      <c r="A1319" s="210"/>
      <c r="B1319" s="210"/>
      <c r="C1319" s="213"/>
      <c r="D1319" s="206"/>
      <c r="E1319" s="206"/>
      <c r="F1319" s="263"/>
      <c r="G1319" s="161" t="s">
        <v>172</v>
      </c>
      <c r="H1319" s="62" t="s">
        <v>171</v>
      </c>
      <c r="I1319" s="125">
        <v>2241647</v>
      </c>
      <c r="J1319" s="125">
        <f>I1319/D1313</f>
        <v>213.2</v>
      </c>
      <c r="K1319" s="125">
        <f>2241647/D1313</f>
        <v>213.2</v>
      </c>
    </row>
    <row r="1320" spans="1:11" s="41" customFormat="1" x14ac:dyDescent="0.25">
      <c r="A1320" s="210"/>
      <c r="B1320" s="210"/>
      <c r="C1320" s="213"/>
      <c r="D1320" s="206"/>
      <c r="E1320" s="206"/>
      <c r="F1320" s="263"/>
      <c r="G1320" s="118"/>
      <c r="H1320" s="62" t="s">
        <v>69</v>
      </c>
      <c r="I1320" s="125">
        <v>0</v>
      </c>
      <c r="J1320" s="125">
        <f>I1320/D1313</f>
        <v>0</v>
      </c>
      <c r="K1320" s="125">
        <f>52617/D1313</f>
        <v>5</v>
      </c>
    </row>
    <row r="1321" spans="1:11" s="41" customFormat="1" x14ac:dyDescent="0.25">
      <c r="A1321" s="209">
        <f>A1313+1</f>
        <v>29</v>
      </c>
      <c r="B1321" s="209">
        <v>6359</v>
      </c>
      <c r="C1321" s="212" t="s">
        <v>408</v>
      </c>
      <c r="D1321" s="205">
        <v>3142.8</v>
      </c>
      <c r="E1321" s="262" t="s">
        <v>68</v>
      </c>
      <c r="F1321" s="262">
        <v>5</v>
      </c>
      <c r="G1321" s="209" t="s">
        <v>65</v>
      </c>
      <c r="H1321" s="62" t="s">
        <v>66</v>
      </c>
      <c r="I1321" s="125">
        <f>SUM(I1322:I1324)</f>
        <v>14118727.6</v>
      </c>
      <c r="J1321" s="125">
        <f>SUM(J1322:J1324)</f>
        <v>4492.3999999999996</v>
      </c>
      <c r="K1321" s="125">
        <f>SUM(K1322:K1324)</f>
        <v>4617</v>
      </c>
    </row>
    <row r="1322" spans="1:11" s="41" customFormat="1" ht="63" x14ac:dyDescent="0.25">
      <c r="A1322" s="210"/>
      <c r="B1322" s="210"/>
      <c r="C1322" s="213"/>
      <c r="D1322" s="206"/>
      <c r="E1322" s="263"/>
      <c r="F1322" s="263"/>
      <c r="G1322" s="210"/>
      <c r="H1322" s="62" t="s">
        <v>168</v>
      </c>
      <c r="I1322" s="125">
        <v>431833.59999999998</v>
      </c>
      <c r="J1322" s="125">
        <f>I1322/D1321</f>
        <v>137.4</v>
      </c>
      <c r="K1322" s="125">
        <f>151+18</f>
        <v>169</v>
      </c>
    </row>
    <row r="1323" spans="1:11" s="41" customFormat="1" x14ac:dyDescent="0.25">
      <c r="A1323" s="210"/>
      <c r="B1323" s="210"/>
      <c r="C1323" s="213"/>
      <c r="D1323" s="206"/>
      <c r="E1323" s="263"/>
      <c r="F1323" s="263"/>
      <c r="G1323" s="210"/>
      <c r="H1323" s="62" t="s">
        <v>169</v>
      </c>
      <c r="I1323" s="125">
        <f>D1321*K1323</f>
        <v>13686894</v>
      </c>
      <c r="J1323" s="125">
        <f>I1323/D1321</f>
        <v>4355</v>
      </c>
      <c r="K1323" s="125">
        <v>4355</v>
      </c>
    </row>
    <row r="1324" spans="1:11" s="41" customFormat="1" x14ac:dyDescent="0.25">
      <c r="A1324" s="210"/>
      <c r="B1324" s="210"/>
      <c r="C1324" s="213"/>
      <c r="D1324" s="206"/>
      <c r="E1324" s="263"/>
      <c r="F1324" s="263"/>
      <c r="G1324" s="211"/>
      <c r="H1324" s="62" t="s">
        <v>69</v>
      </c>
      <c r="I1324" s="125">
        <v>0</v>
      </c>
      <c r="J1324" s="125">
        <f>I1324/D1321</f>
        <v>0</v>
      </c>
      <c r="K1324" s="125">
        <v>93</v>
      </c>
    </row>
    <row r="1325" spans="1:11" s="41" customFormat="1" x14ac:dyDescent="0.25">
      <c r="A1325" s="209">
        <f>A1321+1</f>
        <v>30</v>
      </c>
      <c r="B1325" s="209">
        <v>6360</v>
      </c>
      <c r="C1325" s="212" t="s">
        <v>409</v>
      </c>
      <c r="D1325" s="205">
        <v>2816.3</v>
      </c>
      <c r="E1325" s="262" t="s">
        <v>68</v>
      </c>
      <c r="F1325" s="262">
        <v>4</v>
      </c>
      <c r="G1325" s="209" t="s">
        <v>65</v>
      </c>
      <c r="H1325" s="62" t="s">
        <v>66</v>
      </c>
      <c r="I1325" s="125">
        <f>SUM(I1326:I1328)</f>
        <v>14782891.41</v>
      </c>
      <c r="J1325" s="125">
        <f>SUM(J1326:J1328)</f>
        <v>5249.05</v>
      </c>
      <c r="K1325" s="125">
        <f>SUM(K1326:K1328)</f>
        <v>5383</v>
      </c>
    </row>
    <row r="1326" spans="1:11" s="41" customFormat="1" ht="63" x14ac:dyDescent="0.25">
      <c r="A1326" s="210"/>
      <c r="B1326" s="210"/>
      <c r="C1326" s="213"/>
      <c r="D1326" s="206"/>
      <c r="E1326" s="263"/>
      <c r="F1326" s="263"/>
      <c r="G1326" s="210"/>
      <c r="H1326" s="62" t="s">
        <v>168</v>
      </c>
      <c r="I1326" s="125">
        <v>600004.61</v>
      </c>
      <c r="J1326" s="125">
        <f>I1326/D1325</f>
        <v>213.05</v>
      </c>
      <c r="K1326" s="125">
        <f>151+88</f>
        <v>239</v>
      </c>
    </row>
    <row r="1327" spans="1:11" s="41" customFormat="1" x14ac:dyDescent="0.25">
      <c r="A1327" s="210"/>
      <c r="B1327" s="210"/>
      <c r="C1327" s="213"/>
      <c r="D1327" s="206"/>
      <c r="E1327" s="263"/>
      <c r="F1327" s="263"/>
      <c r="G1327" s="210"/>
      <c r="H1327" s="62" t="s">
        <v>169</v>
      </c>
      <c r="I1327" s="125">
        <f>D1325*K1327</f>
        <v>14182886.800000001</v>
      </c>
      <c r="J1327" s="125">
        <f>I1327/D1325</f>
        <v>5036</v>
      </c>
      <c r="K1327" s="125">
        <v>5036</v>
      </c>
    </row>
    <row r="1328" spans="1:11" s="41" customFormat="1" x14ac:dyDescent="0.25">
      <c r="A1328" s="210"/>
      <c r="B1328" s="210"/>
      <c r="C1328" s="213"/>
      <c r="D1328" s="206"/>
      <c r="E1328" s="263"/>
      <c r="F1328" s="263"/>
      <c r="G1328" s="211"/>
      <c r="H1328" s="62" t="s">
        <v>69</v>
      </c>
      <c r="I1328" s="125">
        <v>0</v>
      </c>
      <c r="J1328" s="125">
        <f>I1328/D1325</f>
        <v>0</v>
      </c>
      <c r="K1328" s="125">
        <v>108</v>
      </c>
    </row>
    <row r="1329" spans="1:11" s="41" customFormat="1" x14ac:dyDescent="0.25">
      <c r="A1329" s="209">
        <f>A1325+1</f>
        <v>31</v>
      </c>
      <c r="B1329" s="209">
        <v>6363</v>
      </c>
      <c r="C1329" s="212" t="s">
        <v>410</v>
      </c>
      <c r="D1329" s="205">
        <v>2513.9</v>
      </c>
      <c r="E1329" s="205" t="s">
        <v>68</v>
      </c>
      <c r="F1329" s="262">
        <v>5</v>
      </c>
      <c r="G1329" s="209" t="s">
        <v>65</v>
      </c>
      <c r="H1329" s="62" t="s">
        <v>66</v>
      </c>
      <c r="I1329" s="125">
        <f>I1330+I1331+I1332</f>
        <v>9917545.9199999999</v>
      </c>
      <c r="J1329" s="125">
        <f t="shared" ref="J1329:K1329" si="52">J1330+J1331+J1332</f>
        <v>3945.08</v>
      </c>
      <c r="K1329" s="125">
        <f t="shared" si="52"/>
        <v>4047</v>
      </c>
    </row>
    <row r="1330" spans="1:11" s="41" customFormat="1" ht="63" x14ac:dyDescent="0.25">
      <c r="A1330" s="210"/>
      <c r="B1330" s="210"/>
      <c r="C1330" s="213"/>
      <c r="D1330" s="206"/>
      <c r="E1330" s="206"/>
      <c r="F1330" s="263"/>
      <c r="G1330" s="210"/>
      <c r="H1330" s="62" t="s">
        <v>178</v>
      </c>
      <c r="I1330" s="125">
        <v>372267.62</v>
      </c>
      <c r="J1330" s="125">
        <f>I1330/D1329</f>
        <v>148.08000000000001</v>
      </c>
      <c r="K1330" s="125">
        <f>151+18</f>
        <v>169</v>
      </c>
    </row>
    <row r="1331" spans="1:11" s="41" customFormat="1" x14ac:dyDescent="0.25">
      <c r="A1331" s="210"/>
      <c r="B1331" s="210"/>
      <c r="C1331" s="213"/>
      <c r="D1331" s="206"/>
      <c r="E1331" s="206"/>
      <c r="F1331" s="263"/>
      <c r="G1331" s="210"/>
      <c r="H1331" s="62" t="s">
        <v>67</v>
      </c>
      <c r="I1331" s="125">
        <f>D1329*K1331</f>
        <v>9545278.3000000007</v>
      </c>
      <c r="J1331" s="125">
        <f>I1331/D1329</f>
        <v>3797</v>
      </c>
      <c r="K1331" s="125">
        <v>3797</v>
      </c>
    </row>
    <row r="1332" spans="1:11" s="41" customFormat="1" x14ac:dyDescent="0.25">
      <c r="A1332" s="210"/>
      <c r="B1332" s="210"/>
      <c r="C1332" s="213"/>
      <c r="D1332" s="206"/>
      <c r="E1332" s="206"/>
      <c r="F1332" s="263"/>
      <c r="G1332" s="210"/>
      <c r="H1332" s="62" t="s">
        <v>69</v>
      </c>
      <c r="I1332" s="125">
        <v>0</v>
      </c>
      <c r="J1332" s="125">
        <f>I1332/D1329</f>
        <v>0</v>
      </c>
      <c r="K1332" s="125">
        <v>81</v>
      </c>
    </row>
    <row r="1333" spans="1:11" s="41" customFormat="1" x14ac:dyDescent="0.25">
      <c r="A1333" s="209">
        <f>A1329+1</f>
        <v>32</v>
      </c>
      <c r="B1333" s="209">
        <v>6364</v>
      </c>
      <c r="C1333" s="212" t="s">
        <v>392</v>
      </c>
      <c r="D1333" s="205">
        <v>2466.5</v>
      </c>
      <c r="E1333" s="205" t="s">
        <v>68</v>
      </c>
      <c r="F1333" s="262">
        <v>5</v>
      </c>
      <c r="G1333" s="209" t="s">
        <v>65</v>
      </c>
      <c r="H1333" s="62" t="s">
        <v>66</v>
      </c>
      <c r="I1333" s="125">
        <f>I1334+I1335</f>
        <v>5763114.8899999997</v>
      </c>
      <c r="J1333" s="125">
        <f>J1334+J1335</f>
        <v>2336.56</v>
      </c>
      <c r="K1333" s="125">
        <f>K1334+K1335</f>
        <v>3878</v>
      </c>
    </row>
    <row r="1334" spans="1:11" s="41" customFormat="1" x14ac:dyDescent="0.25">
      <c r="A1334" s="210"/>
      <c r="B1334" s="210"/>
      <c r="C1334" s="213"/>
      <c r="D1334" s="206"/>
      <c r="E1334" s="206"/>
      <c r="F1334" s="263"/>
      <c r="G1334" s="210"/>
      <c r="H1334" s="62" t="s">
        <v>67</v>
      </c>
      <c r="I1334" s="125">
        <f>8233021.27*0.7</f>
        <v>5763114.8899999997</v>
      </c>
      <c r="J1334" s="125">
        <f>I1334/D1333</f>
        <v>2336.56</v>
      </c>
      <c r="K1334" s="125">
        <v>3797</v>
      </c>
    </row>
    <row r="1335" spans="1:11" s="41" customFormat="1" x14ac:dyDescent="0.25">
      <c r="A1335" s="211"/>
      <c r="B1335" s="211"/>
      <c r="C1335" s="214"/>
      <c r="D1335" s="207"/>
      <c r="E1335" s="207"/>
      <c r="F1335" s="264"/>
      <c r="G1335" s="211"/>
      <c r="H1335" s="62" t="s">
        <v>69</v>
      </c>
      <c r="I1335" s="125">
        <v>0</v>
      </c>
      <c r="J1335" s="125">
        <f>I1335/D1333</f>
        <v>0</v>
      </c>
      <c r="K1335" s="125">
        <v>81</v>
      </c>
    </row>
    <row r="1336" spans="1:11" s="41" customFormat="1" x14ac:dyDescent="0.25">
      <c r="A1336" s="209">
        <f>A1333+1</f>
        <v>33</v>
      </c>
      <c r="B1336" s="209">
        <v>6365</v>
      </c>
      <c r="C1336" s="212" t="s">
        <v>411</v>
      </c>
      <c r="D1336" s="205">
        <v>2488.5</v>
      </c>
      <c r="E1336" s="205" t="s">
        <v>68</v>
      </c>
      <c r="F1336" s="262">
        <v>5</v>
      </c>
      <c r="G1336" s="209" t="s">
        <v>65</v>
      </c>
      <c r="H1336" s="62" t="s">
        <v>66</v>
      </c>
      <c r="I1336" s="125">
        <f>I1337+I1338+I1339</f>
        <v>9824585.4600000009</v>
      </c>
      <c r="J1336" s="125">
        <f t="shared" ref="J1336:K1336" si="53">J1337+J1338+J1339</f>
        <v>3947.99</v>
      </c>
      <c r="K1336" s="125">
        <f t="shared" si="53"/>
        <v>4047</v>
      </c>
    </row>
    <row r="1337" spans="1:11" s="41" customFormat="1" ht="63" x14ac:dyDescent="0.25">
      <c r="A1337" s="210"/>
      <c r="B1337" s="210"/>
      <c r="C1337" s="213"/>
      <c r="D1337" s="206"/>
      <c r="E1337" s="206"/>
      <c r="F1337" s="263"/>
      <c r="G1337" s="210"/>
      <c r="H1337" s="62" t="s">
        <v>178</v>
      </c>
      <c r="I1337" s="125">
        <f>330957.96+44793</f>
        <v>375750.96</v>
      </c>
      <c r="J1337" s="125">
        <f>I1337/D1336</f>
        <v>150.99</v>
      </c>
      <c r="K1337" s="125">
        <f>151+18</f>
        <v>169</v>
      </c>
    </row>
    <row r="1338" spans="1:11" s="41" customFormat="1" x14ac:dyDescent="0.25">
      <c r="A1338" s="210"/>
      <c r="B1338" s="210"/>
      <c r="C1338" s="213"/>
      <c r="D1338" s="206"/>
      <c r="E1338" s="206"/>
      <c r="F1338" s="263"/>
      <c r="G1338" s="210"/>
      <c r="H1338" s="62" t="s">
        <v>67</v>
      </c>
      <c r="I1338" s="125">
        <f>D1336*K1338</f>
        <v>9448834.5</v>
      </c>
      <c r="J1338" s="125">
        <f>I1338/D1336</f>
        <v>3797</v>
      </c>
      <c r="K1338" s="125">
        <v>3797</v>
      </c>
    </row>
    <row r="1339" spans="1:11" s="41" customFormat="1" x14ac:dyDescent="0.25">
      <c r="A1339" s="210"/>
      <c r="B1339" s="210"/>
      <c r="C1339" s="213"/>
      <c r="D1339" s="206"/>
      <c r="E1339" s="206"/>
      <c r="F1339" s="263"/>
      <c r="G1339" s="210"/>
      <c r="H1339" s="62" t="s">
        <v>69</v>
      </c>
      <c r="I1339" s="125">
        <v>0</v>
      </c>
      <c r="J1339" s="125">
        <f>I1339/D1336</f>
        <v>0</v>
      </c>
      <c r="K1339" s="125">
        <v>81</v>
      </c>
    </row>
    <row r="1340" spans="1:11" s="41" customFormat="1" x14ac:dyDescent="0.25">
      <c r="A1340" s="209">
        <f>A1336+1</f>
        <v>34</v>
      </c>
      <c r="B1340" s="209">
        <v>6373</v>
      </c>
      <c r="C1340" s="212" t="s">
        <v>578</v>
      </c>
      <c r="D1340" s="205">
        <v>8155.3</v>
      </c>
      <c r="E1340" s="205" t="s">
        <v>64</v>
      </c>
      <c r="F1340" s="262">
        <v>10</v>
      </c>
      <c r="G1340" s="117"/>
      <c r="H1340" s="62" t="s">
        <v>66</v>
      </c>
      <c r="I1340" s="125">
        <f>SUM(I1341:I1348)</f>
        <v>8966588</v>
      </c>
      <c r="J1340" s="125">
        <f>SUM(J1341:J1348)</f>
        <v>1099.48</v>
      </c>
      <c r="K1340" s="125">
        <f>SUM(K1341:K1348)</f>
        <v>1125.28</v>
      </c>
    </row>
    <row r="1341" spans="1:11" s="41" customFormat="1" x14ac:dyDescent="0.25">
      <c r="A1341" s="210"/>
      <c r="B1341" s="210"/>
      <c r="C1341" s="213"/>
      <c r="D1341" s="206"/>
      <c r="E1341" s="206"/>
      <c r="F1341" s="263"/>
      <c r="G1341" s="273" t="s">
        <v>170</v>
      </c>
      <c r="H1341" s="62" t="s">
        <v>171</v>
      </c>
      <c r="I1341" s="125">
        <v>2241647</v>
      </c>
      <c r="J1341" s="125">
        <f>I1341/D1340</f>
        <v>274.87</v>
      </c>
      <c r="K1341" s="125">
        <f>2241647/D1340</f>
        <v>274.87</v>
      </c>
    </row>
    <row r="1342" spans="1:11" s="41" customFormat="1" x14ac:dyDescent="0.25">
      <c r="A1342" s="210"/>
      <c r="B1342" s="210"/>
      <c r="C1342" s="213"/>
      <c r="D1342" s="206"/>
      <c r="E1342" s="206"/>
      <c r="F1342" s="263"/>
      <c r="G1342" s="273"/>
      <c r="H1342" s="62" t="s">
        <v>69</v>
      </c>
      <c r="I1342" s="125">
        <v>0</v>
      </c>
      <c r="J1342" s="125">
        <f>I1342/D1340</f>
        <v>0</v>
      </c>
      <c r="K1342" s="125">
        <f>52617/D1340</f>
        <v>6.45</v>
      </c>
    </row>
    <row r="1343" spans="1:11" s="41" customFormat="1" x14ac:dyDescent="0.25">
      <c r="A1343" s="210"/>
      <c r="B1343" s="210"/>
      <c r="C1343" s="213"/>
      <c r="D1343" s="206"/>
      <c r="E1343" s="206"/>
      <c r="F1343" s="263"/>
      <c r="G1343" s="209" t="s">
        <v>173</v>
      </c>
      <c r="H1343" s="62" t="s">
        <v>171</v>
      </c>
      <c r="I1343" s="125">
        <v>2241647</v>
      </c>
      <c r="J1343" s="125">
        <f>I1343/D1340</f>
        <v>274.87</v>
      </c>
      <c r="K1343" s="125">
        <f>2241647/D1340</f>
        <v>274.87</v>
      </c>
    </row>
    <row r="1344" spans="1:11" s="41" customFormat="1" x14ac:dyDescent="0.25">
      <c r="A1344" s="210"/>
      <c r="B1344" s="210"/>
      <c r="C1344" s="213"/>
      <c r="D1344" s="206"/>
      <c r="E1344" s="206"/>
      <c r="F1344" s="263"/>
      <c r="G1344" s="211"/>
      <c r="H1344" s="62" t="s">
        <v>69</v>
      </c>
      <c r="I1344" s="125">
        <v>0</v>
      </c>
      <c r="J1344" s="125">
        <f>I1344/D1340</f>
        <v>0</v>
      </c>
      <c r="K1344" s="125">
        <f>52617/D1340</f>
        <v>6.45</v>
      </c>
    </row>
    <row r="1345" spans="1:11" s="41" customFormat="1" x14ac:dyDescent="0.25">
      <c r="A1345" s="210"/>
      <c r="B1345" s="210"/>
      <c r="C1345" s="213"/>
      <c r="D1345" s="206"/>
      <c r="E1345" s="206"/>
      <c r="F1345" s="263"/>
      <c r="G1345" s="209" t="s">
        <v>174</v>
      </c>
      <c r="H1345" s="62" t="s">
        <v>171</v>
      </c>
      <c r="I1345" s="125">
        <v>2241647</v>
      </c>
      <c r="J1345" s="125">
        <f>I1345/D1340</f>
        <v>274.87</v>
      </c>
      <c r="K1345" s="125">
        <f>2241647/D1340</f>
        <v>274.87</v>
      </c>
    </row>
    <row r="1346" spans="1:11" s="41" customFormat="1" x14ac:dyDescent="0.25">
      <c r="A1346" s="210"/>
      <c r="B1346" s="210"/>
      <c r="C1346" s="213"/>
      <c r="D1346" s="206"/>
      <c r="E1346" s="206"/>
      <c r="F1346" s="263"/>
      <c r="G1346" s="211"/>
      <c r="H1346" s="62" t="s">
        <v>69</v>
      </c>
      <c r="I1346" s="125">
        <v>0</v>
      </c>
      <c r="J1346" s="125">
        <f>I1346/D1340</f>
        <v>0</v>
      </c>
      <c r="K1346" s="125">
        <f>52617/D1340</f>
        <v>6.45</v>
      </c>
    </row>
    <row r="1347" spans="1:11" s="41" customFormat="1" x14ac:dyDescent="0.25">
      <c r="A1347" s="210"/>
      <c r="B1347" s="210"/>
      <c r="C1347" s="213"/>
      <c r="D1347" s="206"/>
      <c r="E1347" s="206"/>
      <c r="F1347" s="263"/>
      <c r="G1347" s="209" t="s">
        <v>175</v>
      </c>
      <c r="H1347" s="62" t="s">
        <v>171</v>
      </c>
      <c r="I1347" s="125">
        <v>2241647</v>
      </c>
      <c r="J1347" s="125">
        <f>I1347/D1340</f>
        <v>274.87</v>
      </c>
      <c r="K1347" s="125">
        <f>2241647/D1340</f>
        <v>274.87</v>
      </c>
    </row>
    <row r="1348" spans="1:11" s="41" customFormat="1" x14ac:dyDescent="0.25">
      <c r="A1348" s="210"/>
      <c r="B1348" s="210"/>
      <c r="C1348" s="213"/>
      <c r="D1348" s="206"/>
      <c r="E1348" s="206"/>
      <c r="F1348" s="263"/>
      <c r="G1348" s="211"/>
      <c r="H1348" s="62" t="s">
        <v>69</v>
      </c>
      <c r="I1348" s="125">
        <v>0</v>
      </c>
      <c r="J1348" s="125">
        <f>I1348/D1340</f>
        <v>0</v>
      </c>
      <c r="K1348" s="125">
        <f>52617/D1340</f>
        <v>6.45</v>
      </c>
    </row>
    <row r="1349" spans="1:11" s="41" customFormat="1" x14ac:dyDescent="0.25">
      <c r="A1349" s="209">
        <f>A1340+1</f>
        <v>35</v>
      </c>
      <c r="B1349" s="209">
        <v>6374</v>
      </c>
      <c r="C1349" s="212" t="s">
        <v>475</v>
      </c>
      <c r="D1349" s="205">
        <v>9480</v>
      </c>
      <c r="E1349" s="209" t="s">
        <v>64</v>
      </c>
      <c r="F1349" s="209">
        <v>10</v>
      </c>
      <c r="G1349" s="117"/>
      <c r="H1349" s="62" t="s">
        <v>66</v>
      </c>
      <c r="I1349" s="125">
        <f>SUM(I1350:I1359)</f>
        <v>7845764.5</v>
      </c>
      <c r="J1349" s="125">
        <f>SUM(J1350:J1359)</f>
        <v>827.61</v>
      </c>
      <c r="K1349" s="125">
        <f>SUM(K1350:K1359)</f>
        <v>1207.6099999999999</v>
      </c>
    </row>
    <row r="1350" spans="1:11" s="41" customFormat="1" x14ac:dyDescent="0.25">
      <c r="A1350" s="210"/>
      <c r="B1350" s="210"/>
      <c r="C1350" s="213"/>
      <c r="D1350" s="206"/>
      <c r="E1350" s="210"/>
      <c r="F1350" s="210"/>
      <c r="G1350" s="209" t="s">
        <v>170</v>
      </c>
      <c r="H1350" s="62" t="s">
        <v>171</v>
      </c>
      <c r="I1350" s="125">
        <f>2241647*0.7</f>
        <v>1569152.9</v>
      </c>
      <c r="J1350" s="125">
        <f>I1350/D1349+0.01</f>
        <v>165.53</v>
      </c>
      <c r="K1350" s="125">
        <f>2241647/D1349+0.01</f>
        <v>236.47</v>
      </c>
    </row>
    <row r="1351" spans="1:11" s="41" customFormat="1" x14ac:dyDescent="0.25">
      <c r="A1351" s="210"/>
      <c r="B1351" s="210"/>
      <c r="C1351" s="213"/>
      <c r="D1351" s="206"/>
      <c r="E1351" s="210"/>
      <c r="F1351" s="210"/>
      <c r="G1351" s="211"/>
      <c r="H1351" s="62" t="s">
        <v>69</v>
      </c>
      <c r="I1351" s="125">
        <v>0</v>
      </c>
      <c r="J1351" s="125">
        <f>I1351/D1349</f>
        <v>0</v>
      </c>
      <c r="K1351" s="125">
        <f>47971/D1349</f>
        <v>5.0599999999999996</v>
      </c>
    </row>
    <row r="1352" spans="1:11" s="41" customFormat="1" x14ac:dyDescent="0.25">
      <c r="A1352" s="210"/>
      <c r="B1352" s="210"/>
      <c r="C1352" s="213"/>
      <c r="D1352" s="206"/>
      <c r="E1352" s="210"/>
      <c r="F1352" s="210"/>
      <c r="G1352" s="209" t="s">
        <v>173</v>
      </c>
      <c r="H1352" s="62" t="s">
        <v>171</v>
      </c>
      <c r="I1352" s="125">
        <f>2241647*0.7</f>
        <v>1569152.9</v>
      </c>
      <c r="J1352" s="125">
        <f>I1352/D1349</f>
        <v>165.52</v>
      </c>
      <c r="K1352" s="125">
        <f>2241647/D1349</f>
        <v>236.46</v>
      </c>
    </row>
    <row r="1353" spans="1:11" s="41" customFormat="1" x14ac:dyDescent="0.25">
      <c r="A1353" s="210"/>
      <c r="B1353" s="210"/>
      <c r="C1353" s="213"/>
      <c r="D1353" s="206"/>
      <c r="E1353" s="210"/>
      <c r="F1353" s="210"/>
      <c r="G1353" s="211"/>
      <c r="H1353" s="62" t="s">
        <v>69</v>
      </c>
      <c r="I1353" s="125">
        <v>0</v>
      </c>
      <c r="J1353" s="125">
        <f>I1353/D1349</f>
        <v>0</v>
      </c>
      <c r="K1353" s="125">
        <f>47971/D1349</f>
        <v>5.0599999999999996</v>
      </c>
    </row>
    <row r="1354" spans="1:11" s="41" customFormat="1" x14ac:dyDescent="0.25">
      <c r="A1354" s="210"/>
      <c r="B1354" s="210"/>
      <c r="C1354" s="213"/>
      <c r="D1354" s="206"/>
      <c r="E1354" s="210"/>
      <c r="F1354" s="210"/>
      <c r="G1354" s="209" t="s">
        <v>174</v>
      </c>
      <c r="H1354" s="62" t="s">
        <v>171</v>
      </c>
      <c r="I1354" s="125">
        <f>2241647*0.7</f>
        <v>1569152.9</v>
      </c>
      <c r="J1354" s="125">
        <f>I1354/D1349</f>
        <v>165.52</v>
      </c>
      <c r="K1354" s="125">
        <f>2241647/D1349</f>
        <v>236.46</v>
      </c>
    </row>
    <row r="1355" spans="1:11" s="41" customFormat="1" x14ac:dyDescent="0.25">
      <c r="A1355" s="210"/>
      <c r="B1355" s="210"/>
      <c r="C1355" s="213"/>
      <c r="D1355" s="206"/>
      <c r="E1355" s="210"/>
      <c r="F1355" s="210"/>
      <c r="G1355" s="211"/>
      <c r="H1355" s="62" t="s">
        <v>69</v>
      </c>
      <c r="I1355" s="125">
        <v>0</v>
      </c>
      <c r="J1355" s="125">
        <f>I1355/D1349</f>
        <v>0</v>
      </c>
      <c r="K1355" s="125">
        <f>47971/D1349</f>
        <v>5.0599999999999996</v>
      </c>
    </row>
    <row r="1356" spans="1:11" s="41" customFormat="1" x14ac:dyDescent="0.25">
      <c r="A1356" s="210"/>
      <c r="B1356" s="210"/>
      <c r="C1356" s="213"/>
      <c r="D1356" s="206"/>
      <c r="E1356" s="210"/>
      <c r="F1356" s="210"/>
      <c r="G1356" s="209" t="s">
        <v>175</v>
      </c>
      <c r="H1356" s="62" t="s">
        <v>171</v>
      </c>
      <c r="I1356" s="125">
        <f>2241647*0.7</f>
        <v>1569152.9</v>
      </c>
      <c r="J1356" s="125">
        <f>I1356/D1349</f>
        <v>165.52</v>
      </c>
      <c r="K1356" s="125">
        <f>2241647/D1349</f>
        <v>236.46</v>
      </c>
    </row>
    <row r="1357" spans="1:11" s="41" customFormat="1" x14ac:dyDescent="0.25">
      <c r="A1357" s="210"/>
      <c r="B1357" s="210"/>
      <c r="C1357" s="213"/>
      <c r="D1357" s="206"/>
      <c r="E1357" s="210"/>
      <c r="F1357" s="210"/>
      <c r="G1357" s="211"/>
      <c r="H1357" s="62" t="s">
        <v>69</v>
      </c>
      <c r="I1357" s="125">
        <v>0</v>
      </c>
      <c r="J1357" s="125">
        <f>I1357/D1349</f>
        <v>0</v>
      </c>
      <c r="K1357" s="125">
        <f>47971/D1349</f>
        <v>5.0599999999999996</v>
      </c>
    </row>
    <row r="1358" spans="1:11" s="41" customFormat="1" x14ac:dyDescent="0.25">
      <c r="A1358" s="210"/>
      <c r="B1358" s="210"/>
      <c r="C1358" s="213"/>
      <c r="D1358" s="206"/>
      <c r="E1358" s="210"/>
      <c r="F1358" s="210"/>
      <c r="G1358" s="209" t="s">
        <v>172</v>
      </c>
      <c r="H1358" s="62" t="s">
        <v>171</v>
      </c>
      <c r="I1358" s="125">
        <f>2241647*0.7</f>
        <v>1569152.9</v>
      </c>
      <c r="J1358" s="125">
        <f>I1358/D1349</f>
        <v>165.52</v>
      </c>
      <c r="K1358" s="125">
        <f>2241647/D1349</f>
        <v>236.46</v>
      </c>
    </row>
    <row r="1359" spans="1:11" s="41" customFormat="1" x14ac:dyDescent="0.25">
      <c r="A1359" s="210"/>
      <c r="B1359" s="210"/>
      <c r="C1359" s="213"/>
      <c r="D1359" s="206"/>
      <c r="E1359" s="210"/>
      <c r="F1359" s="210"/>
      <c r="G1359" s="211"/>
      <c r="H1359" s="62" t="s">
        <v>69</v>
      </c>
      <c r="I1359" s="125">
        <v>0</v>
      </c>
      <c r="J1359" s="125">
        <f>I1359/D1349</f>
        <v>0</v>
      </c>
      <c r="K1359" s="125">
        <f>47971/D1349</f>
        <v>5.0599999999999996</v>
      </c>
    </row>
    <row r="1360" spans="1:11" s="41" customFormat="1" x14ac:dyDescent="0.25">
      <c r="A1360" s="209">
        <f>A1349+1</f>
        <v>36</v>
      </c>
      <c r="B1360" s="209">
        <v>6387</v>
      </c>
      <c r="C1360" s="212" t="s">
        <v>476</v>
      </c>
      <c r="D1360" s="205">
        <v>880</v>
      </c>
      <c r="E1360" s="205" t="s">
        <v>167</v>
      </c>
      <c r="F1360" s="262">
        <v>2</v>
      </c>
      <c r="G1360" s="209" t="s">
        <v>65</v>
      </c>
      <c r="H1360" s="62" t="s">
        <v>66</v>
      </c>
      <c r="I1360" s="125">
        <f>I1361+I1362</f>
        <v>3802698.8</v>
      </c>
      <c r="J1360" s="125">
        <f>J1361+J1362</f>
        <v>4321.25</v>
      </c>
      <c r="K1360" s="125">
        <f>K1361+K1362</f>
        <v>7688</v>
      </c>
    </row>
    <row r="1361" spans="1:11" s="41" customFormat="1" x14ac:dyDescent="0.25">
      <c r="A1361" s="210"/>
      <c r="B1361" s="210"/>
      <c r="C1361" s="213"/>
      <c r="D1361" s="206"/>
      <c r="E1361" s="206"/>
      <c r="F1361" s="263"/>
      <c r="G1361" s="210"/>
      <c r="H1361" s="62" t="s">
        <v>67</v>
      </c>
      <c r="I1361" s="125">
        <f>5432426.86*0.7</f>
        <v>3802698.8</v>
      </c>
      <c r="J1361" s="125">
        <f>I1361/D1360</f>
        <v>4321.25</v>
      </c>
      <c r="K1361" s="125">
        <v>7527</v>
      </c>
    </row>
    <row r="1362" spans="1:11" s="41" customFormat="1" x14ac:dyDescent="0.25">
      <c r="A1362" s="210"/>
      <c r="B1362" s="210"/>
      <c r="C1362" s="213"/>
      <c r="D1362" s="206"/>
      <c r="E1362" s="206"/>
      <c r="F1362" s="263"/>
      <c r="G1362" s="210"/>
      <c r="H1362" s="62" t="s">
        <v>69</v>
      </c>
      <c r="I1362" s="125">
        <v>0</v>
      </c>
      <c r="J1362" s="125">
        <f>I1362/D1360</f>
        <v>0</v>
      </c>
      <c r="K1362" s="125">
        <v>161</v>
      </c>
    </row>
    <row r="1363" spans="1:11" s="41" customFormat="1" x14ac:dyDescent="0.25">
      <c r="A1363" s="209">
        <f>A1360+1</f>
        <v>37</v>
      </c>
      <c r="B1363" s="209">
        <v>6395</v>
      </c>
      <c r="C1363" s="212" t="s">
        <v>412</v>
      </c>
      <c r="D1363" s="205">
        <v>2820.2</v>
      </c>
      <c r="E1363" s="262" t="s">
        <v>68</v>
      </c>
      <c r="F1363" s="262">
        <v>4</v>
      </c>
      <c r="G1363" s="209" t="s">
        <v>65</v>
      </c>
      <c r="H1363" s="62" t="s">
        <v>66</v>
      </c>
      <c r="I1363" s="125">
        <f>SUM(I1364:I1366)</f>
        <v>14811096.710000001</v>
      </c>
      <c r="J1363" s="125">
        <f>SUM(J1364:J1366)</f>
        <v>5251.79</v>
      </c>
      <c r="K1363" s="125">
        <f>SUM(K1364:K1366)</f>
        <v>5383</v>
      </c>
    </row>
    <row r="1364" spans="1:11" s="41" customFormat="1" ht="63" x14ac:dyDescent="0.25">
      <c r="A1364" s="210"/>
      <c r="B1364" s="210"/>
      <c r="C1364" s="213"/>
      <c r="D1364" s="206"/>
      <c r="E1364" s="263"/>
      <c r="F1364" s="263"/>
      <c r="G1364" s="210"/>
      <c r="H1364" s="62" t="s">
        <v>168</v>
      </c>
      <c r="I1364" s="125">
        <v>608569.51</v>
      </c>
      <c r="J1364" s="125">
        <f>I1364/D1363</f>
        <v>215.79</v>
      </c>
      <c r="K1364" s="125">
        <f>151+88</f>
        <v>239</v>
      </c>
    </row>
    <row r="1365" spans="1:11" s="41" customFormat="1" x14ac:dyDescent="0.25">
      <c r="A1365" s="210"/>
      <c r="B1365" s="210"/>
      <c r="C1365" s="213"/>
      <c r="D1365" s="206"/>
      <c r="E1365" s="263"/>
      <c r="F1365" s="263"/>
      <c r="G1365" s="210"/>
      <c r="H1365" s="62" t="s">
        <v>169</v>
      </c>
      <c r="I1365" s="125">
        <f>D1363*K1365</f>
        <v>14202527.199999999</v>
      </c>
      <c r="J1365" s="125">
        <f>I1365/D1363</f>
        <v>5036</v>
      </c>
      <c r="K1365" s="125">
        <v>5036</v>
      </c>
    </row>
    <row r="1366" spans="1:11" s="41" customFormat="1" x14ac:dyDescent="0.25">
      <c r="A1366" s="210"/>
      <c r="B1366" s="210"/>
      <c r="C1366" s="213"/>
      <c r="D1366" s="206"/>
      <c r="E1366" s="263"/>
      <c r="F1366" s="263"/>
      <c r="G1366" s="211"/>
      <c r="H1366" s="62" t="s">
        <v>69</v>
      </c>
      <c r="I1366" s="125">
        <v>0</v>
      </c>
      <c r="J1366" s="125">
        <f>I1366/D1363</f>
        <v>0</v>
      </c>
      <c r="K1366" s="125">
        <v>108</v>
      </c>
    </row>
    <row r="1367" spans="1:11" s="41" customFormat="1" x14ac:dyDescent="0.25">
      <c r="A1367" s="209">
        <f>A1340+1</f>
        <v>35</v>
      </c>
      <c r="B1367" s="209">
        <v>6399</v>
      </c>
      <c r="C1367" s="212" t="s">
        <v>413</v>
      </c>
      <c r="D1367" s="205">
        <v>3130.7</v>
      </c>
      <c r="E1367" s="262" t="s">
        <v>68</v>
      </c>
      <c r="F1367" s="262">
        <v>5</v>
      </c>
      <c r="G1367" s="124"/>
      <c r="H1367" s="62" t="s">
        <v>66</v>
      </c>
      <c r="I1367" s="125">
        <f>SUM(I1368:I1373)</f>
        <v>3631925.07</v>
      </c>
      <c r="J1367" s="125">
        <f>SUM(J1368:J1373)</f>
        <v>1160.0999999999999</v>
      </c>
      <c r="K1367" s="125">
        <f>SUM(K1368:K1373)</f>
        <v>3503</v>
      </c>
    </row>
    <row r="1368" spans="1:11" s="41" customFormat="1" ht="63" x14ac:dyDescent="0.25">
      <c r="A1368" s="210"/>
      <c r="B1368" s="210"/>
      <c r="C1368" s="213"/>
      <c r="D1368" s="206"/>
      <c r="E1368" s="263"/>
      <c r="F1368" s="263"/>
      <c r="G1368" s="209" t="s">
        <v>70</v>
      </c>
      <c r="H1368" s="62" t="s">
        <v>168</v>
      </c>
      <c r="I1368" s="125">
        <f>D1367*K1368</f>
        <v>306808.59999999998</v>
      </c>
      <c r="J1368" s="125">
        <f>I1368/D1367</f>
        <v>98</v>
      </c>
      <c r="K1368" s="125">
        <f>92+6</f>
        <v>98</v>
      </c>
    </row>
    <row r="1369" spans="1:11" s="41" customFormat="1" x14ac:dyDescent="0.25">
      <c r="A1369" s="210"/>
      <c r="B1369" s="210"/>
      <c r="C1369" s="213"/>
      <c r="D1369" s="206"/>
      <c r="E1369" s="263"/>
      <c r="F1369" s="263"/>
      <c r="G1369" s="210"/>
      <c r="H1369" s="62" t="s">
        <v>169</v>
      </c>
      <c r="I1369" s="125">
        <f>D1367*K1369*30/100</f>
        <v>2152669.3199999998</v>
      </c>
      <c r="J1369" s="125">
        <f>I1369/D1367</f>
        <v>687.6</v>
      </c>
      <c r="K1369" s="125">
        <v>2292</v>
      </c>
    </row>
    <row r="1370" spans="1:11" s="41" customFormat="1" ht="63" x14ac:dyDescent="0.25">
      <c r="A1370" s="210"/>
      <c r="B1370" s="210"/>
      <c r="C1370" s="213"/>
      <c r="D1370" s="206"/>
      <c r="E1370" s="263"/>
      <c r="F1370" s="263"/>
      <c r="G1370" s="209" t="s">
        <v>71</v>
      </c>
      <c r="H1370" s="62" t="s">
        <v>168</v>
      </c>
      <c r="I1370" s="125">
        <f>D1367*K1370</f>
        <v>90790.3</v>
      </c>
      <c r="J1370" s="125">
        <f>I1370/D1367</f>
        <v>29</v>
      </c>
      <c r="K1370" s="125">
        <f>21+8</f>
        <v>29</v>
      </c>
    </row>
    <row r="1371" spans="1:11" s="41" customFormat="1" x14ac:dyDescent="0.25">
      <c r="A1371" s="210"/>
      <c r="B1371" s="210"/>
      <c r="C1371" s="213"/>
      <c r="D1371" s="206"/>
      <c r="E1371" s="263"/>
      <c r="F1371" s="263"/>
      <c r="G1371" s="210"/>
      <c r="H1371" s="62" t="s">
        <v>169</v>
      </c>
      <c r="I1371" s="125">
        <f>D1367*K1371*30/100</f>
        <v>481814.73</v>
      </c>
      <c r="J1371" s="125">
        <f>I1371/D1367</f>
        <v>153.9</v>
      </c>
      <c r="K1371" s="125">
        <v>513</v>
      </c>
    </row>
    <row r="1372" spans="1:11" s="41" customFormat="1" ht="63" x14ac:dyDescent="0.25">
      <c r="A1372" s="210"/>
      <c r="B1372" s="210"/>
      <c r="C1372" s="213"/>
      <c r="D1372" s="206"/>
      <c r="E1372" s="263"/>
      <c r="F1372" s="263"/>
      <c r="G1372" s="209" t="s">
        <v>72</v>
      </c>
      <c r="H1372" s="62" t="s">
        <v>168</v>
      </c>
      <c r="I1372" s="125">
        <f>D1367*K1372</f>
        <v>90790.3</v>
      </c>
      <c r="J1372" s="125">
        <f>I1372/D1367</f>
        <v>29</v>
      </c>
      <c r="K1372" s="125">
        <f>22+7</f>
        <v>29</v>
      </c>
    </row>
    <row r="1373" spans="1:11" s="41" customFormat="1" x14ac:dyDescent="0.25">
      <c r="A1373" s="210"/>
      <c r="B1373" s="210"/>
      <c r="C1373" s="213"/>
      <c r="D1373" s="206"/>
      <c r="E1373" s="263"/>
      <c r="F1373" s="263"/>
      <c r="G1373" s="210"/>
      <c r="H1373" s="62" t="s">
        <v>169</v>
      </c>
      <c r="I1373" s="125">
        <f>D1367*K1373*30/100</f>
        <v>509051.82</v>
      </c>
      <c r="J1373" s="125">
        <f>I1373/D1367</f>
        <v>162.6</v>
      </c>
      <c r="K1373" s="125">
        <v>542</v>
      </c>
    </row>
    <row r="1374" spans="1:11" s="41" customFormat="1" x14ac:dyDescent="0.25">
      <c r="A1374" s="209">
        <f>A1367+1</f>
        <v>36</v>
      </c>
      <c r="B1374" s="209">
        <v>6400</v>
      </c>
      <c r="C1374" s="212" t="s">
        <v>414</v>
      </c>
      <c r="D1374" s="205">
        <v>2810.7</v>
      </c>
      <c r="E1374" s="262" t="s">
        <v>68</v>
      </c>
      <c r="F1374" s="262">
        <v>4</v>
      </c>
      <c r="G1374" s="124"/>
      <c r="H1374" s="62" t="s">
        <v>66</v>
      </c>
      <c r="I1374" s="125">
        <f>SUM(I1375:I1380)</f>
        <v>3892257.36</v>
      </c>
      <c r="J1374" s="125">
        <f>SUM(J1375:J1380)</f>
        <v>1384.8</v>
      </c>
      <c r="K1374" s="125">
        <f>SUM(K1375:K1380)</f>
        <v>4161</v>
      </c>
    </row>
    <row r="1375" spans="1:11" s="41" customFormat="1" ht="63" x14ac:dyDescent="0.25">
      <c r="A1375" s="210"/>
      <c r="B1375" s="210"/>
      <c r="C1375" s="213"/>
      <c r="D1375" s="206"/>
      <c r="E1375" s="263"/>
      <c r="F1375" s="263"/>
      <c r="G1375" s="209" t="s">
        <v>70</v>
      </c>
      <c r="H1375" s="62" t="s">
        <v>168</v>
      </c>
      <c r="I1375" s="125">
        <f>D1374*K1375</f>
        <v>385065.9</v>
      </c>
      <c r="J1375" s="125">
        <f>I1375/D1374</f>
        <v>137</v>
      </c>
      <c r="K1375" s="125">
        <f>116+21</f>
        <v>137</v>
      </c>
    </row>
    <row r="1376" spans="1:11" s="41" customFormat="1" x14ac:dyDescent="0.25">
      <c r="A1376" s="210"/>
      <c r="B1376" s="210"/>
      <c r="C1376" s="213"/>
      <c r="D1376" s="206"/>
      <c r="E1376" s="263"/>
      <c r="F1376" s="263"/>
      <c r="G1376" s="210"/>
      <c r="H1376" s="62" t="s">
        <v>169</v>
      </c>
      <c r="I1376" s="125">
        <f>D1374*K1376*30/100</f>
        <v>2454584.31</v>
      </c>
      <c r="J1376" s="125">
        <f>I1376/D1374</f>
        <v>873.3</v>
      </c>
      <c r="K1376" s="125">
        <v>2911</v>
      </c>
    </row>
    <row r="1377" spans="1:11" s="41" customFormat="1" ht="63" x14ac:dyDescent="0.25">
      <c r="A1377" s="210"/>
      <c r="B1377" s="210"/>
      <c r="C1377" s="213"/>
      <c r="D1377" s="206"/>
      <c r="E1377" s="263"/>
      <c r="F1377" s="263"/>
      <c r="G1377" s="209" t="s">
        <v>71</v>
      </c>
      <c r="H1377" s="62" t="s">
        <v>168</v>
      </c>
      <c r="I1377" s="125">
        <f>D1374*K1377</f>
        <v>81510.3</v>
      </c>
      <c r="J1377" s="125">
        <f>I1377/D1374</f>
        <v>29</v>
      </c>
      <c r="K1377" s="125">
        <f>21+8</f>
        <v>29</v>
      </c>
    </row>
    <row r="1378" spans="1:11" s="41" customFormat="1" x14ac:dyDescent="0.25">
      <c r="A1378" s="210"/>
      <c r="B1378" s="210"/>
      <c r="C1378" s="213"/>
      <c r="D1378" s="206"/>
      <c r="E1378" s="263"/>
      <c r="F1378" s="263"/>
      <c r="G1378" s="210"/>
      <c r="H1378" s="62" t="s">
        <v>169</v>
      </c>
      <c r="I1378" s="125">
        <f>D1374*K1378*30/100</f>
        <v>432566.73</v>
      </c>
      <c r="J1378" s="125">
        <f>I1378/D1374</f>
        <v>153.9</v>
      </c>
      <c r="K1378" s="125">
        <v>513</v>
      </c>
    </row>
    <row r="1379" spans="1:11" s="41" customFormat="1" ht="63" x14ac:dyDescent="0.25">
      <c r="A1379" s="210"/>
      <c r="B1379" s="210"/>
      <c r="C1379" s="213"/>
      <c r="D1379" s="206"/>
      <c r="E1379" s="263"/>
      <c r="F1379" s="263"/>
      <c r="G1379" s="209" t="s">
        <v>72</v>
      </c>
      <c r="H1379" s="62" t="s">
        <v>168</v>
      </c>
      <c r="I1379" s="125">
        <f>D1374*K1379</f>
        <v>81510.3</v>
      </c>
      <c r="J1379" s="125">
        <f>I1379/D1374</f>
        <v>29</v>
      </c>
      <c r="K1379" s="125">
        <f>22+7</f>
        <v>29</v>
      </c>
    </row>
    <row r="1380" spans="1:11" s="41" customFormat="1" x14ac:dyDescent="0.25">
      <c r="A1380" s="210"/>
      <c r="B1380" s="210"/>
      <c r="C1380" s="213"/>
      <c r="D1380" s="206"/>
      <c r="E1380" s="263"/>
      <c r="F1380" s="263"/>
      <c r="G1380" s="210"/>
      <c r="H1380" s="62" t="s">
        <v>169</v>
      </c>
      <c r="I1380" s="125">
        <f>D1374*K1380*30/100</f>
        <v>457019.82</v>
      </c>
      <c r="J1380" s="125">
        <f>I1380/D1374</f>
        <v>162.6</v>
      </c>
      <c r="K1380" s="125">
        <v>542</v>
      </c>
    </row>
    <row r="1381" spans="1:11" s="41" customFormat="1" ht="15.75" customHeight="1" x14ac:dyDescent="0.25">
      <c r="A1381" s="209">
        <f>A1378+1</f>
        <v>1</v>
      </c>
      <c r="B1381" s="209">
        <v>6408</v>
      </c>
      <c r="C1381" s="212" t="s">
        <v>579</v>
      </c>
      <c r="D1381" s="205">
        <v>3930.3</v>
      </c>
      <c r="E1381" s="205" t="s">
        <v>68</v>
      </c>
      <c r="F1381" s="262">
        <v>12</v>
      </c>
      <c r="G1381" s="124"/>
      <c r="H1381" s="62" t="s">
        <v>66</v>
      </c>
      <c r="I1381" s="125">
        <f>SUM(I1382:I1385)</f>
        <v>5530360</v>
      </c>
      <c r="J1381" s="125">
        <f>SUM(J1382:J1385)</f>
        <v>1407.11</v>
      </c>
      <c r="K1381" s="125">
        <f>SUM(K1382:K1385)</f>
        <v>1437.22</v>
      </c>
    </row>
    <row r="1382" spans="1:11" s="41" customFormat="1" x14ac:dyDescent="0.25">
      <c r="A1382" s="210"/>
      <c r="B1382" s="210"/>
      <c r="C1382" s="213"/>
      <c r="D1382" s="206"/>
      <c r="E1382" s="206"/>
      <c r="F1382" s="263"/>
      <c r="G1382" s="209" t="s">
        <v>170</v>
      </c>
      <c r="H1382" s="62" t="s">
        <v>171</v>
      </c>
      <c r="I1382" s="125">
        <f>2458756</f>
        <v>2458756</v>
      </c>
      <c r="J1382" s="125">
        <f>I1382/D1381</f>
        <v>625.59</v>
      </c>
      <c r="K1382" s="125">
        <f>2458756/D1381</f>
        <v>625.59</v>
      </c>
    </row>
    <row r="1383" spans="1:11" s="41" customFormat="1" x14ac:dyDescent="0.25">
      <c r="A1383" s="210"/>
      <c r="B1383" s="210"/>
      <c r="C1383" s="213"/>
      <c r="D1383" s="206"/>
      <c r="E1383" s="206"/>
      <c r="F1383" s="263"/>
      <c r="G1383" s="211"/>
      <c r="H1383" s="62" t="s">
        <v>69</v>
      </c>
      <c r="I1383" s="125">
        <v>0</v>
      </c>
      <c r="J1383" s="125">
        <f>I1383/D1381</f>
        <v>0</v>
      </c>
      <c r="K1383" s="125">
        <f>52617/D1381</f>
        <v>13.39</v>
      </c>
    </row>
    <row r="1384" spans="1:11" s="41" customFormat="1" x14ac:dyDescent="0.25">
      <c r="A1384" s="210"/>
      <c r="B1384" s="210"/>
      <c r="C1384" s="213"/>
      <c r="D1384" s="206"/>
      <c r="E1384" s="206"/>
      <c r="F1384" s="263"/>
      <c r="G1384" s="209" t="s">
        <v>170</v>
      </c>
      <c r="H1384" s="62" t="s">
        <v>171</v>
      </c>
      <c r="I1384" s="125">
        <f>3071604</f>
        <v>3071604</v>
      </c>
      <c r="J1384" s="125">
        <f>I1384/D1381</f>
        <v>781.52</v>
      </c>
      <c r="K1384" s="125">
        <f>3071604/D1381</f>
        <v>781.52</v>
      </c>
    </row>
    <row r="1385" spans="1:11" s="41" customFormat="1" x14ac:dyDescent="0.25">
      <c r="A1385" s="211"/>
      <c r="B1385" s="211"/>
      <c r="C1385" s="214"/>
      <c r="D1385" s="207"/>
      <c r="E1385" s="207"/>
      <c r="F1385" s="264"/>
      <c r="G1385" s="211"/>
      <c r="H1385" s="62" t="s">
        <v>69</v>
      </c>
      <c r="I1385" s="125">
        <v>0</v>
      </c>
      <c r="J1385" s="125">
        <f>I1385/D1381</f>
        <v>0</v>
      </c>
      <c r="K1385" s="125">
        <f>65732/D1381</f>
        <v>16.72</v>
      </c>
    </row>
    <row r="1386" spans="1:11" s="41" customFormat="1" x14ac:dyDescent="0.25">
      <c r="A1386" s="209">
        <f>A1374+1</f>
        <v>37</v>
      </c>
      <c r="B1386" s="209">
        <v>6430</v>
      </c>
      <c r="C1386" s="212" t="s">
        <v>415</v>
      </c>
      <c r="D1386" s="205">
        <v>2506.4</v>
      </c>
      <c r="E1386" s="262" t="s">
        <v>64</v>
      </c>
      <c r="F1386" s="262">
        <v>5</v>
      </c>
      <c r="G1386" s="124"/>
      <c r="H1386" s="62" t="s">
        <v>66</v>
      </c>
      <c r="I1386" s="125">
        <f>SUM(I1387:I1387)</f>
        <v>370700.32</v>
      </c>
      <c r="J1386" s="125">
        <f>SUM(J1387:J1387)</f>
        <v>147.9</v>
      </c>
      <c r="K1386" s="125">
        <f>SUM(K1387:K1387)</f>
        <v>169</v>
      </c>
    </row>
    <row r="1387" spans="1:11" s="41" customFormat="1" ht="63" x14ac:dyDescent="0.25">
      <c r="A1387" s="210"/>
      <c r="B1387" s="210"/>
      <c r="C1387" s="213"/>
      <c r="D1387" s="206"/>
      <c r="E1387" s="263"/>
      <c r="F1387" s="263"/>
      <c r="G1387" s="106" t="s">
        <v>65</v>
      </c>
      <c r="H1387" s="62" t="s">
        <v>168</v>
      </c>
      <c r="I1387" s="125">
        <f>325585.12+45115.2</f>
        <v>370700.32</v>
      </c>
      <c r="J1387" s="125">
        <f>I1387/D1386</f>
        <v>147.9</v>
      </c>
      <c r="K1387" s="125">
        <f>151+18</f>
        <v>169</v>
      </c>
    </row>
    <row r="1388" spans="1:11" s="41" customFormat="1" x14ac:dyDescent="0.25">
      <c r="A1388" s="209">
        <f>A1386+1</f>
        <v>38</v>
      </c>
      <c r="B1388" s="209">
        <v>6433</v>
      </c>
      <c r="C1388" s="212" t="s">
        <v>416</v>
      </c>
      <c r="D1388" s="205">
        <v>3100.3</v>
      </c>
      <c r="E1388" s="262" t="s">
        <v>68</v>
      </c>
      <c r="F1388" s="262">
        <v>5</v>
      </c>
      <c r="G1388" s="209" t="s">
        <v>65</v>
      </c>
      <c r="H1388" s="62" t="s">
        <v>66</v>
      </c>
      <c r="I1388" s="125">
        <f>SUM(I1389:I1390)</f>
        <v>3957286.96</v>
      </c>
      <c r="J1388" s="125">
        <f>SUM(J1389:J1390)</f>
        <v>1276.42</v>
      </c>
      <c r="K1388" s="125">
        <f>SUM(K1389:K1390)</f>
        <v>3966</v>
      </c>
    </row>
    <row r="1389" spans="1:11" s="41" customFormat="1" ht="63" x14ac:dyDescent="0.25">
      <c r="A1389" s="210"/>
      <c r="B1389" s="210"/>
      <c r="C1389" s="213"/>
      <c r="D1389" s="206"/>
      <c r="E1389" s="263"/>
      <c r="F1389" s="263"/>
      <c r="G1389" s="210"/>
      <c r="H1389" s="62" t="s">
        <v>168</v>
      </c>
      <c r="I1389" s="125">
        <v>425735.23</v>
      </c>
      <c r="J1389" s="125">
        <f>I1389/D1388</f>
        <v>137.32</v>
      </c>
      <c r="K1389" s="125">
        <f>151+18</f>
        <v>169</v>
      </c>
    </row>
    <row r="1390" spans="1:11" s="41" customFormat="1" x14ac:dyDescent="0.25">
      <c r="A1390" s="210"/>
      <c r="B1390" s="210"/>
      <c r="C1390" s="213"/>
      <c r="D1390" s="206"/>
      <c r="E1390" s="263"/>
      <c r="F1390" s="263"/>
      <c r="G1390" s="211"/>
      <c r="H1390" s="62" t="s">
        <v>169</v>
      </c>
      <c r="I1390" s="125">
        <f>D1388*K1390*30/100</f>
        <v>3531551.73</v>
      </c>
      <c r="J1390" s="125">
        <f>I1390/D1388</f>
        <v>1139.0999999999999</v>
      </c>
      <c r="K1390" s="125">
        <v>3797</v>
      </c>
    </row>
    <row r="1391" spans="1:11" s="41" customFormat="1" x14ac:dyDescent="0.25">
      <c r="A1391" s="209">
        <f>A1388+1</f>
        <v>39</v>
      </c>
      <c r="B1391" s="209">
        <v>6436</v>
      </c>
      <c r="C1391" s="212" t="s">
        <v>417</v>
      </c>
      <c r="D1391" s="205">
        <v>3038.5</v>
      </c>
      <c r="E1391" s="262" t="s">
        <v>68</v>
      </c>
      <c r="F1391" s="262">
        <v>5</v>
      </c>
      <c r="G1391" s="124"/>
      <c r="H1391" s="62" t="s">
        <v>66</v>
      </c>
      <c r="I1391" s="125">
        <f>SUM(I1392:I1397)</f>
        <v>3524963.85</v>
      </c>
      <c r="J1391" s="125">
        <f>SUM(J1392:J1397)</f>
        <v>1160.0999999999999</v>
      </c>
      <c r="K1391" s="125">
        <f>SUM(K1392:K1397)</f>
        <v>3503</v>
      </c>
    </row>
    <row r="1392" spans="1:11" s="41" customFormat="1" ht="63" x14ac:dyDescent="0.25">
      <c r="A1392" s="210"/>
      <c r="B1392" s="210"/>
      <c r="C1392" s="213"/>
      <c r="D1392" s="206"/>
      <c r="E1392" s="263"/>
      <c r="F1392" s="263"/>
      <c r="G1392" s="209" t="s">
        <v>70</v>
      </c>
      <c r="H1392" s="62" t="s">
        <v>168</v>
      </c>
      <c r="I1392" s="125">
        <f>D1391*K1392</f>
        <v>297773</v>
      </c>
      <c r="J1392" s="125">
        <f>I1392/D1391</f>
        <v>98</v>
      </c>
      <c r="K1392" s="125">
        <f>92+6</f>
        <v>98</v>
      </c>
    </row>
    <row r="1393" spans="1:11" s="41" customFormat="1" x14ac:dyDescent="0.25">
      <c r="A1393" s="210"/>
      <c r="B1393" s="210"/>
      <c r="C1393" s="213"/>
      <c r="D1393" s="206"/>
      <c r="E1393" s="263"/>
      <c r="F1393" s="263"/>
      <c r="G1393" s="210"/>
      <c r="H1393" s="62" t="s">
        <v>169</v>
      </c>
      <c r="I1393" s="125">
        <f>D1391*K1393*30/100</f>
        <v>2089272.6</v>
      </c>
      <c r="J1393" s="125">
        <f>I1393/D1391</f>
        <v>687.6</v>
      </c>
      <c r="K1393" s="125">
        <v>2292</v>
      </c>
    </row>
    <row r="1394" spans="1:11" s="41" customFormat="1" ht="63" x14ac:dyDescent="0.25">
      <c r="A1394" s="210"/>
      <c r="B1394" s="210"/>
      <c r="C1394" s="213"/>
      <c r="D1394" s="206"/>
      <c r="E1394" s="263"/>
      <c r="F1394" s="263"/>
      <c r="G1394" s="209" t="s">
        <v>71</v>
      </c>
      <c r="H1394" s="62" t="s">
        <v>168</v>
      </c>
      <c r="I1394" s="125">
        <f>D1391*K1394</f>
        <v>88116.5</v>
      </c>
      <c r="J1394" s="125">
        <f>I1394/D1391</f>
        <v>29</v>
      </c>
      <c r="K1394" s="125">
        <f>21+8</f>
        <v>29</v>
      </c>
    </row>
    <row r="1395" spans="1:11" s="41" customFormat="1" x14ac:dyDescent="0.25">
      <c r="A1395" s="210"/>
      <c r="B1395" s="210"/>
      <c r="C1395" s="213"/>
      <c r="D1395" s="206"/>
      <c r="E1395" s="263"/>
      <c r="F1395" s="263"/>
      <c r="G1395" s="210"/>
      <c r="H1395" s="62" t="s">
        <v>169</v>
      </c>
      <c r="I1395" s="125">
        <f>D1391*K1395*30/100</f>
        <v>467625.15</v>
      </c>
      <c r="J1395" s="125">
        <f>I1395/D1391</f>
        <v>153.9</v>
      </c>
      <c r="K1395" s="125">
        <v>513</v>
      </c>
    </row>
    <row r="1396" spans="1:11" s="41" customFormat="1" ht="63" x14ac:dyDescent="0.25">
      <c r="A1396" s="210"/>
      <c r="B1396" s="210"/>
      <c r="C1396" s="213"/>
      <c r="D1396" s="206"/>
      <c r="E1396" s="263"/>
      <c r="F1396" s="263"/>
      <c r="G1396" s="209" t="s">
        <v>72</v>
      </c>
      <c r="H1396" s="62" t="s">
        <v>168</v>
      </c>
      <c r="I1396" s="125">
        <f>D1391*K1396</f>
        <v>88116.5</v>
      </c>
      <c r="J1396" s="125">
        <f>I1396/D1391</f>
        <v>29</v>
      </c>
      <c r="K1396" s="125">
        <f>22+7</f>
        <v>29</v>
      </c>
    </row>
    <row r="1397" spans="1:11" s="41" customFormat="1" x14ac:dyDescent="0.25">
      <c r="A1397" s="210"/>
      <c r="B1397" s="210"/>
      <c r="C1397" s="213"/>
      <c r="D1397" s="206"/>
      <c r="E1397" s="263"/>
      <c r="F1397" s="263"/>
      <c r="G1397" s="210"/>
      <c r="H1397" s="62" t="s">
        <v>169</v>
      </c>
      <c r="I1397" s="125">
        <f>D1391*K1397*30/100</f>
        <v>494060.1</v>
      </c>
      <c r="J1397" s="125">
        <f>I1397/D1391</f>
        <v>162.6</v>
      </c>
      <c r="K1397" s="125">
        <v>542</v>
      </c>
    </row>
    <row r="1398" spans="1:11" s="41" customFormat="1" x14ac:dyDescent="0.25">
      <c r="A1398" s="209">
        <f>A1391+1</f>
        <v>40</v>
      </c>
      <c r="B1398" s="209">
        <v>6439</v>
      </c>
      <c r="C1398" s="212" t="s">
        <v>418</v>
      </c>
      <c r="D1398" s="205">
        <v>3449.6</v>
      </c>
      <c r="E1398" s="262" t="s">
        <v>64</v>
      </c>
      <c r="F1398" s="262">
        <v>5</v>
      </c>
      <c r="G1398" s="124"/>
      <c r="H1398" s="62" t="s">
        <v>66</v>
      </c>
      <c r="I1398" s="125">
        <f>SUM(I1399:I1399)</f>
        <v>487226.32</v>
      </c>
      <c r="J1398" s="125">
        <f>SUM(J1399:J1399)</f>
        <v>141.24</v>
      </c>
      <c r="K1398" s="125">
        <f>SUM(K1399:K1399)</f>
        <v>169</v>
      </c>
    </row>
    <row r="1399" spans="1:11" s="41" customFormat="1" ht="63" x14ac:dyDescent="0.25">
      <c r="A1399" s="210"/>
      <c r="B1399" s="210"/>
      <c r="C1399" s="213"/>
      <c r="D1399" s="206"/>
      <c r="E1399" s="263"/>
      <c r="F1399" s="263"/>
      <c r="G1399" s="106" t="s">
        <v>65</v>
      </c>
      <c r="H1399" s="62" t="s">
        <v>168</v>
      </c>
      <c r="I1399" s="125">
        <f>425133.52+62092.8</f>
        <v>487226.32</v>
      </c>
      <c r="J1399" s="125">
        <f>I1399/D1398</f>
        <v>141.24</v>
      </c>
      <c r="K1399" s="125">
        <f>151+18</f>
        <v>169</v>
      </c>
    </row>
    <row r="1400" spans="1:11" s="41" customFormat="1" x14ac:dyDescent="0.25">
      <c r="A1400" s="209">
        <f>A1398+1</f>
        <v>41</v>
      </c>
      <c r="B1400" s="209">
        <v>6538</v>
      </c>
      <c r="C1400" s="212" t="s">
        <v>419</v>
      </c>
      <c r="D1400" s="205">
        <v>412</v>
      </c>
      <c r="E1400" s="262" t="s">
        <v>167</v>
      </c>
      <c r="F1400" s="262">
        <v>2</v>
      </c>
      <c r="G1400" s="124"/>
      <c r="H1400" s="62" t="s">
        <v>66</v>
      </c>
      <c r="I1400" s="125">
        <f>SUM(I1401:I1404)</f>
        <v>496954.4</v>
      </c>
      <c r="J1400" s="125">
        <f>SUM(J1401:J1404)</f>
        <v>1206.2</v>
      </c>
      <c r="K1400" s="125">
        <f>SUM(K1401:K1404)</f>
        <v>3603</v>
      </c>
    </row>
    <row r="1401" spans="1:11" s="41" customFormat="1" ht="63" x14ac:dyDescent="0.25">
      <c r="A1401" s="210"/>
      <c r="B1401" s="210"/>
      <c r="C1401" s="213"/>
      <c r="D1401" s="206"/>
      <c r="E1401" s="263"/>
      <c r="F1401" s="263"/>
      <c r="G1401" s="209" t="s">
        <v>70</v>
      </c>
      <c r="H1401" s="62" t="s">
        <v>168</v>
      </c>
      <c r="I1401" s="125">
        <f>D1400*K1401</f>
        <v>56444</v>
      </c>
      <c r="J1401" s="125">
        <f>I1401/D1400</f>
        <v>137</v>
      </c>
      <c r="K1401" s="125">
        <f>116+21</f>
        <v>137</v>
      </c>
    </row>
    <row r="1402" spans="1:11" s="41" customFormat="1" x14ac:dyDescent="0.25">
      <c r="A1402" s="210"/>
      <c r="B1402" s="210"/>
      <c r="C1402" s="213"/>
      <c r="D1402" s="206"/>
      <c r="E1402" s="263"/>
      <c r="F1402" s="263"/>
      <c r="G1402" s="210"/>
      <c r="H1402" s="62" t="s">
        <v>169</v>
      </c>
      <c r="I1402" s="125">
        <f>D1400*K1402*30/100</f>
        <v>359799.6</v>
      </c>
      <c r="J1402" s="125">
        <f>I1402/D1400</f>
        <v>873.3</v>
      </c>
      <c r="K1402" s="125">
        <v>2911</v>
      </c>
    </row>
    <row r="1403" spans="1:11" s="41" customFormat="1" ht="63" x14ac:dyDescent="0.25">
      <c r="A1403" s="210"/>
      <c r="B1403" s="210"/>
      <c r="C1403" s="213"/>
      <c r="D1403" s="206"/>
      <c r="E1403" s="263"/>
      <c r="F1403" s="263"/>
      <c r="G1403" s="209" t="s">
        <v>71</v>
      </c>
      <c r="H1403" s="62" t="s">
        <v>168</v>
      </c>
      <c r="I1403" s="125">
        <f>D1400*K1403</f>
        <v>17304</v>
      </c>
      <c r="J1403" s="125">
        <f>I1403/D1400</f>
        <v>42</v>
      </c>
      <c r="K1403" s="125">
        <f>21+21</f>
        <v>42</v>
      </c>
    </row>
    <row r="1404" spans="1:11" s="41" customFormat="1" x14ac:dyDescent="0.25">
      <c r="A1404" s="210"/>
      <c r="B1404" s="210"/>
      <c r="C1404" s="213"/>
      <c r="D1404" s="206"/>
      <c r="E1404" s="263"/>
      <c r="F1404" s="263"/>
      <c r="G1404" s="210"/>
      <c r="H1404" s="62" t="s">
        <v>169</v>
      </c>
      <c r="I1404" s="125">
        <f>D1400*K1404*30/100</f>
        <v>63406.8</v>
      </c>
      <c r="J1404" s="125">
        <f>I1404/D1400</f>
        <v>153.9</v>
      </c>
      <c r="K1404" s="125">
        <v>513</v>
      </c>
    </row>
    <row r="1405" spans="1:11" s="41" customFormat="1" x14ac:dyDescent="0.25">
      <c r="A1405" s="209">
        <f>A1400+1</f>
        <v>42</v>
      </c>
      <c r="B1405" s="209">
        <v>6510</v>
      </c>
      <c r="C1405" s="212" t="s">
        <v>393</v>
      </c>
      <c r="D1405" s="205">
        <v>461.9</v>
      </c>
      <c r="E1405" s="262" t="s">
        <v>167</v>
      </c>
      <c r="F1405" s="262">
        <v>2</v>
      </c>
      <c r="G1405" s="124"/>
      <c r="H1405" s="62" t="s">
        <v>66</v>
      </c>
      <c r="I1405" s="125">
        <f>SUM(I1406:I1409)</f>
        <v>490207.83</v>
      </c>
      <c r="J1405" s="125">
        <f>SUM(J1406:J1409)</f>
        <v>1061.29</v>
      </c>
      <c r="K1405" s="125">
        <f>SUM(K1406:K1409)</f>
        <v>3497</v>
      </c>
    </row>
    <row r="1406" spans="1:11" s="41" customFormat="1" x14ac:dyDescent="0.25">
      <c r="A1406" s="210"/>
      <c r="B1406" s="210"/>
      <c r="C1406" s="213"/>
      <c r="D1406" s="206"/>
      <c r="E1406" s="263"/>
      <c r="F1406" s="263"/>
      <c r="G1406" s="210" t="s">
        <v>70</v>
      </c>
      <c r="H1406" s="62" t="s">
        <v>169</v>
      </c>
      <c r="I1406" s="125">
        <v>438314.02</v>
      </c>
      <c r="J1406" s="125">
        <f>I1406/D1405</f>
        <v>948.94</v>
      </c>
      <c r="K1406" s="125">
        <v>2911</v>
      </c>
    </row>
    <row r="1407" spans="1:11" s="41" customFormat="1" x14ac:dyDescent="0.25">
      <c r="A1407" s="210"/>
      <c r="B1407" s="210"/>
      <c r="C1407" s="213"/>
      <c r="D1407" s="206"/>
      <c r="E1407" s="263"/>
      <c r="F1407" s="263"/>
      <c r="G1407" s="211"/>
      <c r="H1407" s="62" t="s">
        <v>69</v>
      </c>
      <c r="I1407" s="125">
        <v>0</v>
      </c>
      <c r="J1407" s="125">
        <f>I1407/D1405</f>
        <v>0</v>
      </c>
      <c r="K1407" s="125">
        <v>62</v>
      </c>
    </row>
    <row r="1408" spans="1:11" s="41" customFormat="1" x14ac:dyDescent="0.25">
      <c r="A1408" s="210"/>
      <c r="B1408" s="210"/>
      <c r="C1408" s="213"/>
      <c r="D1408" s="206"/>
      <c r="E1408" s="263"/>
      <c r="F1408" s="263"/>
      <c r="G1408" s="210" t="s">
        <v>71</v>
      </c>
      <c r="H1408" s="62" t="s">
        <v>169</v>
      </c>
      <c r="I1408" s="125">
        <v>51893.81</v>
      </c>
      <c r="J1408" s="125">
        <f>I1408/D1405</f>
        <v>112.35</v>
      </c>
      <c r="K1408" s="125">
        <v>513</v>
      </c>
    </row>
    <row r="1409" spans="1:11" s="41" customFormat="1" x14ac:dyDescent="0.25">
      <c r="A1409" s="210"/>
      <c r="B1409" s="210"/>
      <c r="C1409" s="213"/>
      <c r="D1409" s="206"/>
      <c r="E1409" s="263"/>
      <c r="F1409" s="263"/>
      <c r="G1409" s="211"/>
      <c r="H1409" s="62" t="s">
        <v>69</v>
      </c>
      <c r="I1409" s="125">
        <v>0</v>
      </c>
      <c r="J1409" s="125">
        <f>I1409/D1405</f>
        <v>0</v>
      </c>
      <c r="K1409" s="125">
        <v>11</v>
      </c>
    </row>
    <row r="1410" spans="1:11" x14ac:dyDescent="0.25">
      <c r="A1410" s="51" t="s">
        <v>41</v>
      </c>
      <c r="B1410" s="51"/>
      <c r="C1410" s="91"/>
      <c r="D1410" s="109">
        <f>D1411+D1420+D1424+D1428+D1437+D1446+D1448+D1452+D1456+D1460+D1464+D1468+D1471+D1475+D1478+D1481+D1488</f>
        <v>68548.710000000006</v>
      </c>
      <c r="E1410" s="109"/>
      <c r="F1410" s="109"/>
      <c r="G1410" s="109"/>
      <c r="H1410" s="55"/>
      <c r="I1410" s="109">
        <f>I1411+I1420+I1424+I1428+I1437+I1446+I1448+I1452+I1456+I1460+I1464+I1468+I1471+I1475+I1478+I1481+I1488</f>
        <v>66209467.829999998</v>
      </c>
      <c r="J1410" s="105"/>
      <c r="K1410" s="105"/>
    </row>
    <row r="1411" spans="1:11" x14ac:dyDescent="0.25">
      <c r="A1411" s="216">
        <v>1</v>
      </c>
      <c r="B1411" s="216">
        <v>5072</v>
      </c>
      <c r="C1411" s="267" t="s">
        <v>233</v>
      </c>
      <c r="D1411" s="220">
        <v>3100.9</v>
      </c>
      <c r="E1411" s="220" t="s">
        <v>68</v>
      </c>
      <c r="F1411" s="228">
        <v>5</v>
      </c>
      <c r="G1411" s="110"/>
      <c r="H1411" s="57" t="s">
        <v>66</v>
      </c>
      <c r="I1411" s="50">
        <f>SUM(I1412:I1419)</f>
        <v>8558119.0299999993</v>
      </c>
      <c r="J1411" s="50">
        <f>SUM(J1412:J1419)</f>
        <v>2759.88</v>
      </c>
      <c r="K1411" s="50">
        <f>SUM(K1412:K1419)</f>
        <v>4160</v>
      </c>
    </row>
    <row r="1412" spans="1:11" x14ac:dyDescent="0.25">
      <c r="A1412" s="217"/>
      <c r="B1412" s="217"/>
      <c r="C1412" s="268"/>
      <c r="D1412" s="221"/>
      <c r="E1412" s="221"/>
      <c r="F1412" s="229"/>
      <c r="G1412" s="215" t="s">
        <v>70</v>
      </c>
      <c r="H1412" s="129" t="s">
        <v>67</v>
      </c>
      <c r="I1412" s="50">
        <v>5878204.9199999999</v>
      </c>
      <c r="J1412" s="50">
        <f>I1412/D1411+0.01</f>
        <v>1895.65</v>
      </c>
      <c r="K1412" s="50">
        <v>2327</v>
      </c>
    </row>
    <row r="1413" spans="1:11" x14ac:dyDescent="0.25">
      <c r="A1413" s="217"/>
      <c r="B1413" s="217"/>
      <c r="C1413" s="268"/>
      <c r="D1413" s="221"/>
      <c r="E1413" s="221"/>
      <c r="F1413" s="229"/>
      <c r="G1413" s="215"/>
      <c r="H1413" s="129" t="s">
        <v>69</v>
      </c>
      <c r="I1413" s="50">
        <f>I1412*0.0214</f>
        <v>125793.59</v>
      </c>
      <c r="J1413" s="50">
        <f>I1413/D1411</f>
        <v>40.57</v>
      </c>
      <c r="K1413" s="50">
        <v>50</v>
      </c>
    </row>
    <row r="1414" spans="1:11" x14ac:dyDescent="0.25">
      <c r="A1414" s="217"/>
      <c r="B1414" s="217"/>
      <c r="C1414" s="268"/>
      <c r="D1414" s="221"/>
      <c r="E1414" s="221"/>
      <c r="F1414" s="229"/>
      <c r="G1414" s="215" t="s">
        <v>71</v>
      </c>
      <c r="H1414" s="57" t="s">
        <v>67</v>
      </c>
      <c r="I1414" s="50">
        <v>431901.86</v>
      </c>
      <c r="J1414" s="50">
        <f>I1414/D1411</f>
        <v>139.28</v>
      </c>
      <c r="K1414" s="50">
        <v>618</v>
      </c>
    </row>
    <row r="1415" spans="1:11" x14ac:dyDescent="0.25">
      <c r="A1415" s="217"/>
      <c r="B1415" s="217"/>
      <c r="C1415" s="268"/>
      <c r="D1415" s="221"/>
      <c r="E1415" s="221"/>
      <c r="F1415" s="229"/>
      <c r="G1415" s="215"/>
      <c r="H1415" s="57" t="s">
        <v>69</v>
      </c>
      <c r="I1415" s="50">
        <f>I1414*0.0214</f>
        <v>9242.7000000000007</v>
      </c>
      <c r="J1415" s="50">
        <f>I1415/D1411</f>
        <v>2.98</v>
      </c>
      <c r="K1415" s="50">
        <v>13</v>
      </c>
    </row>
    <row r="1416" spans="1:11" x14ac:dyDescent="0.25">
      <c r="A1416" s="217"/>
      <c r="B1416" s="217"/>
      <c r="C1416" s="268"/>
      <c r="D1416" s="221"/>
      <c r="E1416" s="221"/>
      <c r="F1416" s="229"/>
      <c r="G1416" s="215" t="s">
        <v>72</v>
      </c>
      <c r="H1416" s="57" t="s">
        <v>67</v>
      </c>
      <c r="I1416" s="50">
        <v>1204801.56</v>
      </c>
      <c r="J1416" s="50">
        <f>I1416/D1411</f>
        <v>388.53</v>
      </c>
      <c r="K1416" s="50">
        <v>601</v>
      </c>
    </row>
    <row r="1417" spans="1:11" x14ac:dyDescent="0.25">
      <c r="A1417" s="217"/>
      <c r="B1417" s="217"/>
      <c r="C1417" s="268"/>
      <c r="D1417" s="221"/>
      <c r="E1417" s="221"/>
      <c r="F1417" s="229"/>
      <c r="G1417" s="215"/>
      <c r="H1417" s="57" t="s">
        <v>69</v>
      </c>
      <c r="I1417" s="50">
        <f>I1416*0.0214</f>
        <v>25782.75</v>
      </c>
      <c r="J1417" s="50">
        <f>I1417/D1411</f>
        <v>8.31</v>
      </c>
      <c r="K1417" s="50">
        <v>13</v>
      </c>
    </row>
    <row r="1418" spans="1:11" x14ac:dyDescent="0.25">
      <c r="A1418" s="217"/>
      <c r="B1418" s="217"/>
      <c r="C1418" s="268"/>
      <c r="D1418" s="221"/>
      <c r="E1418" s="221"/>
      <c r="F1418" s="229"/>
      <c r="G1418" s="215" t="s">
        <v>78</v>
      </c>
      <c r="H1418" s="57" t="s">
        <v>67</v>
      </c>
      <c r="I1418" s="50">
        <v>863904.1</v>
      </c>
      <c r="J1418" s="50">
        <f>I1418/D1411</f>
        <v>278.60000000000002</v>
      </c>
      <c r="K1418" s="50">
        <v>527</v>
      </c>
    </row>
    <row r="1419" spans="1:11" x14ac:dyDescent="0.25">
      <c r="A1419" s="222"/>
      <c r="B1419" s="222"/>
      <c r="C1419" s="269"/>
      <c r="D1419" s="227"/>
      <c r="E1419" s="227"/>
      <c r="F1419" s="230"/>
      <c r="G1419" s="215"/>
      <c r="H1419" s="57" t="s">
        <v>69</v>
      </c>
      <c r="I1419" s="50">
        <f>I1418*0.0214</f>
        <v>18487.55</v>
      </c>
      <c r="J1419" s="50">
        <f>I1419/D1411</f>
        <v>5.96</v>
      </c>
      <c r="K1419" s="50">
        <v>11</v>
      </c>
    </row>
    <row r="1420" spans="1:11" x14ac:dyDescent="0.25">
      <c r="A1420" s="216">
        <f>A1411+1</f>
        <v>2</v>
      </c>
      <c r="B1420" s="216">
        <v>5079</v>
      </c>
      <c r="C1420" s="267" t="s">
        <v>337</v>
      </c>
      <c r="D1420" s="220">
        <v>712.3</v>
      </c>
      <c r="E1420" s="220" t="s">
        <v>68</v>
      </c>
      <c r="F1420" s="228">
        <v>2</v>
      </c>
      <c r="G1420" s="110"/>
      <c r="H1420" s="57" t="s">
        <v>66</v>
      </c>
      <c r="I1420" s="50">
        <f>I1421+I1422+I1423</f>
        <v>163116.70000000001</v>
      </c>
      <c r="J1420" s="50">
        <f>J1421+J1422+J1423</f>
        <v>229</v>
      </c>
      <c r="K1420" s="50">
        <f>K1421+K1422+K1423</f>
        <v>229</v>
      </c>
    </row>
    <row r="1421" spans="1:11" ht="63" x14ac:dyDescent="0.25">
      <c r="A1421" s="217"/>
      <c r="B1421" s="217"/>
      <c r="C1421" s="268"/>
      <c r="D1421" s="221"/>
      <c r="E1421" s="221"/>
      <c r="F1421" s="229"/>
      <c r="G1421" s="102" t="s">
        <v>70</v>
      </c>
      <c r="H1421" s="57" t="s">
        <v>168</v>
      </c>
      <c r="I1421" s="50">
        <f>D1420*K1421</f>
        <v>99722</v>
      </c>
      <c r="J1421" s="50">
        <f>I1421/D1420</f>
        <v>140</v>
      </c>
      <c r="K1421" s="50">
        <f>119+21</f>
        <v>140</v>
      </c>
    </row>
    <row r="1422" spans="1:11" ht="63" x14ac:dyDescent="0.25">
      <c r="A1422" s="217"/>
      <c r="B1422" s="217"/>
      <c r="C1422" s="268"/>
      <c r="D1422" s="221"/>
      <c r="E1422" s="221"/>
      <c r="F1422" s="229"/>
      <c r="G1422" s="102" t="s">
        <v>71</v>
      </c>
      <c r="H1422" s="57" t="s">
        <v>168</v>
      </c>
      <c r="I1422" s="50">
        <f>D1420*K1422</f>
        <v>32765.8</v>
      </c>
      <c r="J1422" s="50">
        <f>I1422/D1420</f>
        <v>46</v>
      </c>
      <c r="K1422" s="50">
        <f>25+21</f>
        <v>46</v>
      </c>
    </row>
    <row r="1423" spans="1:11" ht="63" x14ac:dyDescent="0.25">
      <c r="A1423" s="217"/>
      <c r="B1423" s="217"/>
      <c r="C1423" s="268"/>
      <c r="D1423" s="221"/>
      <c r="E1423" s="221"/>
      <c r="F1423" s="229"/>
      <c r="G1423" s="102" t="s">
        <v>72</v>
      </c>
      <c r="H1423" s="57" t="s">
        <v>168</v>
      </c>
      <c r="I1423" s="50">
        <f>D1420*K1423</f>
        <v>30628.9</v>
      </c>
      <c r="J1423" s="50">
        <f>I1423/D1420</f>
        <v>43</v>
      </c>
      <c r="K1423" s="50">
        <f>24+19</f>
        <v>43</v>
      </c>
    </row>
    <row r="1424" spans="1:11" x14ac:dyDescent="0.25">
      <c r="A1424" s="216">
        <f>A1420+1</f>
        <v>3</v>
      </c>
      <c r="B1424" s="216">
        <v>5080</v>
      </c>
      <c r="C1424" s="267" t="s">
        <v>338</v>
      </c>
      <c r="D1424" s="220">
        <v>704</v>
      </c>
      <c r="E1424" s="220" t="s">
        <v>68</v>
      </c>
      <c r="F1424" s="228">
        <v>2</v>
      </c>
      <c r="G1424" s="110"/>
      <c r="H1424" s="57" t="s">
        <v>66</v>
      </c>
      <c r="I1424" s="50">
        <f>I1425+I1426+I1427</f>
        <v>161216</v>
      </c>
      <c r="J1424" s="50">
        <f>J1425+J1426+J1427</f>
        <v>229</v>
      </c>
      <c r="K1424" s="50">
        <f>K1425+K1426+K1427</f>
        <v>229</v>
      </c>
    </row>
    <row r="1425" spans="1:11" ht="63" x14ac:dyDescent="0.25">
      <c r="A1425" s="217"/>
      <c r="B1425" s="217"/>
      <c r="C1425" s="268"/>
      <c r="D1425" s="221"/>
      <c r="E1425" s="221"/>
      <c r="F1425" s="229"/>
      <c r="G1425" s="102" t="s">
        <v>70</v>
      </c>
      <c r="H1425" s="57" t="s">
        <v>168</v>
      </c>
      <c r="I1425" s="50">
        <f>D1424*K1425</f>
        <v>98560</v>
      </c>
      <c r="J1425" s="50">
        <f>I1425/D1424</f>
        <v>140</v>
      </c>
      <c r="K1425" s="50">
        <f>119+21</f>
        <v>140</v>
      </c>
    </row>
    <row r="1426" spans="1:11" ht="63" x14ac:dyDescent="0.25">
      <c r="A1426" s="217"/>
      <c r="B1426" s="217"/>
      <c r="C1426" s="268"/>
      <c r="D1426" s="221"/>
      <c r="E1426" s="221"/>
      <c r="F1426" s="229"/>
      <c r="G1426" s="102" t="s">
        <v>71</v>
      </c>
      <c r="H1426" s="57" t="s">
        <v>168</v>
      </c>
      <c r="I1426" s="50">
        <f>D1424*K1426</f>
        <v>32384</v>
      </c>
      <c r="J1426" s="50">
        <f>I1426/D1424</f>
        <v>46</v>
      </c>
      <c r="K1426" s="50">
        <f>25+21</f>
        <v>46</v>
      </c>
    </row>
    <row r="1427" spans="1:11" ht="63" x14ac:dyDescent="0.25">
      <c r="A1427" s="217"/>
      <c r="B1427" s="217"/>
      <c r="C1427" s="268"/>
      <c r="D1427" s="221"/>
      <c r="E1427" s="221"/>
      <c r="F1427" s="229"/>
      <c r="G1427" s="102" t="s">
        <v>72</v>
      </c>
      <c r="H1427" s="57" t="s">
        <v>168</v>
      </c>
      <c r="I1427" s="50">
        <f>D1424*K1427</f>
        <v>30272</v>
      </c>
      <c r="J1427" s="50">
        <f>I1427/D1424</f>
        <v>43</v>
      </c>
      <c r="K1427" s="50">
        <f>24+19</f>
        <v>43</v>
      </c>
    </row>
    <row r="1428" spans="1:11" x14ac:dyDescent="0.25">
      <c r="A1428" s="216">
        <f>A1424+1</f>
        <v>4</v>
      </c>
      <c r="B1428" s="216">
        <v>5086</v>
      </c>
      <c r="C1428" s="267" t="s">
        <v>239</v>
      </c>
      <c r="D1428" s="220">
        <v>3129.5</v>
      </c>
      <c r="E1428" s="220" t="s">
        <v>68</v>
      </c>
      <c r="F1428" s="228">
        <v>5</v>
      </c>
      <c r="G1428" s="108"/>
      <c r="H1428" s="57" t="s">
        <v>66</v>
      </c>
      <c r="I1428" s="50">
        <f>SUM(I1429:I1436)</f>
        <v>11193817.49</v>
      </c>
      <c r="J1428" s="50">
        <f>SUM(J1429:J1436)</f>
        <v>3576.87</v>
      </c>
      <c r="K1428" s="50">
        <f>SUM(K1429:K1436)</f>
        <v>4160</v>
      </c>
    </row>
    <row r="1429" spans="1:11" x14ac:dyDescent="0.25">
      <c r="A1429" s="217"/>
      <c r="B1429" s="217"/>
      <c r="C1429" s="268"/>
      <c r="D1429" s="221"/>
      <c r="E1429" s="221"/>
      <c r="F1429" s="229"/>
      <c r="G1429" s="215" t="s">
        <v>70</v>
      </c>
      <c r="H1429" s="129" t="s">
        <v>67</v>
      </c>
      <c r="I1429" s="50">
        <v>6769837.5099999998</v>
      </c>
      <c r="J1429" s="50">
        <f>I1429/D1428</f>
        <v>2163.23</v>
      </c>
      <c r="K1429" s="50">
        <v>2327</v>
      </c>
    </row>
    <row r="1430" spans="1:11" x14ac:dyDescent="0.25">
      <c r="A1430" s="217"/>
      <c r="B1430" s="217"/>
      <c r="C1430" s="268"/>
      <c r="D1430" s="221"/>
      <c r="E1430" s="221"/>
      <c r="F1430" s="229"/>
      <c r="G1430" s="215"/>
      <c r="H1430" s="129" t="s">
        <v>69</v>
      </c>
      <c r="I1430" s="50">
        <v>143957</v>
      </c>
      <c r="J1430" s="50">
        <f>I1430/D1428</f>
        <v>46</v>
      </c>
      <c r="K1430" s="50">
        <v>50</v>
      </c>
    </row>
    <row r="1431" spans="1:11" x14ac:dyDescent="0.25">
      <c r="A1431" s="217"/>
      <c r="B1431" s="217"/>
      <c r="C1431" s="268"/>
      <c r="D1431" s="221"/>
      <c r="E1431" s="221"/>
      <c r="F1431" s="229"/>
      <c r="G1431" s="215" t="s">
        <v>71</v>
      </c>
      <c r="H1431" s="57" t="s">
        <v>67</v>
      </c>
      <c r="I1431" s="50">
        <v>666827.86</v>
      </c>
      <c r="J1431" s="50">
        <f>I1431/D1428</f>
        <v>213.08</v>
      </c>
      <c r="K1431" s="50">
        <v>618</v>
      </c>
    </row>
    <row r="1432" spans="1:11" x14ac:dyDescent="0.25">
      <c r="A1432" s="217"/>
      <c r="B1432" s="217"/>
      <c r="C1432" s="268"/>
      <c r="D1432" s="221"/>
      <c r="E1432" s="221"/>
      <c r="F1432" s="229"/>
      <c r="G1432" s="215"/>
      <c r="H1432" s="57" t="s">
        <v>69</v>
      </c>
      <c r="I1432" s="50">
        <v>14270.12</v>
      </c>
      <c r="J1432" s="50">
        <f>I1432/D1428</f>
        <v>4.5599999999999996</v>
      </c>
      <c r="K1432" s="50">
        <v>13</v>
      </c>
    </row>
    <row r="1433" spans="1:11" x14ac:dyDescent="0.25">
      <c r="A1433" s="217"/>
      <c r="B1433" s="217"/>
      <c r="C1433" s="268"/>
      <c r="D1433" s="221"/>
      <c r="E1433" s="221"/>
      <c r="F1433" s="229"/>
      <c r="G1433" s="215" t="s">
        <v>72</v>
      </c>
      <c r="H1433" s="57" t="s">
        <v>67</v>
      </c>
      <c r="I1433" s="50">
        <v>1880829.5</v>
      </c>
      <c r="J1433" s="50">
        <f>I1433/D1428</f>
        <v>601</v>
      </c>
      <c r="K1433" s="50">
        <v>601</v>
      </c>
    </row>
    <row r="1434" spans="1:11" x14ac:dyDescent="0.25">
      <c r="A1434" s="217"/>
      <c r="B1434" s="217"/>
      <c r="C1434" s="268"/>
      <c r="D1434" s="221"/>
      <c r="E1434" s="221"/>
      <c r="F1434" s="229"/>
      <c r="G1434" s="215"/>
      <c r="H1434" s="57" t="s">
        <v>69</v>
      </c>
      <c r="I1434" s="50">
        <v>37554</v>
      </c>
      <c r="J1434" s="50">
        <f>I1434/D1428</f>
        <v>12</v>
      </c>
      <c r="K1434" s="50">
        <v>13</v>
      </c>
    </row>
    <row r="1435" spans="1:11" x14ac:dyDescent="0.25">
      <c r="A1435" s="217"/>
      <c r="B1435" s="217"/>
      <c r="C1435" s="268"/>
      <c r="D1435" s="221"/>
      <c r="E1435" s="221"/>
      <c r="F1435" s="229"/>
      <c r="G1435" s="215" t="s">
        <v>78</v>
      </c>
      <c r="H1435" s="57" t="s">
        <v>67</v>
      </c>
      <c r="I1435" s="50">
        <v>1649246.5</v>
      </c>
      <c r="J1435" s="50">
        <f>I1435/D1428</f>
        <v>527</v>
      </c>
      <c r="K1435" s="50">
        <v>527</v>
      </c>
    </row>
    <row r="1436" spans="1:11" x14ac:dyDescent="0.25">
      <c r="A1436" s="222"/>
      <c r="B1436" s="222"/>
      <c r="C1436" s="269"/>
      <c r="D1436" s="227"/>
      <c r="E1436" s="227"/>
      <c r="F1436" s="230"/>
      <c r="G1436" s="215"/>
      <c r="H1436" s="57" t="s">
        <v>69</v>
      </c>
      <c r="I1436" s="50">
        <v>31295</v>
      </c>
      <c r="J1436" s="50">
        <f>I1436/D1428</f>
        <v>10</v>
      </c>
      <c r="K1436" s="50">
        <v>11</v>
      </c>
    </row>
    <row r="1437" spans="1:11" x14ac:dyDescent="0.25">
      <c r="A1437" s="216">
        <f>A1428+1</f>
        <v>5</v>
      </c>
      <c r="B1437" s="216">
        <v>5087</v>
      </c>
      <c r="C1437" s="267" t="s">
        <v>240</v>
      </c>
      <c r="D1437" s="220">
        <v>2620.1999999999998</v>
      </c>
      <c r="E1437" s="220" t="s">
        <v>64</v>
      </c>
      <c r="F1437" s="228">
        <v>5</v>
      </c>
      <c r="G1437" s="110"/>
      <c r="H1437" s="57" t="s">
        <v>66</v>
      </c>
      <c r="I1437" s="50">
        <f>SUM(I1438:I1445)</f>
        <v>8911964.4000000004</v>
      </c>
      <c r="J1437" s="50">
        <f>SUM(J1438:J1445)</f>
        <v>3401.25</v>
      </c>
      <c r="K1437" s="50">
        <f>SUM(K1438:K1445)</f>
        <v>4813</v>
      </c>
    </row>
    <row r="1438" spans="1:11" x14ac:dyDescent="0.25">
      <c r="A1438" s="217"/>
      <c r="B1438" s="217"/>
      <c r="C1438" s="268"/>
      <c r="D1438" s="221"/>
      <c r="E1438" s="221"/>
      <c r="F1438" s="229"/>
      <c r="G1438" s="215" t="s">
        <v>70</v>
      </c>
      <c r="H1438" s="129" t="s">
        <v>67</v>
      </c>
      <c r="I1438" s="50">
        <v>5713043.2599999998</v>
      </c>
      <c r="J1438" s="50">
        <f>I1438/D1437+0.01</f>
        <v>2180.39</v>
      </c>
      <c r="K1438" s="50">
        <v>2967</v>
      </c>
    </row>
    <row r="1439" spans="1:11" x14ac:dyDescent="0.25">
      <c r="A1439" s="217"/>
      <c r="B1439" s="217"/>
      <c r="C1439" s="268"/>
      <c r="D1439" s="221"/>
      <c r="E1439" s="221"/>
      <c r="F1439" s="229"/>
      <c r="G1439" s="215"/>
      <c r="H1439" s="129" t="s">
        <v>69</v>
      </c>
      <c r="I1439" s="50">
        <v>122259.13</v>
      </c>
      <c r="J1439" s="50">
        <f>I1439/D1437</f>
        <v>46.66</v>
      </c>
      <c r="K1439" s="50">
        <v>63</v>
      </c>
    </row>
    <row r="1440" spans="1:11" x14ac:dyDescent="0.25">
      <c r="A1440" s="217"/>
      <c r="B1440" s="217"/>
      <c r="C1440" s="268"/>
      <c r="D1440" s="221"/>
      <c r="E1440" s="221"/>
      <c r="F1440" s="229"/>
      <c r="G1440" s="215" t="s">
        <v>71</v>
      </c>
      <c r="H1440" s="57" t="s">
        <v>67</v>
      </c>
      <c r="I1440" s="50">
        <v>479268.22</v>
      </c>
      <c r="J1440" s="50">
        <f>I1440/D1437</f>
        <v>182.91</v>
      </c>
      <c r="K1440" s="50">
        <v>618</v>
      </c>
    </row>
    <row r="1441" spans="1:11" x14ac:dyDescent="0.25">
      <c r="A1441" s="217"/>
      <c r="B1441" s="217"/>
      <c r="C1441" s="268"/>
      <c r="D1441" s="221"/>
      <c r="E1441" s="221"/>
      <c r="F1441" s="229"/>
      <c r="G1441" s="215"/>
      <c r="H1441" s="57" t="s">
        <v>69</v>
      </c>
      <c r="I1441" s="50">
        <v>10256.34</v>
      </c>
      <c r="J1441" s="50">
        <f>I1441/D1437</f>
        <v>3.91</v>
      </c>
      <c r="K1441" s="50">
        <v>13</v>
      </c>
    </row>
    <row r="1442" spans="1:11" x14ac:dyDescent="0.25">
      <c r="A1442" s="217"/>
      <c r="B1442" s="217"/>
      <c r="C1442" s="268"/>
      <c r="D1442" s="221"/>
      <c r="E1442" s="221"/>
      <c r="F1442" s="229"/>
      <c r="G1442" s="215" t="s">
        <v>72</v>
      </c>
      <c r="H1442" s="57" t="s">
        <v>67</v>
      </c>
      <c r="I1442" s="50">
        <v>1518434.42</v>
      </c>
      <c r="J1442" s="50">
        <f>I1442/D1437</f>
        <v>579.51</v>
      </c>
      <c r="K1442" s="50">
        <v>601</v>
      </c>
    </row>
    <row r="1443" spans="1:11" x14ac:dyDescent="0.25">
      <c r="A1443" s="217"/>
      <c r="B1443" s="217"/>
      <c r="C1443" s="268"/>
      <c r="D1443" s="221"/>
      <c r="E1443" s="221"/>
      <c r="F1443" s="229"/>
      <c r="G1443" s="215"/>
      <c r="H1443" s="57" t="s">
        <v>69</v>
      </c>
      <c r="I1443" s="50">
        <v>31442.400000000001</v>
      </c>
      <c r="J1443" s="50">
        <f>I1443/D1437</f>
        <v>12</v>
      </c>
      <c r="K1443" s="50">
        <v>13</v>
      </c>
    </row>
    <row r="1444" spans="1:11" x14ac:dyDescent="0.25">
      <c r="A1444" s="217"/>
      <c r="B1444" s="217"/>
      <c r="C1444" s="268"/>
      <c r="D1444" s="221"/>
      <c r="E1444" s="221"/>
      <c r="F1444" s="229"/>
      <c r="G1444" s="217" t="s">
        <v>78</v>
      </c>
      <c r="H1444" s="57" t="s">
        <v>67</v>
      </c>
      <c r="I1444" s="50">
        <v>1015528.32</v>
      </c>
      <c r="J1444" s="50">
        <f>I1444/D1437</f>
        <v>387.58</v>
      </c>
      <c r="K1444" s="50">
        <v>527</v>
      </c>
    </row>
    <row r="1445" spans="1:11" x14ac:dyDescent="0.25">
      <c r="A1445" s="222"/>
      <c r="B1445" s="222"/>
      <c r="C1445" s="269"/>
      <c r="D1445" s="227"/>
      <c r="E1445" s="227"/>
      <c r="F1445" s="230"/>
      <c r="G1445" s="222"/>
      <c r="H1445" s="57" t="s">
        <v>69</v>
      </c>
      <c r="I1445" s="50">
        <v>21732.31</v>
      </c>
      <c r="J1445" s="50">
        <f>I1445/D1437</f>
        <v>8.2899999999999991</v>
      </c>
      <c r="K1445" s="50">
        <v>11</v>
      </c>
    </row>
    <row r="1446" spans="1:11" x14ac:dyDescent="0.25">
      <c r="A1446" s="216">
        <f>A1437+1</f>
        <v>6</v>
      </c>
      <c r="B1446" s="216">
        <v>5091</v>
      </c>
      <c r="C1446" s="241" t="s">
        <v>339</v>
      </c>
      <c r="D1446" s="220">
        <v>2295.21</v>
      </c>
      <c r="E1446" s="220" t="s">
        <v>68</v>
      </c>
      <c r="F1446" s="228">
        <v>9</v>
      </c>
      <c r="G1446" s="216" t="s">
        <v>65</v>
      </c>
      <c r="H1446" s="57" t="s">
        <v>66</v>
      </c>
      <c r="I1446" s="50">
        <f>I1447</f>
        <v>382020.2</v>
      </c>
      <c r="J1446" s="50">
        <f>J1447</f>
        <v>166.44</v>
      </c>
      <c r="K1446" s="50">
        <f>K1447</f>
        <v>167</v>
      </c>
    </row>
    <row r="1447" spans="1:11" ht="63" x14ac:dyDescent="0.25">
      <c r="A1447" s="217"/>
      <c r="B1447" s="217"/>
      <c r="C1447" s="242"/>
      <c r="D1447" s="221"/>
      <c r="E1447" s="221"/>
      <c r="F1447" s="229"/>
      <c r="G1447" s="217"/>
      <c r="H1447" s="57" t="s">
        <v>178</v>
      </c>
      <c r="I1447" s="50">
        <f>352182.47+29837.73</f>
        <v>382020.2</v>
      </c>
      <c r="J1447" s="50">
        <f>I1447/D1446</f>
        <v>166.44</v>
      </c>
      <c r="K1447" s="50">
        <f>154+13</f>
        <v>167</v>
      </c>
    </row>
    <row r="1448" spans="1:11" x14ac:dyDescent="0.25">
      <c r="A1448" s="216">
        <f>A1446+1</f>
        <v>7</v>
      </c>
      <c r="B1448" s="216">
        <v>5097</v>
      </c>
      <c r="C1448" s="267" t="s">
        <v>340</v>
      </c>
      <c r="D1448" s="220">
        <v>371</v>
      </c>
      <c r="E1448" s="220" t="s">
        <v>64</v>
      </c>
      <c r="F1448" s="228">
        <v>2</v>
      </c>
      <c r="G1448" s="110"/>
      <c r="H1448" s="57" t="s">
        <v>66</v>
      </c>
      <c r="I1448" s="50">
        <f>I1449+I1450+I1451</f>
        <v>84959</v>
      </c>
      <c r="J1448" s="50">
        <f>J1449+J1450+J1451</f>
        <v>229</v>
      </c>
      <c r="K1448" s="50">
        <f>K1449+K1450+K1451</f>
        <v>229</v>
      </c>
    </row>
    <row r="1449" spans="1:11" ht="63" x14ac:dyDescent="0.25">
      <c r="A1449" s="217"/>
      <c r="B1449" s="217"/>
      <c r="C1449" s="268"/>
      <c r="D1449" s="221"/>
      <c r="E1449" s="221"/>
      <c r="F1449" s="229"/>
      <c r="G1449" s="102" t="s">
        <v>70</v>
      </c>
      <c r="H1449" s="57" t="s">
        <v>168</v>
      </c>
      <c r="I1449" s="50">
        <f>D1448*K1449</f>
        <v>51940</v>
      </c>
      <c r="J1449" s="50">
        <f>I1449/D1448</f>
        <v>140</v>
      </c>
      <c r="K1449" s="50">
        <f>119+21</f>
        <v>140</v>
      </c>
    </row>
    <row r="1450" spans="1:11" ht="63" x14ac:dyDescent="0.25">
      <c r="A1450" s="217"/>
      <c r="B1450" s="217"/>
      <c r="C1450" s="268"/>
      <c r="D1450" s="221"/>
      <c r="E1450" s="221"/>
      <c r="F1450" s="229"/>
      <c r="G1450" s="102" t="s">
        <v>71</v>
      </c>
      <c r="H1450" s="57" t="s">
        <v>168</v>
      </c>
      <c r="I1450" s="50">
        <f>D1448*K1450</f>
        <v>17066</v>
      </c>
      <c r="J1450" s="50">
        <f>I1450/D1448</f>
        <v>46</v>
      </c>
      <c r="K1450" s="50">
        <f>25+21</f>
        <v>46</v>
      </c>
    </row>
    <row r="1451" spans="1:11" ht="63" x14ac:dyDescent="0.25">
      <c r="A1451" s="217"/>
      <c r="B1451" s="217"/>
      <c r="C1451" s="268"/>
      <c r="D1451" s="221"/>
      <c r="E1451" s="221"/>
      <c r="F1451" s="229"/>
      <c r="G1451" s="102" t="s">
        <v>72</v>
      </c>
      <c r="H1451" s="57" t="s">
        <v>168</v>
      </c>
      <c r="I1451" s="50">
        <f>D1448*K1451</f>
        <v>15953</v>
      </c>
      <c r="J1451" s="50">
        <f>I1451/D1448</f>
        <v>43</v>
      </c>
      <c r="K1451" s="50">
        <f>24+19</f>
        <v>43</v>
      </c>
    </row>
    <row r="1452" spans="1:11" x14ac:dyDescent="0.25">
      <c r="A1452" s="216">
        <f>A1448+1</f>
        <v>8</v>
      </c>
      <c r="B1452" s="216">
        <v>5107</v>
      </c>
      <c r="C1452" s="267" t="s">
        <v>234</v>
      </c>
      <c r="D1452" s="220">
        <v>743</v>
      </c>
      <c r="E1452" s="220" t="s">
        <v>68</v>
      </c>
      <c r="F1452" s="228">
        <v>2</v>
      </c>
      <c r="G1452" s="110"/>
      <c r="H1452" s="57" t="s">
        <v>66</v>
      </c>
      <c r="I1452" s="50">
        <f>I1453+I1454+I1455</f>
        <v>170147</v>
      </c>
      <c r="J1452" s="50">
        <f>J1453+J1454+J1455</f>
        <v>229</v>
      </c>
      <c r="K1452" s="50">
        <f>K1453+K1454+K1455</f>
        <v>229</v>
      </c>
    </row>
    <row r="1453" spans="1:11" ht="63" x14ac:dyDescent="0.25">
      <c r="A1453" s="217"/>
      <c r="B1453" s="217"/>
      <c r="C1453" s="268"/>
      <c r="D1453" s="221"/>
      <c r="E1453" s="221"/>
      <c r="F1453" s="229"/>
      <c r="G1453" s="102" t="s">
        <v>70</v>
      </c>
      <c r="H1453" s="57" t="s">
        <v>168</v>
      </c>
      <c r="I1453" s="50">
        <f>D1452*K1453</f>
        <v>104020</v>
      </c>
      <c r="J1453" s="50">
        <f>I1453/D1452</f>
        <v>140</v>
      </c>
      <c r="K1453" s="50">
        <f>119+21</f>
        <v>140</v>
      </c>
    </row>
    <row r="1454" spans="1:11" ht="63" x14ac:dyDescent="0.25">
      <c r="A1454" s="217"/>
      <c r="B1454" s="217"/>
      <c r="C1454" s="268"/>
      <c r="D1454" s="221"/>
      <c r="E1454" s="221"/>
      <c r="F1454" s="229"/>
      <c r="G1454" s="102" t="s">
        <v>71</v>
      </c>
      <c r="H1454" s="57" t="s">
        <v>168</v>
      </c>
      <c r="I1454" s="50">
        <f>D1452*K1454</f>
        <v>34178</v>
      </c>
      <c r="J1454" s="50">
        <f>I1454/D1452</f>
        <v>46</v>
      </c>
      <c r="K1454" s="50">
        <f>25+21</f>
        <v>46</v>
      </c>
    </row>
    <row r="1455" spans="1:11" ht="63" x14ac:dyDescent="0.25">
      <c r="A1455" s="217"/>
      <c r="B1455" s="217"/>
      <c r="C1455" s="268"/>
      <c r="D1455" s="221"/>
      <c r="E1455" s="221"/>
      <c r="F1455" s="229"/>
      <c r="G1455" s="102" t="s">
        <v>72</v>
      </c>
      <c r="H1455" s="57" t="s">
        <v>168</v>
      </c>
      <c r="I1455" s="50">
        <f>D1452*K1455</f>
        <v>31949</v>
      </c>
      <c r="J1455" s="50">
        <f>I1455/D1452</f>
        <v>43</v>
      </c>
      <c r="K1455" s="50">
        <f>24+19</f>
        <v>43</v>
      </c>
    </row>
    <row r="1456" spans="1:11" x14ac:dyDescent="0.25">
      <c r="A1456" s="216">
        <f>A1452+1</f>
        <v>9</v>
      </c>
      <c r="B1456" s="216">
        <v>5111</v>
      </c>
      <c r="C1456" s="267" t="s">
        <v>341</v>
      </c>
      <c r="D1456" s="220">
        <v>4156.3999999999996</v>
      </c>
      <c r="E1456" s="220" t="s">
        <v>68</v>
      </c>
      <c r="F1456" s="228">
        <v>5</v>
      </c>
      <c r="G1456" s="110"/>
      <c r="H1456" s="57" t="s">
        <v>66</v>
      </c>
      <c r="I1456" s="50">
        <f>I1457+I1458+I1459</f>
        <v>369973.3</v>
      </c>
      <c r="J1456" s="50">
        <f>J1457+J1458+J1459</f>
        <v>89.01</v>
      </c>
      <c r="K1456" s="50">
        <f>K1457+K1458+K1459</f>
        <v>163</v>
      </c>
    </row>
    <row r="1457" spans="1:11" ht="63" x14ac:dyDescent="0.25">
      <c r="A1457" s="217"/>
      <c r="B1457" s="217"/>
      <c r="C1457" s="268"/>
      <c r="D1457" s="221"/>
      <c r="E1457" s="221"/>
      <c r="F1457" s="229"/>
      <c r="G1457" s="102" t="s">
        <v>70</v>
      </c>
      <c r="H1457" s="57" t="s">
        <v>168</v>
      </c>
      <c r="I1457" s="50">
        <v>208686.19</v>
      </c>
      <c r="J1457" s="50">
        <f>I1457/D1456</f>
        <v>50.21</v>
      </c>
      <c r="K1457" s="50">
        <f>93+6</f>
        <v>99</v>
      </c>
    </row>
    <row r="1458" spans="1:11" ht="63" x14ac:dyDescent="0.25">
      <c r="A1458" s="217"/>
      <c r="B1458" s="217"/>
      <c r="C1458" s="268"/>
      <c r="D1458" s="221"/>
      <c r="E1458" s="221"/>
      <c r="F1458" s="229"/>
      <c r="G1458" s="102" t="s">
        <v>71</v>
      </c>
      <c r="H1458" s="57" t="s">
        <v>168</v>
      </c>
      <c r="I1458" s="50">
        <v>92615.86</v>
      </c>
      <c r="J1458" s="50">
        <f>I1458/D1456</f>
        <v>22.28</v>
      </c>
      <c r="K1458" s="50">
        <f>25+8</f>
        <v>33</v>
      </c>
    </row>
    <row r="1459" spans="1:11" ht="63" x14ac:dyDescent="0.25">
      <c r="A1459" s="217"/>
      <c r="B1459" s="217"/>
      <c r="C1459" s="268"/>
      <c r="D1459" s="221"/>
      <c r="E1459" s="221"/>
      <c r="F1459" s="229"/>
      <c r="G1459" s="102" t="s">
        <v>72</v>
      </c>
      <c r="H1459" s="57" t="s">
        <v>168</v>
      </c>
      <c r="I1459" s="50">
        <v>68671.25</v>
      </c>
      <c r="J1459" s="50">
        <f>I1459/D1456</f>
        <v>16.52</v>
      </c>
      <c r="K1459" s="50">
        <f>24+7</f>
        <v>31</v>
      </c>
    </row>
    <row r="1460" spans="1:11" x14ac:dyDescent="0.25">
      <c r="A1460" s="216">
        <f>A1456+1</f>
        <v>10</v>
      </c>
      <c r="B1460" s="216">
        <v>5112</v>
      </c>
      <c r="C1460" s="267" t="s">
        <v>342</v>
      </c>
      <c r="D1460" s="220">
        <v>745.9</v>
      </c>
      <c r="E1460" s="220" t="s">
        <v>64</v>
      </c>
      <c r="F1460" s="228">
        <v>2</v>
      </c>
      <c r="G1460" s="110"/>
      <c r="H1460" s="57" t="s">
        <v>66</v>
      </c>
      <c r="I1460" s="50">
        <f>I1461+I1462+I1463</f>
        <v>170811.1</v>
      </c>
      <c r="J1460" s="50">
        <f>J1461+J1462+J1463</f>
        <v>229</v>
      </c>
      <c r="K1460" s="50">
        <f>K1461+K1462+K1463</f>
        <v>229</v>
      </c>
    </row>
    <row r="1461" spans="1:11" ht="63" x14ac:dyDescent="0.25">
      <c r="A1461" s="217"/>
      <c r="B1461" s="217"/>
      <c r="C1461" s="268"/>
      <c r="D1461" s="221"/>
      <c r="E1461" s="221"/>
      <c r="F1461" s="229"/>
      <c r="G1461" s="102" t="s">
        <v>70</v>
      </c>
      <c r="H1461" s="57" t="s">
        <v>168</v>
      </c>
      <c r="I1461" s="50">
        <f>D1460*K1461</f>
        <v>104426</v>
      </c>
      <c r="J1461" s="50">
        <f>I1461/D1460</f>
        <v>140</v>
      </c>
      <c r="K1461" s="50">
        <f>119+21</f>
        <v>140</v>
      </c>
    </row>
    <row r="1462" spans="1:11" ht="63" x14ac:dyDescent="0.25">
      <c r="A1462" s="217"/>
      <c r="B1462" s="217"/>
      <c r="C1462" s="268"/>
      <c r="D1462" s="221"/>
      <c r="E1462" s="221"/>
      <c r="F1462" s="229"/>
      <c r="G1462" s="102" t="s">
        <v>71</v>
      </c>
      <c r="H1462" s="57" t="s">
        <v>168</v>
      </c>
      <c r="I1462" s="50">
        <f>D1460*K1462</f>
        <v>34311.4</v>
      </c>
      <c r="J1462" s="50">
        <f>I1462/D1460</f>
        <v>46</v>
      </c>
      <c r="K1462" s="50">
        <f>25+21</f>
        <v>46</v>
      </c>
    </row>
    <row r="1463" spans="1:11" ht="63" x14ac:dyDescent="0.25">
      <c r="A1463" s="217"/>
      <c r="B1463" s="217"/>
      <c r="C1463" s="268"/>
      <c r="D1463" s="221"/>
      <c r="E1463" s="221"/>
      <c r="F1463" s="229"/>
      <c r="G1463" s="102" t="s">
        <v>72</v>
      </c>
      <c r="H1463" s="57" t="s">
        <v>168</v>
      </c>
      <c r="I1463" s="50">
        <f>D1460*K1463</f>
        <v>32073.7</v>
      </c>
      <c r="J1463" s="50">
        <f>I1463/D1460</f>
        <v>43</v>
      </c>
      <c r="K1463" s="50">
        <f>24+19</f>
        <v>43</v>
      </c>
    </row>
    <row r="1464" spans="1:11" x14ac:dyDescent="0.25">
      <c r="A1464" s="216">
        <f>A1460+1</f>
        <v>11</v>
      </c>
      <c r="B1464" s="216">
        <v>5115</v>
      </c>
      <c r="C1464" s="267" t="s">
        <v>343</v>
      </c>
      <c r="D1464" s="220">
        <v>860.4</v>
      </c>
      <c r="E1464" s="220" t="s">
        <v>68</v>
      </c>
      <c r="F1464" s="228">
        <v>2</v>
      </c>
      <c r="G1464" s="110"/>
      <c r="H1464" s="57" t="s">
        <v>66</v>
      </c>
      <c r="I1464" s="50">
        <f>I1465+I1466+I1467</f>
        <v>193220.29</v>
      </c>
      <c r="J1464" s="50">
        <f>J1465+J1466+J1467</f>
        <v>224.57</v>
      </c>
      <c r="K1464" s="50">
        <f>K1465+K1466+K1467</f>
        <v>229</v>
      </c>
    </row>
    <row r="1465" spans="1:11" ht="63" x14ac:dyDescent="0.25">
      <c r="A1465" s="217"/>
      <c r="B1465" s="217"/>
      <c r="C1465" s="268"/>
      <c r="D1465" s="221"/>
      <c r="E1465" s="221"/>
      <c r="F1465" s="229"/>
      <c r="G1465" s="102" t="s">
        <v>70</v>
      </c>
      <c r="H1465" s="57" t="s">
        <v>168</v>
      </c>
      <c r="I1465" s="50">
        <v>116644.69</v>
      </c>
      <c r="J1465" s="50">
        <f>I1465/D1464</f>
        <v>135.57</v>
      </c>
      <c r="K1465" s="50">
        <f>119+21</f>
        <v>140</v>
      </c>
    </row>
    <row r="1466" spans="1:11" ht="63" x14ac:dyDescent="0.25">
      <c r="A1466" s="217"/>
      <c r="B1466" s="217"/>
      <c r="C1466" s="268"/>
      <c r="D1466" s="221"/>
      <c r="E1466" s="221"/>
      <c r="F1466" s="229"/>
      <c r="G1466" s="102" t="s">
        <v>71</v>
      </c>
      <c r="H1466" s="57" t="s">
        <v>168</v>
      </c>
      <c r="I1466" s="50">
        <f>D1464*K1466</f>
        <v>39578.400000000001</v>
      </c>
      <c r="J1466" s="50">
        <f>I1466/D1464</f>
        <v>46</v>
      </c>
      <c r="K1466" s="50">
        <f>25+21</f>
        <v>46</v>
      </c>
    </row>
    <row r="1467" spans="1:11" ht="63" x14ac:dyDescent="0.25">
      <c r="A1467" s="217"/>
      <c r="B1467" s="217"/>
      <c r="C1467" s="268"/>
      <c r="D1467" s="221"/>
      <c r="E1467" s="221"/>
      <c r="F1467" s="229"/>
      <c r="G1467" s="102" t="s">
        <v>72</v>
      </c>
      <c r="H1467" s="59" t="s">
        <v>168</v>
      </c>
      <c r="I1467" s="50">
        <f>D1464*K1467</f>
        <v>36997.199999999997</v>
      </c>
      <c r="J1467" s="50">
        <f>I1467/D1464</f>
        <v>43</v>
      </c>
      <c r="K1467" s="50">
        <f>24+19</f>
        <v>43</v>
      </c>
    </row>
    <row r="1468" spans="1:11" x14ac:dyDescent="0.25">
      <c r="A1468" s="216">
        <f>A1464+1</f>
        <v>12</v>
      </c>
      <c r="B1468" s="216">
        <v>5117</v>
      </c>
      <c r="C1468" s="267" t="s">
        <v>344</v>
      </c>
      <c r="D1468" s="220">
        <v>2307.3000000000002</v>
      </c>
      <c r="E1468" s="220" t="s">
        <v>68</v>
      </c>
      <c r="F1468" s="228">
        <v>9</v>
      </c>
      <c r="G1468" s="216" t="s">
        <v>65</v>
      </c>
      <c r="H1468" s="57" t="s">
        <v>66</v>
      </c>
      <c r="I1468" s="50">
        <f>I1469+I1470</f>
        <v>6411380.4000000004</v>
      </c>
      <c r="J1468" s="50">
        <f>J1469+J1470</f>
        <v>2778.74</v>
      </c>
      <c r="K1468" s="50">
        <f>K1469+K1470</f>
        <v>2914</v>
      </c>
    </row>
    <row r="1469" spans="1:11" x14ac:dyDescent="0.25">
      <c r="A1469" s="217"/>
      <c r="B1469" s="217"/>
      <c r="C1469" s="268"/>
      <c r="D1469" s="221"/>
      <c r="E1469" s="221"/>
      <c r="F1469" s="229"/>
      <c r="G1469" s="217"/>
      <c r="H1469" s="57" t="s">
        <v>67</v>
      </c>
      <c r="I1469" s="50">
        <v>6282171.5999999996</v>
      </c>
      <c r="J1469" s="50">
        <f>I1469/D1468</f>
        <v>2722.74</v>
      </c>
      <c r="K1469" s="50">
        <v>2853</v>
      </c>
    </row>
    <row r="1470" spans="1:11" x14ac:dyDescent="0.25">
      <c r="A1470" s="222"/>
      <c r="B1470" s="222"/>
      <c r="C1470" s="269"/>
      <c r="D1470" s="227"/>
      <c r="E1470" s="227"/>
      <c r="F1470" s="230"/>
      <c r="G1470" s="222"/>
      <c r="H1470" s="57" t="s">
        <v>69</v>
      </c>
      <c r="I1470" s="50">
        <v>129208.8</v>
      </c>
      <c r="J1470" s="50">
        <f>I1470/D1468</f>
        <v>56</v>
      </c>
      <c r="K1470" s="50">
        <v>61</v>
      </c>
    </row>
    <row r="1471" spans="1:11" x14ac:dyDescent="0.25">
      <c r="A1471" s="216">
        <f>A1468+1</f>
        <v>13</v>
      </c>
      <c r="B1471" s="216">
        <v>5123</v>
      </c>
      <c r="C1471" s="267" t="s">
        <v>345</v>
      </c>
      <c r="D1471" s="220">
        <v>2573.4</v>
      </c>
      <c r="E1471" s="220" t="s">
        <v>68</v>
      </c>
      <c r="F1471" s="228">
        <v>4</v>
      </c>
      <c r="G1471" s="110"/>
      <c r="H1471" s="57" t="s">
        <v>66</v>
      </c>
      <c r="I1471" s="50">
        <f>I1472+I1473+I1474</f>
        <v>321917.02</v>
      </c>
      <c r="J1471" s="50">
        <f>J1472+J1473+J1474</f>
        <v>125.09</v>
      </c>
      <c r="K1471" s="50">
        <f>K1472+K1473+K1474</f>
        <v>204</v>
      </c>
    </row>
    <row r="1472" spans="1:11" ht="63" x14ac:dyDescent="0.25">
      <c r="A1472" s="217"/>
      <c r="B1472" s="217"/>
      <c r="C1472" s="268"/>
      <c r="D1472" s="221"/>
      <c r="E1472" s="221"/>
      <c r="F1472" s="229"/>
      <c r="G1472" s="102" t="s">
        <v>70</v>
      </c>
      <c r="H1472" s="57" t="s">
        <v>168</v>
      </c>
      <c r="I1472" s="50">
        <v>203069.9</v>
      </c>
      <c r="J1472" s="50">
        <f>I1472/D1471</f>
        <v>78.91</v>
      </c>
      <c r="K1472" s="50">
        <f>119+21</f>
        <v>140</v>
      </c>
    </row>
    <row r="1473" spans="1:11" ht="63" x14ac:dyDescent="0.25">
      <c r="A1473" s="217"/>
      <c r="B1473" s="217"/>
      <c r="C1473" s="268"/>
      <c r="D1473" s="221"/>
      <c r="E1473" s="221"/>
      <c r="F1473" s="229"/>
      <c r="G1473" s="102" t="s">
        <v>71</v>
      </c>
      <c r="H1473" s="57" t="s">
        <v>168</v>
      </c>
      <c r="I1473" s="50">
        <v>68734.87</v>
      </c>
      <c r="J1473" s="50">
        <f>I1473/D1471</f>
        <v>26.71</v>
      </c>
      <c r="K1473" s="50">
        <f>25+8</f>
        <v>33</v>
      </c>
    </row>
    <row r="1474" spans="1:11" ht="63" x14ac:dyDescent="0.25">
      <c r="A1474" s="217"/>
      <c r="B1474" s="217"/>
      <c r="C1474" s="268"/>
      <c r="D1474" s="221"/>
      <c r="E1474" s="221"/>
      <c r="F1474" s="229"/>
      <c r="G1474" s="102" t="s">
        <v>72</v>
      </c>
      <c r="H1474" s="57" t="s">
        <v>168</v>
      </c>
      <c r="I1474" s="50">
        <v>50112.25</v>
      </c>
      <c r="J1474" s="50">
        <f>I1474/D1471</f>
        <v>19.47</v>
      </c>
      <c r="K1474" s="50">
        <f>24+7</f>
        <v>31</v>
      </c>
    </row>
    <row r="1475" spans="1:11" x14ac:dyDescent="0.25">
      <c r="A1475" s="215">
        <f>A1471+1</f>
        <v>14</v>
      </c>
      <c r="B1475" s="215">
        <v>5134</v>
      </c>
      <c r="C1475" s="307" t="s">
        <v>241</v>
      </c>
      <c r="D1475" s="220">
        <v>7548.1</v>
      </c>
      <c r="E1475" s="220" t="s">
        <v>68</v>
      </c>
      <c r="F1475" s="228">
        <v>9</v>
      </c>
      <c r="G1475" s="216" t="s">
        <v>65</v>
      </c>
      <c r="H1475" s="57" t="s">
        <v>66</v>
      </c>
      <c r="I1475" s="50">
        <f>I1476+I1477</f>
        <v>21957422.899999999</v>
      </c>
      <c r="J1475" s="50">
        <f>J1476+J1477</f>
        <v>2909</v>
      </c>
      <c r="K1475" s="50">
        <f>K1476+K1477</f>
        <v>2914</v>
      </c>
    </row>
    <row r="1476" spans="1:11" x14ac:dyDescent="0.25">
      <c r="A1476" s="215"/>
      <c r="B1476" s="215"/>
      <c r="C1476" s="308"/>
      <c r="D1476" s="221"/>
      <c r="E1476" s="221"/>
      <c r="F1476" s="229"/>
      <c r="G1476" s="217"/>
      <c r="H1476" s="57" t="s">
        <v>67</v>
      </c>
      <c r="I1476" s="50">
        <v>21534729.300000001</v>
      </c>
      <c r="J1476" s="50">
        <f>I1476/D1475</f>
        <v>2853</v>
      </c>
      <c r="K1476" s="50">
        <v>2853</v>
      </c>
    </row>
    <row r="1477" spans="1:11" x14ac:dyDescent="0.25">
      <c r="A1477" s="215"/>
      <c r="B1477" s="215"/>
      <c r="C1477" s="309"/>
      <c r="D1477" s="227"/>
      <c r="E1477" s="227"/>
      <c r="F1477" s="230"/>
      <c r="G1477" s="222"/>
      <c r="H1477" s="57" t="s">
        <v>69</v>
      </c>
      <c r="I1477" s="50">
        <v>422693.6</v>
      </c>
      <c r="J1477" s="50">
        <f>I1477/D1475</f>
        <v>56</v>
      </c>
      <c r="K1477" s="50">
        <v>61</v>
      </c>
    </row>
    <row r="1478" spans="1:11" x14ac:dyDescent="0.25">
      <c r="A1478" s="216">
        <f>A1475+1</f>
        <v>15</v>
      </c>
      <c r="B1478" s="216">
        <v>5187</v>
      </c>
      <c r="C1478" s="218" t="s">
        <v>586</v>
      </c>
      <c r="D1478" s="220">
        <v>13834.8</v>
      </c>
      <c r="E1478" s="216" t="s">
        <v>64</v>
      </c>
      <c r="F1478" s="216">
        <v>10</v>
      </c>
      <c r="G1478" s="110"/>
      <c r="H1478" s="57" t="s">
        <v>66</v>
      </c>
      <c r="I1478" s="50">
        <f>SUM(I1479:I1480)</f>
        <v>64562</v>
      </c>
      <c r="J1478" s="50">
        <f>SUM(J1479:J1480)</f>
        <v>4.67</v>
      </c>
      <c r="K1478" s="50">
        <f>SUM(K1479:K1480)</f>
        <v>4.67</v>
      </c>
    </row>
    <row r="1479" spans="1:11" ht="63" x14ac:dyDescent="0.25">
      <c r="A1479" s="217"/>
      <c r="B1479" s="217"/>
      <c r="C1479" s="219"/>
      <c r="D1479" s="221"/>
      <c r="E1479" s="217"/>
      <c r="F1479" s="217"/>
      <c r="G1479" s="102" t="s">
        <v>490</v>
      </c>
      <c r="H1479" s="57" t="s">
        <v>178</v>
      </c>
      <c r="I1479" s="50">
        <f>22681+9600</f>
        <v>32281</v>
      </c>
      <c r="J1479" s="50">
        <f>I1479/D1478+0.01</f>
        <v>2.34</v>
      </c>
      <c r="K1479" s="50">
        <f>(22681+9600)/D1478+0.01</f>
        <v>2.34</v>
      </c>
    </row>
    <row r="1480" spans="1:11" ht="63" x14ac:dyDescent="0.25">
      <c r="A1480" s="217"/>
      <c r="B1480" s="217"/>
      <c r="C1480" s="219"/>
      <c r="D1480" s="221"/>
      <c r="E1480" s="217"/>
      <c r="F1480" s="217"/>
      <c r="G1480" s="102" t="s">
        <v>491</v>
      </c>
      <c r="H1480" s="57" t="s">
        <v>178</v>
      </c>
      <c r="I1480" s="50">
        <f>22681+9600</f>
        <v>32281</v>
      </c>
      <c r="J1480" s="50">
        <f>I1480/D1478</f>
        <v>2.33</v>
      </c>
      <c r="K1480" s="50">
        <f>(22681+9600)/D1478</f>
        <v>2.33</v>
      </c>
    </row>
    <row r="1481" spans="1:11" x14ac:dyDescent="0.25">
      <c r="A1481" s="216">
        <f>A1478+1</f>
        <v>16</v>
      </c>
      <c r="B1481" s="216">
        <v>5195</v>
      </c>
      <c r="C1481" s="218" t="s">
        <v>585</v>
      </c>
      <c r="D1481" s="220">
        <v>6541.2</v>
      </c>
      <c r="E1481" s="216" t="s">
        <v>64</v>
      </c>
      <c r="F1481" s="216">
        <v>10</v>
      </c>
      <c r="G1481" s="110"/>
      <c r="H1481" s="57" t="s">
        <v>66</v>
      </c>
      <c r="I1481" s="50">
        <f>SUM(I1482:I1487)</f>
        <v>6868854</v>
      </c>
      <c r="J1481" s="50">
        <f>SUM(J1482:J1487)</f>
        <v>1050.0899999999999</v>
      </c>
      <c r="K1481" s="50">
        <f>SUM(K1482:K1487)</f>
        <v>1050.0899999999999</v>
      </c>
    </row>
    <row r="1482" spans="1:11" x14ac:dyDescent="0.25">
      <c r="A1482" s="217"/>
      <c r="B1482" s="217"/>
      <c r="C1482" s="219"/>
      <c r="D1482" s="221"/>
      <c r="E1482" s="217"/>
      <c r="F1482" s="217"/>
      <c r="G1482" s="216" t="s">
        <v>486</v>
      </c>
      <c r="H1482" s="57" t="s">
        <v>171</v>
      </c>
      <c r="I1482" s="50">
        <v>2241647</v>
      </c>
      <c r="J1482" s="50">
        <f>I1482/D1481+0.01</f>
        <v>342.71</v>
      </c>
      <c r="K1482" s="50">
        <f>2241647/D1481+0.01</f>
        <v>342.71</v>
      </c>
    </row>
    <row r="1483" spans="1:11" x14ac:dyDescent="0.25">
      <c r="A1483" s="217"/>
      <c r="B1483" s="217"/>
      <c r="C1483" s="219"/>
      <c r="D1483" s="221"/>
      <c r="E1483" s="217"/>
      <c r="F1483" s="217"/>
      <c r="G1483" s="222"/>
      <c r="H1483" s="57" t="s">
        <v>69</v>
      </c>
      <c r="I1483" s="50">
        <v>47971</v>
      </c>
      <c r="J1483" s="50">
        <f>I1483/D1481</f>
        <v>7.33</v>
      </c>
      <c r="K1483" s="50">
        <f>47971/D1481</f>
        <v>7.33</v>
      </c>
    </row>
    <row r="1484" spans="1:11" x14ac:dyDescent="0.25">
      <c r="A1484" s="217"/>
      <c r="B1484" s="217"/>
      <c r="C1484" s="219"/>
      <c r="D1484" s="221"/>
      <c r="E1484" s="217"/>
      <c r="F1484" s="217"/>
      <c r="G1484" s="216" t="s">
        <v>487</v>
      </c>
      <c r="H1484" s="57" t="s">
        <v>171</v>
      </c>
      <c r="I1484" s="50">
        <v>2241647</v>
      </c>
      <c r="J1484" s="50">
        <f>I1484/D1481-0.01</f>
        <v>342.69</v>
      </c>
      <c r="K1484" s="50">
        <f>2241647/D1481-0.01</f>
        <v>342.69</v>
      </c>
    </row>
    <row r="1485" spans="1:11" x14ac:dyDescent="0.25">
      <c r="A1485" s="217"/>
      <c r="B1485" s="217"/>
      <c r="C1485" s="219"/>
      <c r="D1485" s="221"/>
      <c r="E1485" s="217"/>
      <c r="F1485" s="217"/>
      <c r="G1485" s="222"/>
      <c r="H1485" s="57" t="s">
        <v>69</v>
      </c>
      <c r="I1485" s="50">
        <v>47971</v>
      </c>
      <c r="J1485" s="50">
        <f>I1485/D1481</f>
        <v>7.33</v>
      </c>
      <c r="K1485" s="50">
        <f>47971/D1481</f>
        <v>7.33</v>
      </c>
    </row>
    <row r="1486" spans="1:11" x14ac:dyDescent="0.25">
      <c r="A1486" s="217"/>
      <c r="B1486" s="217"/>
      <c r="C1486" s="219"/>
      <c r="D1486" s="221"/>
      <c r="E1486" s="217"/>
      <c r="F1486" s="217"/>
      <c r="G1486" s="216" t="s">
        <v>488</v>
      </c>
      <c r="H1486" s="57" t="s">
        <v>171</v>
      </c>
      <c r="I1486" s="50">
        <v>2241647</v>
      </c>
      <c r="J1486" s="50">
        <f>I1486/D1481</f>
        <v>342.7</v>
      </c>
      <c r="K1486" s="50">
        <f>2241647/D1481</f>
        <v>342.7</v>
      </c>
    </row>
    <row r="1487" spans="1:11" x14ac:dyDescent="0.25">
      <c r="A1487" s="217"/>
      <c r="B1487" s="217"/>
      <c r="C1487" s="219"/>
      <c r="D1487" s="221"/>
      <c r="E1487" s="217"/>
      <c r="F1487" s="217"/>
      <c r="G1487" s="222"/>
      <c r="H1487" s="57" t="s">
        <v>69</v>
      </c>
      <c r="I1487" s="50">
        <v>47971</v>
      </c>
      <c r="J1487" s="50">
        <f>I1487/D1481</f>
        <v>7.33</v>
      </c>
      <c r="K1487" s="50">
        <f>47971/D1481</f>
        <v>7.33</v>
      </c>
    </row>
    <row r="1488" spans="1:11" x14ac:dyDescent="0.25">
      <c r="A1488" s="216">
        <f>A1481+1</f>
        <v>17</v>
      </c>
      <c r="B1488" s="216">
        <v>5291</v>
      </c>
      <c r="C1488" s="218" t="s">
        <v>587</v>
      </c>
      <c r="D1488" s="220">
        <v>16305.1</v>
      </c>
      <c r="E1488" s="216" t="s">
        <v>64</v>
      </c>
      <c r="F1488" s="216">
        <v>10</v>
      </c>
      <c r="G1488" s="110"/>
      <c r="H1488" s="57" t="s">
        <v>66</v>
      </c>
      <c r="I1488" s="50">
        <f>SUM(I1489:I1495)</f>
        <v>225967</v>
      </c>
      <c r="J1488" s="50">
        <f>SUM(J1489:J1495)</f>
        <v>13.86</v>
      </c>
      <c r="K1488" s="50">
        <f>SUM(K1489:K1495)</f>
        <v>13.86</v>
      </c>
    </row>
    <row r="1489" spans="1:11" ht="63" x14ac:dyDescent="0.25">
      <c r="A1489" s="217"/>
      <c r="B1489" s="217"/>
      <c r="C1489" s="219"/>
      <c r="D1489" s="221"/>
      <c r="E1489" s="217"/>
      <c r="F1489" s="217"/>
      <c r="G1489" s="102" t="s">
        <v>486</v>
      </c>
      <c r="H1489" s="57" t="s">
        <v>178</v>
      </c>
      <c r="I1489" s="50">
        <f t="shared" ref="I1489:I1495" si="54">22681+9600</f>
        <v>32281</v>
      </c>
      <c r="J1489" s="50">
        <f>I1489/D1488</f>
        <v>1.98</v>
      </c>
      <c r="K1489" s="50">
        <f>(22681+9600)/D1488</f>
        <v>1.98</v>
      </c>
    </row>
    <row r="1490" spans="1:11" ht="63" x14ac:dyDescent="0.25">
      <c r="A1490" s="217"/>
      <c r="B1490" s="217"/>
      <c r="C1490" s="219"/>
      <c r="D1490" s="221"/>
      <c r="E1490" s="217"/>
      <c r="F1490" s="217"/>
      <c r="G1490" s="102" t="s">
        <v>487</v>
      </c>
      <c r="H1490" s="57" t="s">
        <v>178</v>
      </c>
      <c r="I1490" s="50">
        <f t="shared" si="54"/>
        <v>32281</v>
      </c>
      <c r="J1490" s="50">
        <f>I1490/D1488</f>
        <v>1.98</v>
      </c>
      <c r="K1490" s="50">
        <f>(22681+9600)/D1488</f>
        <v>1.98</v>
      </c>
    </row>
    <row r="1491" spans="1:11" ht="63" x14ac:dyDescent="0.25">
      <c r="A1491" s="217"/>
      <c r="B1491" s="217"/>
      <c r="C1491" s="219"/>
      <c r="D1491" s="221"/>
      <c r="E1491" s="217"/>
      <c r="F1491" s="217"/>
      <c r="G1491" s="102" t="s">
        <v>488</v>
      </c>
      <c r="H1491" s="57" t="s">
        <v>178</v>
      </c>
      <c r="I1491" s="50">
        <f t="shared" si="54"/>
        <v>32281</v>
      </c>
      <c r="J1491" s="50">
        <f>I1491/D1488</f>
        <v>1.98</v>
      </c>
      <c r="K1491" s="50">
        <f>(22681+9600)/D1488</f>
        <v>1.98</v>
      </c>
    </row>
    <row r="1492" spans="1:11" ht="63" x14ac:dyDescent="0.25">
      <c r="A1492" s="217"/>
      <c r="B1492" s="217"/>
      <c r="C1492" s="219"/>
      <c r="D1492" s="221"/>
      <c r="E1492" s="217"/>
      <c r="F1492" s="217"/>
      <c r="G1492" s="102" t="s">
        <v>489</v>
      </c>
      <c r="H1492" s="57" t="s">
        <v>178</v>
      </c>
      <c r="I1492" s="50">
        <f t="shared" si="54"/>
        <v>32281</v>
      </c>
      <c r="J1492" s="50">
        <f>I1492/D1488</f>
        <v>1.98</v>
      </c>
      <c r="K1492" s="50">
        <f>(22681+9600)/D1488</f>
        <v>1.98</v>
      </c>
    </row>
    <row r="1493" spans="1:11" ht="63" x14ac:dyDescent="0.25">
      <c r="A1493" s="217"/>
      <c r="B1493" s="217"/>
      <c r="C1493" s="219"/>
      <c r="D1493" s="221"/>
      <c r="E1493" s="217"/>
      <c r="F1493" s="217"/>
      <c r="G1493" s="102" t="s">
        <v>490</v>
      </c>
      <c r="H1493" s="57" t="s">
        <v>178</v>
      </c>
      <c r="I1493" s="50">
        <f t="shared" si="54"/>
        <v>32281</v>
      </c>
      <c r="J1493" s="50">
        <f>I1493/D1488</f>
        <v>1.98</v>
      </c>
      <c r="K1493" s="50">
        <f>(22681+9600)/D1488</f>
        <v>1.98</v>
      </c>
    </row>
    <row r="1494" spans="1:11" ht="63" x14ac:dyDescent="0.25">
      <c r="A1494" s="217"/>
      <c r="B1494" s="217"/>
      <c r="C1494" s="219"/>
      <c r="D1494" s="221"/>
      <c r="E1494" s="217"/>
      <c r="F1494" s="217"/>
      <c r="G1494" s="102" t="s">
        <v>491</v>
      </c>
      <c r="H1494" s="57" t="s">
        <v>178</v>
      </c>
      <c r="I1494" s="50">
        <f t="shared" si="54"/>
        <v>32281</v>
      </c>
      <c r="J1494" s="50">
        <f>I1494/D1488</f>
        <v>1.98</v>
      </c>
      <c r="K1494" s="50">
        <f>(22681+9600)/D1488</f>
        <v>1.98</v>
      </c>
    </row>
    <row r="1495" spans="1:11" ht="63" x14ac:dyDescent="0.25">
      <c r="A1495" s="217"/>
      <c r="B1495" s="217"/>
      <c r="C1495" s="219"/>
      <c r="D1495" s="221"/>
      <c r="E1495" s="217"/>
      <c r="F1495" s="217"/>
      <c r="G1495" s="102" t="s">
        <v>492</v>
      </c>
      <c r="H1495" s="57" t="s">
        <v>178</v>
      </c>
      <c r="I1495" s="50">
        <f t="shared" si="54"/>
        <v>32281</v>
      </c>
      <c r="J1495" s="50">
        <f>I1495/D1488</f>
        <v>1.98</v>
      </c>
      <c r="K1495" s="50">
        <f>(22681+9600)/D1488</f>
        <v>1.98</v>
      </c>
    </row>
    <row r="1496" spans="1:11" x14ac:dyDescent="0.25">
      <c r="A1496" s="51" t="s">
        <v>42</v>
      </c>
      <c r="B1496" s="51"/>
      <c r="C1496" s="51"/>
      <c r="D1496" s="50">
        <f>D1497+D1502+D1509+D1516+D1523+D1530+D1532+D1535+D1538+D1541+D1543+D1545+D1547+D1549+D1551+D1554+D1556+D1559+D1561+D1563+D1565+D1567+D1570+D1577+D1584+D1586+D1588+D1595+D1598+D1601+D1604+D1606+D1608+D1610+D1615+D1617+D1619+D1623+D1627+D1630+D1635+D1644+D1651+D1653+D1662+D1667+D1670+D1672+D1674+D1677+D1679+D1688+D1691+D1694+D1697+D1704+D1707+D1709+D1712+D1721+D1724+D1727+D1732+D1736+D1739+D1743+D1752+D1765+D1768+D1773+D1775+D1777+D1785+D1788+D1791+D1796+D1799+D1802+D1805+D1810+D1813+D1822+D1825+D1830+D1834+D1837+D1842+D1845+D1848+D1850+D1852+D1854+D1857+D1859+D1862+D1864+D1866+D1868+D1870+D1872+D1874+D1877+D1880+D1883+D1886+D1888+D1890+D1892+D1895+D1900+D1904+D1909+D1912+D1917+D1920+D1923+D1926+D1929+D1936+D1939+D1946+D1953+D1958+D1965+D1968+D1973+D1976+D1979+D1982+D1997+D2008+D2031+D2036+D2041+D2044+D2048+D2050</f>
        <v>693996.15</v>
      </c>
      <c r="E1496" s="50"/>
      <c r="F1496" s="53"/>
      <c r="G1496" s="105"/>
      <c r="H1496" s="54"/>
      <c r="I1496" s="50">
        <f>I1497+I1502+I1509+I1516+I1523+I1530+I1532+I1535+I1538+I1541+I1543+I1545+I1547+I1549+I1551+I1554+I1556+I1559+I1561+I1563+I1565+I1567+I1570+I1577+I1584+I1586+I1588+I1595+I1598+I1601+I1604+I1606+I1608+I1610+I1615+I1617+I1619+I1623+I1627+I1630+I1635+I1644+I1651+I1653+I1662+I1667+I1670+I1672+I1674+I1677+I1679+I1688+I1691+I1694+I1697+I1704+I1707+I1709+I1712+I1721+I1724+I1727+I1732+I1736+I1739+I1743+I1752+I1765+I1768+I1773+I1775+I1777+I1785+I1788+I1791+I1796+I1799+I1802+I1805+I1810+I1813+I1822+I1825+I1830+I1834+I1837+I1842+I1845+I1848+I1850+I1852+I1854+I1857+I1859+I1862+I1864+I1866+I1868+I1870+I1872+I1874+I1877+I1880+I1883+I1886+I1888+I1890+I1892+I1895+I1900+I1904+I1909+I1912+I1917+I1920+I1923+I1926+I1929+I1936+I1939+I1946+I1953+I1958+I1965+I1968+I1973+I1976+I1979+I1982+I1997+I2008+I2031+I2036+I2041+I2044+I2048+I2050</f>
        <v>769092341.79999995</v>
      </c>
      <c r="J1496" s="50"/>
      <c r="K1496" s="50"/>
    </row>
    <row r="1497" spans="1:11" x14ac:dyDescent="0.25">
      <c r="A1497" s="216">
        <v>1</v>
      </c>
      <c r="B1497" s="216">
        <v>654</v>
      </c>
      <c r="C1497" s="218" t="s">
        <v>119</v>
      </c>
      <c r="D1497" s="220">
        <v>3916.7</v>
      </c>
      <c r="E1497" s="220" t="s">
        <v>64</v>
      </c>
      <c r="F1497" s="228">
        <v>5</v>
      </c>
      <c r="G1497" s="216" t="s">
        <v>75</v>
      </c>
      <c r="H1497" s="57" t="s">
        <v>66</v>
      </c>
      <c r="I1497" s="50">
        <f>I1498+I1499+I1500+I1501</f>
        <v>17141887.219999999</v>
      </c>
      <c r="J1497" s="50">
        <f>J1498+J1499+J1500+J1501</f>
        <v>4376.6099999999997</v>
      </c>
      <c r="K1497" s="50">
        <f>K1498+K1499+K1500+K1501</f>
        <v>7631</v>
      </c>
    </row>
    <row r="1498" spans="1:11" x14ac:dyDescent="0.25">
      <c r="A1498" s="217"/>
      <c r="B1498" s="217"/>
      <c r="C1498" s="219"/>
      <c r="D1498" s="217"/>
      <c r="E1498" s="221"/>
      <c r="F1498" s="229"/>
      <c r="G1498" s="217"/>
      <c r="H1498" s="57" t="s">
        <v>67</v>
      </c>
      <c r="I1498" s="50">
        <v>3031308.92</v>
      </c>
      <c r="J1498" s="50">
        <f>I1498/D1497</f>
        <v>773.94</v>
      </c>
      <c r="K1498" s="50">
        <v>1733</v>
      </c>
    </row>
    <row r="1499" spans="1:11" x14ac:dyDescent="0.25">
      <c r="A1499" s="217"/>
      <c r="B1499" s="217"/>
      <c r="C1499" s="219"/>
      <c r="D1499" s="217"/>
      <c r="E1499" s="221"/>
      <c r="F1499" s="229"/>
      <c r="G1499" s="217"/>
      <c r="H1499" s="57" t="s">
        <v>69</v>
      </c>
      <c r="I1499" s="50">
        <f>I1498*0.0214</f>
        <v>64870.01</v>
      </c>
      <c r="J1499" s="50">
        <f>I1499/D1497</f>
        <v>16.559999999999999</v>
      </c>
      <c r="K1499" s="50">
        <v>37</v>
      </c>
    </row>
    <row r="1500" spans="1:11" x14ac:dyDescent="0.25">
      <c r="A1500" s="217"/>
      <c r="B1500" s="217"/>
      <c r="C1500" s="219"/>
      <c r="D1500" s="217"/>
      <c r="E1500" s="221"/>
      <c r="F1500" s="229"/>
      <c r="G1500" s="217"/>
      <c r="H1500" s="57" t="s">
        <v>179</v>
      </c>
      <c r="I1500" s="50">
        <v>13751427.74</v>
      </c>
      <c r="J1500" s="50">
        <f>I1500/D1497+0.01</f>
        <v>3510.98</v>
      </c>
      <c r="K1500" s="50">
        <v>5738</v>
      </c>
    </row>
    <row r="1501" spans="1:11" x14ac:dyDescent="0.25">
      <c r="A1501" s="222"/>
      <c r="B1501" s="222"/>
      <c r="C1501" s="226"/>
      <c r="D1501" s="222"/>
      <c r="E1501" s="227"/>
      <c r="F1501" s="230"/>
      <c r="G1501" s="222"/>
      <c r="H1501" s="57" t="s">
        <v>69</v>
      </c>
      <c r="I1501" s="50">
        <f>I1500*0.0214</f>
        <v>294280.55</v>
      </c>
      <c r="J1501" s="50">
        <f>I1501/D1497</f>
        <v>75.13</v>
      </c>
      <c r="K1501" s="50">
        <v>123</v>
      </c>
    </row>
    <row r="1502" spans="1:11" x14ac:dyDescent="0.25">
      <c r="A1502" s="216">
        <f>A1497+1</f>
        <v>2</v>
      </c>
      <c r="B1502" s="216">
        <v>736</v>
      </c>
      <c r="C1502" s="218" t="s">
        <v>256</v>
      </c>
      <c r="D1502" s="220">
        <v>930.1</v>
      </c>
      <c r="E1502" s="220" t="s">
        <v>68</v>
      </c>
      <c r="F1502" s="228">
        <v>5</v>
      </c>
      <c r="G1502" s="108"/>
      <c r="H1502" s="57" t="s">
        <v>66</v>
      </c>
      <c r="I1502" s="50">
        <f>I1503+I1504+I1505+I1506+I1507+I1508</f>
        <v>8026009.3700000001</v>
      </c>
      <c r="J1502" s="50">
        <f>J1503+J1504+J1505+J1506+J1507+J1508</f>
        <v>8629.19</v>
      </c>
      <c r="K1502" s="50">
        <f>K1503+K1504+K1505+K1506+K1507+K1508</f>
        <v>9393</v>
      </c>
    </row>
    <row r="1503" spans="1:11" x14ac:dyDescent="0.25">
      <c r="A1503" s="217"/>
      <c r="B1503" s="217"/>
      <c r="C1503" s="219"/>
      <c r="D1503" s="221"/>
      <c r="E1503" s="221"/>
      <c r="F1503" s="229"/>
      <c r="G1503" s="216" t="s">
        <v>65</v>
      </c>
      <c r="H1503" s="57" t="s">
        <v>67</v>
      </c>
      <c r="I1503" s="50">
        <v>3173144.33</v>
      </c>
      <c r="J1503" s="50">
        <f>I1503/D1502</f>
        <v>3411.62</v>
      </c>
      <c r="K1503" s="50">
        <v>3797</v>
      </c>
    </row>
    <row r="1504" spans="1:11" x14ac:dyDescent="0.25">
      <c r="A1504" s="217"/>
      <c r="B1504" s="217"/>
      <c r="C1504" s="219"/>
      <c r="D1504" s="221"/>
      <c r="E1504" s="221"/>
      <c r="F1504" s="229"/>
      <c r="G1504" s="222"/>
      <c r="H1504" s="57" t="s">
        <v>69</v>
      </c>
      <c r="I1504" s="50">
        <f>I1503*0.0214</f>
        <v>67905.289999999994</v>
      </c>
      <c r="J1504" s="50">
        <f>I1504/D1502</f>
        <v>73.010000000000005</v>
      </c>
      <c r="K1504" s="50">
        <v>81</v>
      </c>
    </row>
    <row r="1505" spans="1:11" x14ac:dyDescent="0.25">
      <c r="A1505" s="217"/>
      <c r="B1505" s="217"/>
      <c r="C1505" s="219"/>
      <c r="D1505" s="221"/>
      <c r="E1505" s="221"/>
      <c r="F1505" s="229"/>
      <c r="G1505" s="216" t="s">
        <v>75</v>
      </c>
      <c r="H1505" s="57" t="s">
        <v>67</v>
      </c>
      <c r="I1505" s="50">
        <v>732112.21</v>
      </c>
      <c r="J1505" s="50">
        <f>I1505/D1502</f>
        <v>787.13</v>
      </c>
      <c r="K1505" s="50">
        <v>1129</v>
      </c>
    </row>
    <row r="1506" spans="1:11" x14ac:dyDescent="0.25">
      <c r="A1506" s="217"/>
      <c r="B1506" s="217"/>
      <c r="C1506" s="219"/>
      <c r="D1506" s="221"/>
      <c r="E1506" s="221"/>
      <c r="F1506" s="229"/>
      <c r="G1506" s="217"/>
      <c r="H1506" s="57" t="s">
        <v>69</v>
      </c>
      <c r="I1506" s="50">
        <f>I1505*0.0214</f>
        <v>15667.2</v>
      </c>
      <c r="J1506" s="50">
        <f>I1506/D1502</f>
        <v>16.84</v>
      </c>
      <c r="K1506" s="50">
        <v>24</v>
      </c>
    </row>
    <row r="1507" spans="1:11" x14ac:dyDescent="0.25">
      <c r="A1507" s="217"/>
      <c r="B1507" s="217"/>
      <c r="C1507" s="219"/>
      <c r="D1507" s="221"/>
      <c r="E1507" s="221"/>
      <c r="F1507" s="229"/>
      <c r="G1507" s="217"/>
      <c r="H1507" s="57" t="s">
        <v>179</v>
      </c>
      <c r="I1507" s="50">
        <v>3952594.81</v>
      </c>
      <c r="J1507" s="50">
        <f>I1507/D1502+0.01</f>
        <v>4249.6499999999996</v>
      </c>
      <c r="K1507" s="50">
        <v>4271</v>
      </c>
    </row>
    <row r="1508" spans="1:11" x14ac:dyDescent="0.25">
      <c r="A1508" s="222"/>
      <c r="B1508" s="222"/>
      <c r="C1508" s="226"/>
      <c r="D1508" s="227"/>
      <c r="E1508" s="227"/>
      <c r="F1508" s="230"/>
      <c r="G1508" s="222"/>
      <c r="H1508" s="57" t="s">
        <v>69</v>
      </c>
      <c r="I1508" s="50">
        <f>I1507*0.0214</f>
        <v>84585.53</v>
      </c>
      <c r="J1508" s="50">
        <f>I1508/D1502</f>
        <v>90.94</v>
      </c>
      <c r="K1508" s="50">
        <v>91</v>
      </c>
    </row>
    <row r="1509" spans="1:11" x14ac:dyDescent="0.25">
      <c r="A1509" s="216">
        <f>A1502+1</f>
        <v>3</v>
      </c>
      <c r="B1509" s="216">
        <v>822</v>
      </c>
      <c r="C1509" s="218" t="s">
        <v>186</v>
      </c>
      <c r="D1509" s="220">
        <v>898.3</v>
      </c>
      <c r="E1509" s="220" t="s">
        <v>68</v>
      </c>
      <c r="F1509" s="228">
        <v>5</v>
      </c>
      <c r="G1509" s="108"/>
      <c r="H1509" s="57" t="s">
        <v>66</v>
      </c>
      <c r="I1509" s="50">
        <f>I1510+I1511+I1512+I1513+I1514+I1515</f>
        <v>7972472.3499999996</v>
      </c>
      <c r="J1509" s="50">
        <f>J1510+J1511+J1512+J1513+J1514+J1515</f>
        <v>8875.07</v>
      </c>
      <c r="K1509" s="50">
        <f>K1510+K1511+K1512+K1513+K1514+K1515</f>
        <v>9393</v>
      </c>
    </row>
    <row r="1510" spans="1:11" x14ac:dyDescent="0.25">
      <c r="A1510" s="217"/>
      <c r="B1510" s="217"/>
      <c r="C1510" s="219"/>
      <c r="D1510" s="217"/>
      <c r="E1510" s="221"/>
      <c r="F1510" s="229"/>
      <c r="G1510" s="216" t="s">
        <v>65</v>
      </c>
      <c r="H1510" s="57" t="s">
        <v>67</v>
      </c>
      <c r="I1510" s="50">
        <v>3367020.77</v>
      </c>
      <c r="J1510" s="50">
        <f>I1510/D1509+0.01</f>
        <v>3748.22</v>
      </c>
      <c r="K1510" s="50">
        <v>3797</v>
      </c>
    </row>
    <row r="1511" spans="1:11" x14ac:dyDescent="0.25">
      <c r="A1511" s="217"/>
      <c r="B1511" s="217"/>
      <c r="C1511" s="219"/>
      <c r="D1511" s="217"/>
      <c r="E1511" s="221"/>
      <c r="F1511" s="229"/>
      <c r="G1511" s="222"/>
      <c r="H1511" s="57" t="s">
        <v>69</v>
      </c>
      <c r="I1511" s="50">
        <f>I1510*0.0214</f>
        <v>72054.240000000005</v>
      </c>
      <c r="J1511" s="50">
        <f>I1511/D1509</f>
        <v>80.209999999999994</v>
      </c>
      <c r="K1511" s="50">
        <v>81</v>
      </c>
    </row>
    <row r="1512" spans="1:11" x14ac:dyDescent="0.25">
      <c r="A1512" s="217"/>
      <c r="B1512" s="217"/>
      <c r="C1512" s="219"/>
      <c r="D1512" s="217"/>
      <c r="E1512" s="221"/>
      <c r="F1512" s="229"/>
      <c r="G1512" s="216" t="s">
        <v>75</v>
      </c>
      <c r="H1512" s="57" t="s">
        <v>67</v>
      </c>
      <c r="I1512" s="50">
        <v>620951.94999999995</v>
      </c>
      <c r="J1512" s="50">
        <f>I1512/D1509</f>
        <v>691.25</v>
      </c>
      <c r="K1512" s="50">
        <v>1129</v>
      </c>
    </row>
    <row r="1513" spans="1:11" x14ac:dyDescent="0.25">
      <c r="A1513" s="217"/>
      <c r="B1513" s="217"/>
      <c r="C1513" s="219"/>
      <c r="D1513" s="217"/>
      <c r="E1513" s="221"/>
      <c r="F1513" s="229"/>
      <c r="G1513" s="217"/>
      <c r="H1513" s="57" t="s">
        <v>69</v>
      </c>
      <c r="I1513" s="50">
        <f>I1512*0.0214</f>
        <v>13288.37</v>
      </c>
      <c r="J1513" s="50">
        <f>I1513/D1509</f>
        <v>14.79</v>
      </c>
      <c r="K1513" s="50">
        <v>24</v>
      </c>
    </row>
    <row r="1514" spans="1:11" x14ac:dyDescent="0.25">
      <c r="A1514" s="217"/>
      <c r="B1514" s="217"/>
      <c r="C1514" s="219"/>
      <c r="D1514" s="217"/>
      <c r="E1514" s="221"/>
      <c r="F1514" s="229"/>
      <c r="G1514" s="217"/>
      <c r="H1514" s="57" t="s">
        <v>179</v>
      </c>
      <c r="I1514" s="50">
        <v>3817463.31</v>
      </c>
      <c r="J1514" s="50">
        <f>I1514/D1509+0.01</f>
        <v>4249.66</v>
      </c>
      <c r="K1514" s="50">
        <v>4271</v>
      </c>
    </row>
    <row r="1515" spans="1:11" x14ac:dyDescent="0.25">
      <c r="A1515" s="222"/>
      <c r="B1515" s="222"/>
      <c r="C1515" s="226"/>
      <c r="D1515" s="222"/>
      <c r="E1515" s="227"/>
      <c r="F1515" s="230"/>
      <c r="G1515" s="222"/>
      <c r="H1515" s="57" t="s">
        <v>69</v>
      </c>
      <c r="I1515" s="50">
        <f>I1514*0.0214</f>
        <v>81693.710000000006</v>
      </c>
      <c r="J1515" s="50">
        <f>I1515/D1509</f>
        <v>90.94</v>
      </c>
      <c r="K1515" s="50">
        <v>91</v>
      </c>
    </row>
    <row r="1516" spans="1:11" x14ac:dyDescent="0.25">
      <c r="A1516" s="216">
        <f>A1509+1</f>
        <v>4</v>
      </c>
      <c r="B1516" s="216">
        <v>875</v>
      </c>
      <c r="C1516" s="218" t="s">
        <v>188</v>
      </c>
      <c r="D1516" s="220">
        <v>2739.2</v>
      </c>
      <c r="E1516" s="220" t="s">
        <v>64</v>
      </c>
      <c r="F1516" s="228">
        <v>5</v>
      </c>
      <c r="G1516" s="108"/>
      <c r="H1516" s="57" t="s">
        <v>66</v>
      </c>
      <c r="I1516" s="50">
        <f>I1517+I1518+I1519+I1520+I1521+I1522</f>
        <v>14820185.529999999</v>
      </c>
      <c r="J1516" s="50">
        <f>J1517+J1518+J1519+J1520+J1521+J1522</f>
        <v>5410.41</v>
      </c>
      <c r="K1516" s="50">
        <f>K1517+K1518+K1519+K1520+K1521+K1522</f>
        <v>11509</v>
      </c>
    </row>
    <row r="1517" spans="1:11" x14ac:dyDescent="0.25">
      <c r="A1517" s="217"/>
      <c r="B1517" s="217"/>
      <c r="C1517" s="219"/>
      <c r="D1517" s="217"/>
      <c r="E1517" s="221"/>
      <c r="F1517" s="229"/>
      <c r="G1517" s="216" t="s">
        <v>65</v>
      </c>
      <c r="H1517" s="57" t="s">
        <v>67</v>
      </c>
      <c r="I1517" s="50">
        <v>4608704.62</v>
      </c>
      <c r="J1517" s="50">
        <f>I1517/D1516</f>
        <v>1682.5</v>
      </c>
      <c r="K1517" s="50">
        <v>3797</v>
      </c>
    </row>
    <row r="1518" spans="1:11" x14ac:dyDescent="0.25">
      <c r="A1518" s="217"/>
      <c r="B1518" s="217"/>
      <c r="C1518" s="219"/>
      <c r="D1518" s="217"/>
      <c r="E1518" s="221"/>
      <c r="F1518" s="229"/>
      <c r="G1518" s="222"/>
      <c r="H1518" s="57" t="s">
        <v>69</v>
      </c>
      <c r="I1518" s="50">
        <f>I1517*0.0214</f>
        <v>98626.28</v>
      </c>
      <c r="J1518" s="50">
        <f>I1518/D1516</f>
        <v>36.01</v>
      </c>
      <c r="K1518" s="50">
        <v>81</v>
      </c>
    </row>
    <row r="1519" spans="1:11" x14ac:dyDescent="0.25">
      <c r="A1519" s="217"/>
      <c r="B1519" s="217"/>
      <c r="C1519" s="219"/>
      <c r="D1519" s="217"/>
      <c r="E1519" s="221"/>
      <c r="F1519" s="229"/>
      <c r="G1519" s="216" t="s">
        <v>75</v>
      </c>
      <c r="H1519" s="57" t="s">
        <v>67</v>
      </c>
      <c r="I1519" s="50">
        <v>2477572.58</v>
      </c>
      <c r="J1519" s="50">
        <f>I1519/D1516</f>
        <v>904.49</v>
      </c>
      <c r="K1519" s="50">
        <v>1733</v>
      </c>
    </row>
    <row r="1520" spans="1:11" x14ac:dyDescent="0.25">
      <c r="A1520" s="217"/>
      <c r="B1520" s="217"/>
      <c r="C1520" s="219"/>
      <c r="D1520" s="217"/>
      <c r="E1520" s="221"/>
      <c r="F1520" s="229"/>
      <c r="G1520" s="217"/>
      <c r="H1520" s="57" t="s">
        <v>69</v>
      </c>
      <c r="I1520" s="50">
        <f>I1519*0.0214</f>
        <v>53020.05</v>
      </c>
      <c r="J1520" s="50">
        <f>I1520/D1516</f>
        <v>19.36</v>
      </c>
      <c r="K1520" s="50">
        <v>37</v>
      </c>
    </row>
    <row r="1521" spans="1:11" x14ac:dyDescent="0.25">
      <c r="A1521" s="217"/>
      <c r="B1521" s="217"/>
      <c r="C1521" s="219"/>
      <c r="D1521" s="217"/>
      <c r="E1521" s="221"/>
      <c r="F1521" s="229"/>
      <c r="G1521" s="217"/>
      <c r="H1521" s="57" t="s">
        <v>179</v>
      </c>
      <c r="I1521" s="50">
        <v>7423401.21</v>
      </c>
      <c r="J1521" s="50">
        <f>I1521/D1516-0.01</f>
        <v>2710.05</v>
      </c>
      <c r="K1521" s="50">
        <v>5738</v>
      </c>
    </row>
    <row r="1522" spans="1:11" x14ac:dyDescent="0.25">
      <c r="A1522" s="222"/>
      <c r="B1522" s="222"/>
      <c r="C1522" s="226"/>
      <c r="D1522" s="222"/>
      <c r="E1522" s="227"/>
      <c r="F1522" s="230"/>
      <c r="G1522" s="222"/>
      <c r="H1522" s="57" t="s">
        <v>69</v>
      </c>
      <c r="I1522" s="50">
        <f>I1521*0.0214</f>
        <v>158860.79</v>
      </c>
      <c r="J1522" s="50">
        <f>I1522/D1516</f>
        <v>58</v>
      </c>
      <c r="K1522" s="50">
        <v>123</v>
      </c>
    </row>
    <row r="1523" spans="1:11" x14ac:dyDescent="0.25">
      <c r="A1523" s="216">
        <f>A1516+1</f>
        <v>5</v>
      </c>
      <c r="B1523" s="216">
        <v>876</v>
      </c>
      <c r="C1523" s="218" t="s">
        <v>189</v>
      </c>
      <c r="D1523" s="220">
        <v>2745.8</v>
      </c>
      <c r="E1523" s="220" t="s">
        <v>64</v>
      </c>
      <c r="F1523" s="228">
        <v>5</v>
      </c>
      <c r="G1523" s="108"/>
      <c r="H1523" s="57" t="s">
        <v>66</v>
      </c>
      <c r="I1523" s="50">
        <f>I1524+I1525+I1526+I1527+I1528+I1529</f>
        <v>18472773.670000002</v>
      </c>
      <c r="J1523" s="50">
        <f>J1524+J1525+J1526+J1527+J1528+J1529</f>
        <v>6727.65</v>
      </c>
      <c r="K1523" s="50">
        <f>K1524+K1525+K1526+K1527+K1528+K1529</f>
        <v>11509</v>
      </c>
    </row>
    <row r="1524" spans="1:11" x14ac:dyDescent="0.25">
      <c r="A1524" s="217"/>
      <c r="B1524" s="217"/>
      <c r="C1524" s="219"/>
      <c r="D1524" s="217"/>
      <c r="E1524" s="221"/>
      <c r="F1524" s="229"/>
      <c r="G1524" s="216" t="s">
        <v>65</v>
      </c>
      <c r="H1524" s="57" t="s">
        <v>67</v>
      </c>
      <c r="I1524" s="50">
        <v>5239850.9000000004</v>
      </c>
      <c r="J1524" s="50">
        <f>I1524/D1523</f>
        <v>1908.31</v>
      </c>
      <c r="K1524" s="50">
        <v>3797</v>
      </c>
    </row>
    <row r="1525" spans="1:11" x14ac:dyDescent="0.25">
      <c r="A1525" s="217"/>
      <c r="B1525" s="217"/>
      <c r="C1525" s="219"/>
      <c r="D1525" s="217"/>
      <c r="E1525" s="221"/>
      <c r="F1525" s="229"/>
      <c r="G1525" s="222"/>
      <c r="H1525" s="57" t="s">
        <v>69</v>
      </c>
      <c r="I1525" s="50">
        <f>I1524*0.0214</f>
        <v>112132.81</v>
      </c>
      <c r="J1525" s="50">
        <f>I1525/D1523</f>
        <v>40.840000000000003</v>
      </c>
      <c r="K1525" s="50">
        <v>81</v>
      </c>
    </row>
    <row r="1526" spans="1:11" x14ac:dyDescent="0.25">
      <c r="A1526" s="217"/>
      <c r="B1526" s="217"/>
      <c r="C1526" s="219"/>
      <c r="D1526" s="217"/>
      <c r="E1526" s="221"/>
      <c r="F1526" s="229"/>
      <c r="G1526" s="216" t="s">
        <v>75</v>
      </c>
      <c r="H1526" s="57" t="s">
        <v>67</v>
      </c>
      <c r="I1526" s="50">
        <v>3108746.22</v>
      </c>
      <c r="J1526" s="50">
        <f>I1526/D1523</f>
        <v>1132.18</v>
      </c>
      <c r="K1526" s="50">
        <v>1733</v>
      </c>
    </row>
    <row r="1527" spans="1:11" x14ac:dyDescent="0.25">
      <c r="A1527" s="217"/>
      <c r="B1527" s="217"/>
      <c r="C1527" s="219"/>
      <c r="D1527" s="217"/>
      <c r="E1527" s="221"/>
      <c r="F1527" s="229"/>
      <c r="G1527" s="217"/>
      <c r="H1527" s="57" t="s">
        <v>69</v>
      </c>
      <c r="I1527" s="50">
        <f>I1526*0.0214</f>
        <v>66527.17</v>
      </c>
      <c r="J1527" s="50">
        <f>I1527/D1523</f>
        <v>24.23</v>
      </c>
      <c r="K1527" s="50">
        <v>37</v>
      </c>
    </row>
    <row r="1528" spans="1:11" x14ac:dyDescent="0.25">
      <c r="A1528" s="217"/>
      <c r="B1528" s="217"/>
      <c r="C1528" s="219"/>
      <c r="D1528" s="217"/>
      <c r="E1528" s="221"/>
      <c r="F1528" s="229"/>
      <c r="G1528" s="217"/>
      <c r="H1528" s="57" t="s">
        <v>179</v>
      </c>
      <c r="I1528" s="50">
        <v>9737141.7400000002</v>
      </c>
      <c r="J1528" s="50">
        <f>I1528/D1523+0.01</f>
        <v>3546.2</v>
      </c>
      <c r="K1528" s="50">
        <v>5738</v>
      </c>
    </row>
    <row r="1529" spans="1:11" x14ac:dyDescent="0.25">
      <c r="A1529" s="222"/>
      <c r="B1529" s="222"/>
      <c r="C1529" s="226"/>
      <c r="D1529" s="222"/>
      <c r="E1529" s="227"/>
      <c r="F1529" s="230"/>
      <c r="G1529" s="222"/>
      <c r="H1529" s="57" t="s">
        <v>69</v>
      </c>
      <c r="I1529" s="50">
        <f>I1528*0.0214</f>
        <v>208374.83</v>
      </c>
      <c r="J1529" s="50">
        <f>I1529/D1523</f>
        <v>75.89</v>
      </c>
      <c r="K1529" s="50">
        <v>123</v>
      </c>
    </row>
    <row r="1530" spans="1:11" ht="15.75" customHeight="1" x14ac:dyDescent="0.25">
      <c r="A1530" s="215">
        <f>A1523+1</f>
        <v>6</v>
      </c>
      <c r="B1530" s="215">
        <v>320</v>
      </c>
      <c r="C1530" s="223" t="s">
        <v>635</v>
      </c>
      <c r="D1530" s="224">
        <v>1563.9</v>
      </c>
      <c r="E1530" s="224" t="s">
        <v>68</v>
      </c>
      <c r="F1530" s="225">
        <v>5</v>
      </c>
      <c r="G1530" s="215" t="s">
        <v>74</v>
      </c>
      <c r="H1530" s="57" t="s">
        <v>66</v>
      </c>
      <c r="I1530" s="50">
        <f>I1531</f>
        <v>73503.3</v>
      </c>
      <c r="J1530" s="50">
        <f>J1531</f>
        <v>47</v>
      </c>
      <c r="K1530" s="50">
        <f>K1531</f>
        <v>47</v>
      </c>
    </row>
    <row r="1531" spans="1:11" ht="47.25" customHeight="1" x14ac:dyDescent="0.25">
      <c r="A1531" s="215"/>
      <c r="B1531" s="215"/>
      <c r="C1531" s="223"/>
      <c r="D1531" s="224"/>
      <c r="E1531" s="224"/>
      <c r="F1531" s="225"/>
      <c r="G1531" s="215"/>
      <c r="H1531" s="57" t="s">
        <v>168</v>
      </c>
      <c r="I1531" s="50">
        <f>D1530*K1531</f>
        <v>73503.3</v>
      </c>
      <c r="J1531" s="50">
        <f>I1531/D1530</f>
        <v>47</v>
      </c>
      <c r="K1531" s="50">
        <f>34+13</f>
        <v>47</v>
      </c>
    </row>
    <row r="1532" spans="1:11" ht="15.75" customHeight="1" x14ac:dyDescent="0.25">
      <c r="A1532" s="215">
        <f>A1530+1</f>
        <v>7</v>
      </c>
      <c r="B1532" s="215">
        <v>122</v>
      </c>
      <c r="C1532" s="223" t="s">
        <v>593</v>
      </c>
      <c r="D1532" s="224">
        <v>821.3</v>
      </c>
      <c r="E1532" s="224" t="s">
        <v>73</v>
      </c>
      <c r="F1532" s="225">
        <v>3</v>
      </c>
      <c r="G1532" s="215" t="s">
        <v>74</v>
      </c>
      <c r="H1532" s="57" t="s">
        <v>66</v>
      </c>
      <c r="I1532" s="50">
        <f>I1533+I1534</f>
        <v>297310.59999999998</v>
      </c>
      <c r="J1532" s="50">
        <f>J1533+J1534</f>
        <v>362</v>
      </c>
      <c r="K1532" s="50">
        <f>K1533+K1534</f>
        <v>362</v>
      </c>
    </row>
    <row r="1533" spans="1:11" ht="15.75" customHeight="1" x14ac:dyDescent="0.25">
      <c r="A1533" s="215"/>
      <c r="B1533" s="215"/>
      <c r="C1533" s="223"/>
      <c r="D1533" s="224"/>
      <c r="E1533" s="224"/>
      <c r="F1533" s="225"/>
      <c r="G1533" s="215"/>
      <c r="H1533" s="57" t="s">
        <v>67</v>
      </c>
      <c r="I1533" s="50">
        <f>K1533*D1532</f>
        <v>290740.2</v>
      </c>
      <c r="J1533" s="50">
        <f>I1533/D1532</f>
        <v>354</v>
      </c>
      <c r="K1533" s="50">
        <v>354</v>
      </c>
    </row>
    <row r="1534" spans="1:11" ht="15.75" customHeight="1" x14ac:dyDescent="0.25">
      <c r="A1534" s="215"/>
      <c r="B1534" s="215"/>
      <c r="C1534" s="223"/>
      <c r="D1534" s="224"/>
      <c r="E1534" s="224"/>
      <c r="F1534" s="225"/>
      <c r="G1534" s="215"/>
      <c r="H1534" s="57" t="s">
        <v>69</v>
      </c>
      <c r="I1534" s="50">
        <f>D1532*K1534</f>
        <v>6570.4</v>
      </c>
      <c r="J1534" s="50">
        <f>I1534/D1532</f>
        <v>8</v>
      </c>
      <c r="K1534" s="50">
        <v>8</v>
      </c>
    </row>
    <row r="1535" spans="1:11" ht="15.75" customHeight="1" x14ac:dyDescent="0.25">
      <c r="A1535" s="215">
        <f>A1532+1</f>
        <v>8</v>
      </c>
      <c r="B1535" s="215">
        <v>123</v>
      </c>
      <c r="C1535" s="223" t="s">
        <v>594</v>
      </c>
      <c r="D1535" s="224">
        <v>824.1</v>
      </c>
      <c r="E1535" s="224" t="s">
        <v>73</v>
      </c>
      <c r="F1535" s="225">
        <v>3</v>
      </c>
      <c r="G1535" s="215" t="s">
        <v>74</v>
      </c>
      <c r="H1535" s="57" t="s">
        <v>66</v>
      </c>
      <c r="I1535" s="50">
        <f>I1536+I1537</f>
        <v>298324.2</v>
      </c>
      <c r="J1535" s="50">
        <f>J1536+J1537</f>
        <v>362</v>
      </c>
      <c r="K1535" s="50">
        <f>K1536+K1537</f>
        <v>362</v>
      </c>
    </row>
    <row r="1536" spans="1:11" ht="15.75" customHeight="1" x14ac:dyDescent="0.25">
      <c r="A1536" s="215"/>
      <c r="B1536" s="215"/>
      <c r="C1536" s="223"/>
      <c r="D1536" s="224"/>
      <c r="E1536" s="224"/>
      <c r="F1536" s="225"/>
      <c r="G1536" s="215"/>
      <c r="H1536" s="57" t="s">
        <v>67</v>
      </c>
      <c r="I1536" s="50">
        <f>K1536*D1535</f>
        <v>291731.40000000002</v>
      </c>
      <c r="J1536" s="50">
        <f>I1536/D1535</f>
        <v>354</v>
      </c>
      <c r="K1536" s="50">
        <v>354</v>
      </c>
    </row>
    <row r="1537" spans="1:11" ht="15.75" customHeight="1" x14ac:dyDescent="0.25">
      <c r="A1537" s="215"/>
      <c r="B1537" s="215"/>
      <c r="C1537" s="223"/>
      <c r="D1537" s="224"/>
      <c r="E1537" s="224"/>
      <c r="F1537" s="225"/>
      <c r="G1537" s="215"/>
      <c r="H1537" s="57" t="s">
        <v>69</v>
      </c>
      <c r="I1537" s="50">
        <f>D1535*K1537</f>
        <v>6592.8</v>
      </c>
      <c r="J1537" s="50">
        <f>I1537/D1535</f>
        <v>8</v>
      </c>
      <c r="K1537" s="50">
        <v>8</v>
      </c>
    </row>
    <row r="1538" spans="1:11" ht="15.75" customHeight="1" x14ac:dyDescent="0.25">
      <c r="A1538" s="215">
        <f>A1535+1</f>
        <v>9</v>
      </c>
      <c r="B1538" s="215">
        <v>131</v>
      </c>
      <c r="C1538" s="223" t="s">
        <v>595</v>
      </c>
      <c r="D1538" s="224">
        <v>829.3</v>
      </c>
      <c r="E1538" s="224" t="s">
        <v>73</v>
      </c>
      <c r="F1538" s="225">
        <v>3</v>
      </c>
      <c r="G1538" s="215" t="s">
        <v>74</v>
      </c>
      <c r="H1538" s="57" t="s">
        <v>66</v>
      </c>
      <c r="I1538" s="50">
        <f>I1539+I1540</f>
        <v>300206.59999999998</v>
      </c>
      <c r="J1538" s="50">
        <f>J1539+J1540</f>
        <v>362</v>
      </c>
      <c r="K1538" s="50">
        <f>K1539+K1540</f>
        <v>362</v>
      </c>
    </row>
    <row r="1539" spans="1:11" ht="15.75" customHeight="1" x14ac:dyDescent="0.25">
      <c r="A1539" s="215"/>
      <c r="B1539" s="215"/>
      <c r="C1539" s="223"/>
      <c r="D1539" s="224"/>
      <c r="E1539" s="224"/>
      <c r="F1539" s="225"/>
      <c r="G1539" s="215"/>
      <c r="H1539" s="57" t="s">
        <v>67</v>
      </c>
      <c r="I1539" s="50">
        <f>K1539*D1538</f>
        <v>293572.2</v>
      </c>
      <c r="J1539" s="50">
        <f>I1539/D1538</f>
        <v>354</v>
      </c>
      <c r="K1539" s="50">
        <v>354</v>
      </c>
    </row>
    <row r="1540" spans="1:11" ht="15.75" customHeight="1" x14ac:dyDescent="0.25">
      <c r="A1540" s="215"/>
      <c r="B1540" s="215"/>
      <c r="C1540" s="223"/>
      <c r="D1540" s="224"/>
      <c r="E1540" s="224"/>
      <c r="F1540" s="225"/>
      <c r="G1540" s="215"/>
      <c r="H1540" s="57" t="s">
        <v>69</v>
      </c>
      <c r="I1540" s="50">
        <f>D1538*K1540</f>
        <v>6634.4</v>
      </c>
      <c r="J1540" s="50">
        <f>I1540/D1538</f>
        <v>8</v>
      </c>
      <c r="K1540" s="50">
        <v>8</v>
      </c>
    </row>
    <row r="1541" spans="1:11" ht="15.75" customHeight="1" x14ac:dyDescent="0.25">
      <c r="A1541" s="215">
        <f>A1538+1</f>
        <v>10</v>
      </c>
      <c r="B1541" s="215">
        <v>190</v>
      </c>
      <c r="C1541" s="223" t="s">
        <v>636</v>
      </c>
      <c r="D1541" s="224">
        <v>1091.8</v>
      </c>
      <c r="E1541" s="224" t="s">
        <v>73</v>
      </c>
      <c r="F1541" s="225">
        <v>3</v>
      </c>
      <c r="G1541" s="215" t="s">
        <v>74</v>
      </c>
      <c r="H1541" s="57" t="s">
        <v>66</v>
      </c>
      <c r="I1541" s="50">
        <f>I1542</f>
        <v>51314.6</v>
      </c>
      <c r="J1541" s="50">
        <f>J1542</f>
        <v>47</v>
      </c>
      <c r="K1541" s="50">
        <f>K1542</f>
        <v>47</v>
      </c>
    </row>
    <row r="1542" spans="1:11" ht="47.25" customHeight="1" x14ac:dyDescent="0.25">
      <c r="A1542" s="215"/>
      <c r="B1542" s="215"/>
      <c r="C1542" s="223"/>
      <c r="D1542" s="224"/>
      <c r="E1542" s="224"/>
      <c r="F1542" s="225"/>
      <c r="G1542" s="215"/>
      <c r="H1542" s="57" t="s">
        <v>168</v>
      </c>
      <c r="I1542" s="50">
        <f>D1541*K1542</f>
        <v>51314.6</v>
      </c>
      <c r="J1542" s="50">
        <f>I1542/D1541</f>
        <v>47</v>
      </c>
      <c r="K1542" s="50">
        <f>34+13</f>
        <v>47</v>
      </c>
    </row>
    <row r="1543" spans="1:11" ht="15.75" customHeight="1" x14ac:dyDescent="0.25">
      <c r="A1543" s="215">
        <f>A1541+1</f>
        <v>11</v>
      </c>
      <c r="B1543" s="215">
        <v>197</v>
      </c>
      <c r="C1543" s="223" t="s">
        <v>637</v>
      </c>
      <c r="D1543" s="224">
        <v>1027.9000000000001</v>
      </c>
      <c r="E1543" s="224" t="s">
        <v>73</v>
      </c>
      <c r="F1543" s="225">
        <v>3</v>
      </c>
      <c r="G1543" s="215" t="s">
        <v>74</v>
      </c>
      <c r="H1543" s="57" t="s">
        <v>66</v>
      </c>
      <c r="I1543" s="50">
        <f>I1544</f>
        <v>48311.3</v>
      </c>
      <c r="J1543" s="50">
        <f>J1544</f>
        <v>47</v>
      </c>
      <c r="K1543" s="50">
        <f>K1544</f>
        <v>47</v>
      </c>
    </row>
    <row r="1544" spans="1:11" ht="47.25" customHeight="1" x14ac:dyDescent="0.25">
      <c r="A1544" s="215"/>
      <c r="B1544" s="215"/>
      <c r="C1544" s="223"/>
      <c r="D1544" s="224"/>
      <c r="E1544" s="224"/>
      <c r="F1544" s="225"/>
      <c r="G1544" s="215"/>
      <c r="H1544" s="57" t="s">
        <v>168</v>
      </c>
      <c r="I1544" s="50">
        <f>D1543*K1544</f>
        <v>48311.3</v>
      </c>
      <c r="J1544" s="50">
        <f>I1544/D1543</f>
        <v>47</v>
      </c>
      <c r="K1544" s="50">
        <f>34+13</f>
        <v>47</v>
      </c>
    </row>
    <row r="1545" spans="1:11" ht="15.75" customHeight="1" x14ac:dyDescent="0.25">
      <c r="A1545" s="215">
        <f>A1543+1</f>
        <v>12</v>
      </c>
      <c r="B1545" s="215">
        <v>347</v>
      </c>
      <c r="C1545" s="223" t="s">
        <v>638</v>
      </c>
      <c r="D1545" s="224">
        <v>3127.4</v>
      </c>
      <c r="E1545" s="224" t="s">
        <v>68</v>
      </c>
      <c r="F1545" s="225">
        <v>5</v>
      </c>
      <c r="G1545" s="215" t="s">
        <v>74</v>
      </c>
      <c r="H1545" s="57" t="s">
        <v>66</v>
      </c>
      <c r="I1545" s="50">
        <f>I1546</f>
        <v>75057.600000000006</v>
      </c>
      <c r="J1545" s="50">
        <f>J1546</f>
        <v>24</v>
      </c>
      <c r="K1545" s="50">
        <f>K1546</f>
        <v>24</v>
      </c>
    </row>
    <row r="1546" spans="1:11" ht="47.25" customHeight="1" x14ac:dyDescent="0.25">
      <c r="A1546" s="215"/>
      <c r="B1546" s="215"/>
      <c r="C1546" s="223"/>
      <c r="D1546" s="224"/>
      <c r="E1546" s="224"/>
      <c r="F1546" s="225"/>
      <c r="G1546" s="215"/>
      <c r="H1546" s="57" t="s">
        <v>168</v>
      </c>
      <c r="I1546" s="50">
        <f>D1545*K1546</f>
        <v>75057.600000000006</v>
      </c>
      <c r="J1546" s="50">
        <f>I1546/D1545</f>
        <v>24</v>
      </c>
      <c r="K1546" s="50">
        <f>22+2</f>
        <v>24</v>
      </c>
    </row>
    <row r="1547" spans="1:11" ht="15.75" customHeight="1" x14ac:dyDescent="0.25">
      <c r="A1547" s="215">
        <f>A1545+1</f>
        <v>13</v>
      </c>
      <c r="B1547" s="215">
        <v>348</v>
      </c>
      <c r="C1547" s="223" t="s">
        <v>639</v>
      </c>
      <c r="D1547" s="224">
        <v>3202.33</v>
      </c>
      <c r="E1547" s="224" t="s">
        <v>68</v>
      </c>
      <c r="F1547" s="225">
        <v>5</v>
      </c>
      <c r="G1547" s="215" t="s">
        <v>74</v>
      </c>
      <c r="H1547" s="57" t="s">
        <v>66</v>
      </c>
      <c r="I1547" s="50">
        <f>I1548</f>
        <v>76855.92</v>
      </c>
      <c r="J1547" s="50">
        <f>J1548</f>
        <v>24</v>
      </c>
      <c r="K1547" s="50">
        <f>K1548</f>
        <v>24</v>
      </c>
    </row>
    <row r="1548" spans="1:11" ht="47.25" customHeight="1" x14ac:dyDescent="0.25">
      <c r="A1548" s="215"/>
      <c r="B1548" s="215"/>
      <c r="C1548" s="223"/>
      <c r="D1548" s="224"/>
      <c r="E1548" s="224"/>
      <c r="F1548" s="225"/>
      <c r="G1548" s="215"/>
      <c r="H1548" s="57" t="s">
        <v>168</v>
      </c>
      <c r="I1548" s="50">
        <f>D1547*K1548</f>
        <v>76855.92</v>
      </c>
      <c r="J1548" s="50">
        <f>I1548/D1547</f>
        <v>24</v>
      </c>
      <c r="K1548" s="50">
        <f>22+2</f>
        <v>24</v>
      </c>
    </row>
    <row r="1549" spans="1:11" ht="15.75" customHeight="1" x14ac:dyDescent="0.25">
      <c r="A1549" s="215">
        <f>A1547+1</f>
        <v>14</v>
      </c>
      <c r="B1549" s="215">
        <v>349</v>
      </c>
      <c r="C1549" s="223" t="s">
        <v>640</v>
      </c>
      <c r="D1549" s="224">
        <v>4539.0600000000004</v>
      </c>
      <c r="E1549" s="224" t="s">
        <v>68</v>
      </c>
      <c r="F1549" s="225">
        <v>5</v>
      </c>
      <c r="G1549" s="215" t="s">
        <v>74</v>
      </c>
      <c r="H1549" s="57" t="s">
        <v>66</v>
      </c>
      <c r="I1549" s="50">
        <f>I1550</f>
        <v>108937.44</v>
      </c>
      <c r="J1549" s="50">
        <f>J1550</f>
        <v>24</v>
      </c>
      <c r="K1549" s="50">
        <f>K1550</f>
        <v>24</v>
      </c>
    </row>
    <row r="1550" spans="1:11" ht="47.25" customHeight="1" x14ac:dyDescent="0.25">
      <c r="A1550" s="215"/>
      <c r="B1550" s="215"/>
      <c r="C1550" s="223"/>
      <c r="D1550" s="224"/>
      <c r="E1550" s="224"/>
      <c r="F1550" s="225"/>
      <c r="G1550" s="215"/>
      <c r="H1550" s="57" t="s">
        <v>168</v>
      </c>
      <c r="I1550" s="50">
        <f>D1549*K1550</f>
        <v>108937.44</v>
      </c>
      <c r="J1550" s="50">
        <f>I1550/D1549</f>
        <v>24</v>
      </c>
      <c r="K1550" s="50">
        <f>22+2</f>
        <v>24</v>
      </c>
    </row>
    <row r="1551" spans="1:11" x14ac:dyDescent="0.25">
      <c r="A1551" s="215">
        <f>A1549+1</f>
        <v>15</v>
      </c>
      <c r="B1551" s="215">
        <v>368</v>
      </c>
      <c r="C1551" s="223" t="s">
        <v>559</v>
      </c>
      <c r="D1551" s="224">
        <v>3670.2</v>
      </c>
      <c r="E1551" s="224" t="s">
        <v>68</v>
      </c>
      <c r="F1551" s="225">
        <v>5</v>
      </c>
      <c r="G1551" s="215" t="s">
        <v>74</v>
      </c>
      <c r="H1551" s="57" t="s">
        <v>66</v>
      </c>
      <c r="I1551" s="50">
        <f>I1552+I1553</f>
        <v>1493771.4</v>
      </c>
      <c r="J1551" s="50">
        <f>J1552+J1553</f>
        <v>407</v>
      </c>
      <c r="K1551" s="50">
        <f>K1552+K1553</f>
        <v>407</v>
      </c>
    </row>
    <row r="1552" spans="1:11" x14ac:dyDescent="0.25">
      <c r="A1552" s="215"/>
      <c r="B1552" s="215"/>
      <c r="C1552" s="223"/>
      <c r="D1552" s="224"/>
      <c r="E1552" s="224"/>
      <c r="F1552" s="225"/>
      <c r="G1552" s="215"/>
      <c r="H1552" s="57" t="s">
        <v>67</v>
      </c>
      <c r="I1552" s="50">
        <f>D1551*K1552</f>
        <v>1460739.6</v>
      </c>
      <c r="J1552" s="50">
        <f>I1552/D1551</f>
        <v>398</v>
      </c>
      <c r="K1552" s="50">
        <v>398</v>
      </c>
    </row>
    <row r="1553" spans="1:11" x14ac:dyDescent="0.25">
      <c r="A1553" s="215"/>
      <c r="B1553" s="215"/>
      <c r="C1553" s="223"/>
      <c r="D1553" s="224"/>
      <c r="E1553" s="224"/>
      <c r="F1553" s="225"/>
      <c r="G1553" s="215"/>
      <c r="H1553" s="57" t="s">
        <v>69</v>
      </c>
      <c r="I1553" s="50">
        <f>K1553*D1551</f>
        <v>33031.800000000003</v>
      </c>
      <c r="J1553" s="50">
        <f>I1553/D1551</f>
        <v>9</v>
      </c>
      <c r="K1553" s="50">
        <v>9</v>
      </c>
    </row>
    <row r="1554" spans="1:11" x14ac:dyDescent="0.25">
      <c r="A1554" s="215">
        <f>A1551+1</f>
        <v>16</v>
      </c>
      <c r="B1554" s="215">
        <v>827</v>
      </c>
      <c r="C1554" s="223" t="s">
        <v>373</v>
      </c>
      <c r="D1554" s="224">
        <v>4235.7</v>
      </c>
      <c r="E1554" s="224" t="s">
        <v>68</v>
      </c>
      <c r="F1554" s="225">
        <v>5</v>
      </c>
      <c r="G1554" s="215" t="s">
        <v>65</v>
      </c>
      <c r="H1554" s="57" t="s">
        <v>66</v>
      </c>
      <c r="I1554" s="50">
        <f>I1555</f>
        <v>667864</v>
      </c>
      <c r="J1554" s="50">
        <f>J1555</f>
        <v>157.68</v>
      </c>
      <c r="K1554" s="50">
        <f>K1555</f>
        <v>169</v>
      </c>
    </row>
    <row r="1555" spans="1:11" ht="63" x14ac:dyDescent="0.25">
      <c r="A1555" s="215"/>
      <c r="B1555" s="215"/>
      <c r="C1555" s="223"/>
      <c r="D1555" s="224"/>
      <c r="E1555" s="224"/>
      <c r="F1555" s="225"/>
      <c r="G1555" s="215"/>
      <c r="H1555" s="57" t="s">
        <v>168</v>
      </c>
      <c r="I1555" s="50">
        <v>667864</v>
      </c>
      <c r="J1555" s="50">
        <f>I1555/D1554</f>
        <v>157.68</v>
      </c>
      <c r="K1555" s="50">
        <f>151+18</f>
        <v>169</v>
      </c>
    </row>
    <row r="1556" spans="1:11" x14ac:dyDescent="0.25">
      <c r="A1556" s="215">
        <f>A1554+1</f>
        <v>17</v>
      </c>
      <c r="B1556" s="215">
        <v>602</v>
      </c>
      <c r="C1556" s="223" t="s">
        <v>120</v>
      </c>
      <c r="D1556" s="224">
        <v>3240.43</v>
      </c>
      <c r="E1556" s="224" t="s">
        <v>68</v>
      </c>
      <c r="F1556" s="225">
        <v>5</v>
      </c>
      <c r="G1556" s="215" t="s">
        <v>75</v>
      </c>
      <c r="H1556" s="57" t="s">
        <v>66</v>
      </c>
      <c r="I1556" s="50">
        <f>I1557+I1558</f>
        <v>15444499.52</v>
      </c>
      <c r="J1556" s="50">
        <f>J1557+J1558</f>
        <v>4766.1899999999996</v>
      </c>
      <c r="K1556" s="50">
        <f>K1557+K1558</f>
        <v>5861</v>
      </c>
    </row>
    <row r="1557" spans="1:11" x14ac:dyDescent="0.25">
      <c r="A1557" s="215">
        <v>76</v>
      </c>
      <c r="B1557" s="215"/>
      <c r="C1557" s="223"/>
      <c r="D1557" s="215"/>
      <c r="E1557" s="224"/>
      <c r="F1557" s="225"/>
      <c r="G1557" s="215"/>
      <c r="H1557" s="57" t="s">
        <v>179</v>
      </c>
      <c r="I1557" s="50">
        <v>15120912</v>
      </c>
      <c r="J1557" s="50">
        <f>I1557/D1556</f>
        <v>4666.33</v>
      </c>
      <c r="K1557" s="50">
        <v>5738</v>
      </c>
    </row>
    <row r="1558" spans="1:11" x14ac:dyDescent="0.25">
      <c r="A1558" s="215"/>
      <c r="B1558" s="215"/>
      <c r="C1558" s="223"/>
      <c r="D1558" s="215"/>
      <c r="E1558" s="224"/>
      <c r="F1558" s="225"/>
      <c r="G1558" s="215"/>
      <c r="H1558" s="57" t="s">
        <v>69</v>
      </c>
      <c r="I1558" s="50">
        <f>I1557*0.0214</f>
        <v>323587.52</v>
      </c>
      <c r="J1558" s="50">
        <f>I1558/D1556</f>
        <v>99.86</v>
      </c>
      <c r="K1558" s="50">
        <v>123</v>
      </c>
    </row>
    <row r="1559" spans="1:11" ht="15.75" customHeight="1" x14ac:dyDescent="0.25">
      <c r="A1559" s="215">
        <f>A1556+1</f>
        <v>18</v>
      </c>
      <c r="B1559" s="215">
        <v>293</v>
      </c>
      <c r="C1559" s="223" t="s">
        <v>641</v>
      </c>
      <c r="D1559" s="224">
        <v>1262.0999999999999</v>
      </c>
      <c r="E1559" s="224" t="s">
        <v>68</v>
      </c>
      <c r="F1559" s="225">
        <v>4</v>
      </c>
      <c r="G1559" s="215" t="s">
        <v>74</v>
      </c>
      <c r="H1559" s="57" t="s">
        <v>66</v>
      </c>
      <c r="I1559" s="50">
        <f>I1560</f>
        <v>59318.7</v>
      </c>
      <c r="J1559" s="50">
        <f>J1560</f>
        <v>47</v>
      </c>
      <c r="K1559" s="50">
        <f>K1560</f>
        <v>47</v>
      </c>
    </row>
    <row r="1560" spans="1:11" ht="47.25" customHeight="1" x14ac:dyDescent="0.25">
      <c r="A1560" s="215"/>
      <c r="B1560" s="215"/>
      <c r="C1560" s="223"/>
      <c r="D1560" s="224"/>
      <c r="E1560" s="224"/>
      <c r="F1560" s="225"/>
      <c r="G1560" s="215"/>
      <c r="H1560" s="57" t="s">
        <v>168</v>
      </c>
      <c r="I1560" s="50">
        <f>D1559*K1560</f>
        <v>59318.7</v>
      </c>
      <c r="J1560" s="50">
        <f>I1560/D1559</f>
        <v>47</v>
      </c>
      <c r="K1560" s="50">
        <f>34+13</f>
        <v>47</v>
      </c>
    </row>
    <row r="1561" spans="1:11" ht="15.75" customHeight="1" x14ac:dyDescent="0.25">
      <c r="A1561" s="215">
        <f>A1559+1</f>
        <v>19</v>
      </c>
      <c r="B1561" s="215">
        <v>471</v>
      </c>
      <c r="C1561" s="223" t="s">
        <v>642</v>
      </c>
      <c r="D1561" s="224">
        <v>1568.8</v>
      </c>
      <c r="E1561" s="224" t="s">
        <v>68</v>
      </c>
      <c r="F1561" s="225">
        <v>5</v>
      </c>
      <c r="G1561" s="215" t="s">
        <v>65</v>
      </c>
      <c r="H1561" s="57" t="s">
        <v>66</v>
      </c>
      <c r="I1561" s="50">
        <f>I1562</f>
        <v>265127.2</v>
      </c>
      <c r="J1561" s="50">
        <f>J1562</f>
        <v>169</v>
      </c>
      <c r="K1561" s="50">
        <f>K1562</f>
        <v>169</v>
      </c>
    </row>
    <row r="1562" spans="1:11" ht="63" x14ac:dyDescent="0.25">
      <c r="A1562" s="215"/>
      <c r="B1562" s="215"/>
      <c r="C1562" s="223"/>
      <c r="D1562" s="224"/>
      <c r="E1562" s="224"/>
      <c r="F1562" s="225"/>
      <c r="G1562" s="215"/>
      <c r="H1562" s="57" t="s">
        <v>178</v>
      </c>
      <c r="I1562" s="50">
        <f>D1561*K1562</f>
        <v>265127.2</v>
      </c>
      <c r="J1562" s="50">
        <f>I1562/D1561</f>
        <v>169</v>
      </c>
      <c r="K1562" s="50">
        <f>151+18</f>
        <v>169</v>
      </c>
    </row>
    <row r="1563" spans="1:11" ht="15.75" customHeight="1" x14ac:dyDescent="0.25">
      <c r="A1563" s="215">
        <f>A1561+1</f>
        <v>20</v>
      </c>
      <c r="B1563" s="215">
        <v>340</v>
      </c>
      <c r="C1563" s="223" t="s">
        <v>643</v>
      </c>
      <c r="D1563" s="224">
        <v>1359.55</v>
      </c>
      <c r="E1563" s="224" t="s">
        <v>68</v>
      </c>
      <c r="F1563" s="225">
        <v>4</v>
      </c>
      <c r="G1563" s="215" t="s">
        <v>74</v>
      </c>
      <c r="H1563" s="57" t="s">
        <v>66</v>
      </c>
      <c r="I1563" s="50">
        <f>I1564</f>
        <v>63898.85</v>
      </c>
      <c r="J1563" s="50">
        <f>J1564</f>
        <v>47</v>
      </c>
      <c r="K1563" s="50">
        <f>K1564</f>
        <v>47</v>
      </c>
    </row>
    <row r="1564" spans="1:11" ht="47.25" customHeight="1" x14ac:dyDescent="0.25">
      <c r="A1564" s="215"/>
      <c r="B1564" s="215"/>
      <c r="C1564" s="223"/>
      <c r="D1564" s="224"/>
      <c r="E1564" s="224"/>
      <c r="F1564" s="225"/>
      <c r="G1564" s="215"/>
      <c r="H1564" s="57" t="s">
        <v>168</v>
      </c>
      <c r="I1564" s="50">
        <f>D1563*K1564</f>
        <v>63898.85</v>
      </c>
      <c r="J1564" s="50">
        <f>I1564/D1563</f>
        <v>47</v>
      </c>
      <c r="K1564" s="50">
        <f>34+13</f>
        <v>47</v>
      </c>
    </row>
    <row r="1565" spans="1:11" ht="15.75" customHeight="1" x14ac:dyDescent="0.25">
      <c r="A1565" s="215">
        <f>A1563+1</f>
        <v>21</v>
      </c>
      <c r="B1565" s="215">
        <v>341</v>
      </c>
      <c r="C1565" s="223" t="s">
        <v>644</v>
      </c>
      <c r="D1565" s="224">
        <v>1268.5999999999999</v>
      </c>
      <c r="E1565" s="224" t="s">
        <v>68</v>
      </c>
      <c r="F1565" s="225">
        <v>4</v>
      </c>
      <c r="G1565" s="215" t="s">
        <v>74</v>
      </c>
      <c r="H1565" s="57" t="s">
        <v>66</v>
      </c>
      <c r="I1565" s="50">
        <f>I1566</f>
        <v>59624.2</v>
      </c>
      <c r="J1565" s="50">
        <f>J1566</f>
        <v>47</v>
      </c>
      <c r="K1565" s="50">
        <f>K1566</f>
        <v>47</v>
      </c>
    </row>
    <row r="1566" spans="1:11" ht="47.25" customHeight="1" x14ac:dyDescent="0.25">
      <c r="A1566" s="215"/>
      <c r="B1566" s="215"/>
      <c r="C1566" s="223"/>
      <c r="D1566" s="224"/>
      <c r="E1566" s="224"/>
      <c r="F1566" s="225"/>
      <c r="G1566" s="215"/>
      <c r="H1566" s="57" t="s">
        <v>168</v>
      </c>
      <c r="I1566" s="50">
        <f>D1565*K1566</f>
        <v>59624.2</v>
      </c>
      <c r="J1566" s="50">
        <f>I1566/D1565</f>
        <v>47</v>
      </c>
      <c r="K1566" s="50">
        <f>34+13</f>
        <v>47</v>
      </c>
    </row>
    <row r="1567" spans="1:11" x14ac:dyDescent="0.25">
      <c r="A1567" s="215">
        <f>A1565+1</f>
        <v>22</v>
      </c>
      <c r="B1567" s="215">
        <v>351</v>
      </c>
      <c r="C1567" s="223" t="s">
        <v>554</v>
      </c>
      <c r="D1567" s="224">
        <v>1260.4000000000001</v>
      </c>
      <c r="E1567" s="224" t="s">
        <v>68</v>
      </c>
      <c r="F1567" s="225">
        <v>4</v>
      </c>
      <c r="G1567" s="215" t="s">
        <v>74</v>
      </c>
      <c r="H1567" s="57" t="s">
        <v>66</v>
      </c>
      <c r="I1567" s="50">
        <f>I1568+I1569</f>
        <v>456264.8</v>
      </c>
      <c r="J1567" s="50">
        <f>J1568+J1569</f>
        <v>362</v>
      </c>
      <c r="K1567" s="50">
        <f>K1568+K1569</f>
        <v>362</v>
      </c>
    </row>
    <row r="1568" spans="1:11" x14ac:dyDescent="0.25">
      <c r="A1568" s="215"/>
      <c r="B1568" s="215"/>
      <c r="C1568" s="223"/>
      <c r="D1568" s="224"/>
      <c r="E1568" s="224"/>
      <c r="F1568" s="225"/>
      <c r="G1568" s="215"/>
      <c r="H1568" s="57" t="s">
        <v>67</v>
      </c>
      <c r="I1568" s="50">
        <f>D1567*K1568</f>
        <v>446181.6</v>
      </c>
      <c r="J1568" s="50">
        <f>I1568/D1567</f>
        <v>354</v>
      </c>
      <c r="K1568" s="50">
        <v>354</v>
      </c>
    </row>
    <row r="1569" spans="1:11" x14ac:dyDescent="0.25">
      <c r="A1569" s="215"/>
      <c r="B1569" s="215"/>
      <c r="C1569" s="223"/>
      <c r="D1569" s="224"/>
      <c r="E1569" s="224"/>
      <c r="F1569" s="225"/>
      <c r="G1569" s="215"/>
      <c r="H1569" s="57" t="s">
        <v>69</v>
      </c>
      <c r="I1569" s="50">
        <f>K1569*D1567</f>
        <v>10083.200000000001</v>
      </c>
      <c r="J1569" s="50">
        <f>I1569/D1567</f>
        <v>8</v>
      </c>
      <c r="K1569" s="50">
        <v>8</v>
      </c>
    </row>
    <row r="1570" spans="1:11" x14ac:dyDescent="0.25">
      <c r="A1570" s="216">
        <f>A1567+1</f>
        <v>23</v>
      </c>
      <c r="B1570" s="216">
        <v>811</v>
      </c>
      <c r="C1570" s="218" t="s">
        <v>191</v>
      </c>
      <c r="D1570" s="220">
        <v>4347.7</v>
      </c>
      <c r="E1570" s="220" t="s">
        <v>64</v>
      </c>
      <c r="F1570" s="228">
        <v>9</v>
      </c>
      <c r="G1570" s="108"/>
      <c r="H1570" s="57" t="s">
        <v>66</v>
      </c>
      <c r="I1570" s="50">
        <f>I1571+I1572+I1573+I1574+I1575+I1576</f>
        <v>12098374.76</v>
      </c>
      <c r="J1570" s="50">
        <f>J1571+J1572+J1573+J1574+J1575+J1576</f>
        <v>2782.71</v>
      </c>
      <c r="K1570" s="50">
        <f>K1571+K1572+K1573+K1574+K1575+K1576</f>
        <v>3419</v>
      </c>
    </row>
    <row r="1571" spans="1:11" x14ac:dyDescent="0.25">
      <c r="A1571" s="217"/>
      <c r="B1571" s="217"/>
      <c r="C1571" s="219"/>
      <c r="D1571" s="217"/>
      <c r="E1571" s="221"/>
      <c r="F1571" s="229"/>
      <c r="G1571" s="216" t="s">
        <v>70</v>
      </c>
      <c r="H1571" s="57" t="s">
        <v>67</v>
      </c>
      <c r="I1571" s="50">
        <v>8728332.9800000004</v>
      </c>
      <c r="J1571" s="50">
        <f>I1571/D1570+0.01</f>
        <v>2007.58</v>
      </c>
      <c r="K1571" s="50">
        <v>2292</v>
      </c>
    </row>
    <row r="1572" spans="1:11" x14ac:dyDescent="0.25">
      <c r="A1572" s="217"/>
      <c r="B1572" s="217"/>
      <c r="C1572" s="219"/>
      <c r="D1572" s="217"/>
      <c r="E1572" s="221"/>
      <c r="F1572" s="229"/>
      <c r="G1572" s="222"/>
      <c r="H1572" s="57" t="s">
        <v>69</v>
      </c>
      <c r="I1572" s="50">
        <f>I1571*0.0214</f>
        <v>186786.33</v>
      </c>
      <c r="J1572" s="50">
        <f>I1572/D1570</f>
        <v>42.96</v>
      </c>
      <c r="K1572" s="50">
        <v>49</v>
      </c>
    </row>
    <row r="1573" spans="1:11" x14ac:dyDescent="0.25">
      <c r="A1573" s="217"/>
      <c r="B1573" s="217"/>
      <c r="C1573" s="219"/>
      <c r="D1573" s="217"/>
      <c r="E1573" s="221"/>
      <c r="F1573" s="229"/>
      <c r="G1573" s="216" t="s">
        <v>71</v>
      </c>
      <c r="H1573" s="57" t="s">
        <v>67</v>
      </c>
      <c r="I1573" s="50">
        <v>1367144.35</v>
      </c>
      <c r="J1573" s="50">
        <f>I1573/D1570</f>
        <v>314.45</v>
      </c>
      <c r="K1573" s="50">
        <v>513</v>
      </c>
    </row>
    <row r="1574" spans="1:11" x14ac:dyDescent="0.25">
      <c r="A1574" s="217"/>
      <c r="B1574" s="217"/>
      <c r="C1574" s="219"/>
      <c r="D1574" s="217"/>
      <c r="E1574" s="221"/>
      <c r="F1574" s="229"/>
      <c r="G1574" s="222"/>
      <c r="H1574" s="57" t="s">
        <v>69</v>
      </c>
      <c r="I1574" s="50">
        <f>I1573*0.0214</f>
        <v>29256.89</v>
      </c>
      <c r="J1574" s="50">
        <f>I1574/D1570</f>
        <v>6.73</v>
      </c>
      <c r="K1574" s="50">
        <v>11</v>
      </c>
    </row>
    <row r="1575" spans="1:11" x14ac:dyDescent="0.25">
      <c r="A1575" s="217"/>
      <c r="B1575" s="217"/>
      <c r="C1575" s="219"/>
      <c r="D1575" s="217"/>
      <c r="E1575" s="221"/>
      <c r="F1575" s="229"/>
      <c r="G1575" s="216" t="s">
        <v>72</v>
      </c>
      <c r="H1575" s="57" t="s">
        <v>67</v>
      </c>
      <c r="I1575" s="50">
        <v>1749416.69</v>
      </c>
      <c r="J1575" s="50">
        <f>I1575/D1570</f>
        <v>402.38</v>
      </c>
      <c r="K1575" s="50">
        <v>542</v>
      </c>
    </row>
    <row r="1576" spans="1:11" x14ac:dyDescent="0.25">
      <c r="A1576" s="222"/>
      <c r="B1576" s="222"/>
      <c r="C1576" s="226"/>
      <c r="D1576" s="222"/>
      <c r="E1576" s="227"/>
      <c r="F1576" s="230"/>
      <c r="G1576" s="222"/>
      <c r="H1576" s="57" t="s">
        <v>69</v>
      </c>
      <c r="I1576" s="50">
        <f>I1575*0.0214</f>
        <v>37437.519999999997</v>
      </c>
      <c r="J1576" s="50">
        <f>I1576/D1570</f>
        <v>8.61</v>
      </c>
      <c r="K1576" s="50">
        <v>12</v>
      </c>
    </row>
    <row r="1577" spans="1:11" x14ac:dyDescent="0.25">
      <c r="A1577" s="216">
        <f>A1570+1</f>
        <v>24</v>
      </c>
      <c r="B1577" s="216">
        <v>812</v>
      </c>
      <c r="C1577" s="218" t="s">
        <v>192</v>
      </c>
      <c r="D1577" s="220">
        <v>3238.46</v>
      </c>
      <c r="E1577" s="220" t="s">
        <v>68</v>
      </c>
      <c r="F1577" s="228">
        <v>5</v>
      </c>
      <c r="G1577" s="108"/>
      <c r="H1577" s="57" t="s">
        <v>66</v>
      </c>
      <c r="I1577" s="50">
        <f>I1578+I1579+I1580+I1581+I1582+I1583</f>
        <v>8383041.3499999996</v>
      </c>
      <c r="J1577" s="50">
        <f>J1578+J1579+J1580+J1581+J1582+J1583</f>
        <v>2588.59</v>
      </c>
      <c r="K1577" s="50">
        <f>K1578+K1579+K1580+K1581+K1582+K1583</f>
        <v>3419</v>
      </c>
    </row>
    <row r="1578" spans="1:11" x14ac:dyDescent="0.25">
      <c r="A1578" s="217"/>
      <c r="B1578" s="217"/>
      <c r="C1578" s="219"/>
      <c r="D1578" s="217"/>
      <c r="E1578" s="221"/>
      <c r="F1578" s="229"/>
      <c r="G1578" s="216" t="s">
        <v>70</v>
      </c>
      <c r="H1578" s="57" t="s">
        <v>67</v>
      </c>
      <c r="I1578" s="50">
        <v>6639675.9400000004</v>
      </c>
      <c r="J1578" s="50">
        <f>I1578/D1577</f>
        <v>2050.2600000000002</v>
      </c>
      <c r="K1578" s="50">
        <v>2292</v>
      </c>
    </row>
    <row r="1579" spans="1:11" x14ac:dyDescent="0.25">
      <c r="A1579" s="217"/>
      <c r="B1579" s="217"/>
      <c r="C1579" s="219"/>
      <c r="D1579" s="217"/>
      <c r="E1579" s="221"/>
      <c r="F1579" s="229"/>
      <c r="G1579" s="222"/>
      <c r="H1579" s="57" t="s">
        <v>69</v>
      </c>
      <c r="I1579" s="50">
        <f>I1578*0.0214</f>
        <v>142089.07</v>
      </c>
      <c r="J1579" s="50">
        <f>I1579/D1577</f>
        <v>43.88</v>
      </c>
      <c r="K1579" s="50">
        <v>49</v>
      </c>
    </row>
    <row r="1580" spans="1:11" x14ac:dyDescent="0.25">
      <c r="A1580" s="217"/>
      <c r="B1580" s="217"/>
      <c r="C1580" s="219"/>
      <c r="D1580" s="217"/>
      <c r="E1580" s="221"/>
      <c r="F1580" s="229"/>
      <c r="G1580" s="216" t="s">
        <v>71</v>
      </c>
      <c r="H1580" s="57" t="s">
        <v>67</v>
      </c>
      <c r="I1580" s="50">
        <v>602816.5</v>
      </c>
      <c r="J1580" s="50">
        <f>I1580/D1577</f>
        <v>186.14</v>
      </c>
      <c r="K1580" s="50">
        <v>513</v>
      </c>
    </row>
    <row r="1581" spans="1:11" x14ac:dyDescent="0.25">
      <c r="A1581" s="217"/>
      <c r="B1581" s="217"/>
      <c r="C1581" s="219"/>
      <c r="D1581" s="217"/>
      <c r="E1581" s="221"/>
      <c r="F1581" s="229"/>
      <c r="G1581" s="222"/>
      <c r="H1581" s="57" t="s">
        <v>69</v>
      </c>
      <c r="I1581" s="50">
        <f>I1580*0.0214</f>
        <v>12900.27</v>
      </c>
      <c r="J1581" s="50">
        <f>I1581/D1577</f>
        <v>3.98</v>
      </c>
      <c r="K1581" s="50">
        <v>11</v>
      </c>
    </row>
    <row r="1582" spans="1:11" x14ac:dyDescent="0.25">
      <c r="A1582" s="217"/>
      <c r="B1582" s="217"/>
      <c r="C1582" s="219"/>
      <c r="D1582" s="217"/>
      <c r="E1582" s="221"/>
      <c r="F1582" s="229"/>
      <c r="G1582" s="216" t="s">
        <v>72</v>
      </c>
      <c r="H1582" s="57" t="s">
        <v>67</v>
      </c>
      <c r="I1582" s="50">
        <v>964910.49</v>
      </c>
      <c r="J1582" s="50">
        <f>I1582/D1577</f>
        <v>297.95</v>
      </c>
      <c r="K1582" s="50">
        <v>542</v>
      </c>
    </row>
    <row r="1583" spans="1:11" x14ac:dyDescent="0.25">
      <c r="A1583" s="222"/>
      <c r="B1583" s="222"/>
      <c r="C1583" s="226"/>
      <c r="D1583" s="222"/>
      <c r="E1583" s="227"/>
      <c r="F1583" s="230"/>
      <c r="G1583" s="222"/>
      <c r="H1583" s="57" t="s">
        <v>69</v>
      </c>
      <c r="I1583" s="50">
        <f>I1582*0.0214</f>
        <v>20649.080000000002</v>
      </c>
      <c r="J1583" s="50">
        <f>I1583/D1577</f>
        <v>6.38</v>
      </c>
      <c r="K1583" s="50">
        <v>12</v>
      </c>
    </row>
    <row r="1584" spans="1:11" ht="15.75" customHeight="1" x14ac:dyDescent="0.25">
      <c r="A1584" s="215">
        <f>A1577+1</f>
        <v>25</v>
      </c>
      <c r="B1584" s="215">
        <v>294</v>
      </c>
      <c r="C1584" s="223" t="s">
        <v>645</v>
      </c>
      <c r="D1584" s="224">
        <v>3808.2</v>
      </c>
      <c r="E1584" s="224" t="s">
        <v>68</v>
      </c>
      <c r="F1584" s="225">
        <v>4</v>
      </c>
      <c r="G1584" s="215" t="s">
        <v>74</v>
      </c>
      <c r="H1584" s="57" t="s">
        <v>66</v>
      </c>
      <c r="I1584" s="50">
        <f>I1585</f>
        <v>91396.800000000003</v>
      </c>
      <c r="J1584" s="50">
        <f>J1585</f>
        <v>24</v>
      </c>
      <c r="K1584" s="50">
        <f>K1585</f>
        <v>24</v>
      </c>
    </row>
    <row r="1585" spans="1:11" ht="47.25" customHeight="1" x14ac:dyDescent="0.25">
      <c r="A1585" s="215"/>
      <c r="B1585" s="215"/>
      <c r="C1585" s="223"/>
      <c r="D1585" s="224"/>
      <c r="E1585" s="224"/>
      <c r="F1585" s="225"/>
      <c r="G1585" s="215"/>
      <c r="H1585" s="57" t="s">
        <v>168</v>
      </c>
      <c r="I1585" s="50">
        <f>D1584*K1585</f>
        <v>91396.800000000003</v>
      </c>
      <c r="J1585" s="50">
        <f>I1585/D1584</f>
        <v>24</v>
      </c>
      <c r="K1585" s="50">
        <f>22+2</f>
        <v>24</v>
      </c>
    </row>
    <row r="1586" spans="1:11" ht="15.75" customHeight="1" x14ac:dyDescent="0.25">
      <c r="A1586" s="215">
        <f>A1584+1</f>
        <v>26</v>
      </c>
      <c r="B1586" s="215">
        <v>326</v>
      </c>
      <c r="C1586" s="223" t="s">
        <v>646</v>
      </c>
      <c r="D1586" s="224">
        <v>1786.7</v>
      </c>
      <c r="E1586" s="224" t="s">
        <v>68</v>
      </c>
      <c r="F1586" s="225">
        <v>5</v>
      </c>
      <c r="G1586" s="215" t="s">
        <v>74</v>
      </c>
      <c r="H1586" s="57" t="s">
        <v>66</v>
      </c>
      <c r="I1586" s="50">
        <f>I1587</f>
        <v>83974.9</v>
      </c>
      <c r="J1586" s="50">
        <f>J1587</f>
        <v>47</v>
      </c>
      <c r="K1586" s="50">
        <f>K1587</f>
        <v>47</v>
      </c>
    </row>
    <row r="1587" spans="1:11" ht="47.25" customHeight="1" x14ac:dyDescent="0.25">
      <c r="A1587" s="215"/>
      <c r="B1587" s="215"/>
      <c r="C1587" s="223"/>
      <c r="D1587" s="224"/>
      <c r="E1587" s="224"/>
      <c r="F1587" s="225"/>
      <c r="G1587" s="215"/>
      <c r="H1587" s="57" t="s">
        <v>168</v>
      </c>
      <c r="I1587" s="50">
        <f>D1586*K1587</f>
        <v>83974.9</v>
      </c>
      <c r="J1587" s="50">
        <f>I1587/D1586</f>
        <v>47</v>
      </c>
      <c r="K1587" s="50">
        <f>34+13</f>
        <v>47</v>
      </c>
    </row>
    <row r="1588" spans="1:11" x14ac:dyDescent="0.25">
      <c r="A1588" s="216">
        <f>A1586+1</f>
        <v>27</v>
      </c>
      <c r="B1588" s="216">
        <v>877</v>
      </c>
      <c r="C1588" s="218" t="s">
        <v>195</v>
      </c>
      <c r="D1588" s="220">
        <v>1533.7</v>
      </c>
      <c r="E1588" s="220" t="s">
        <v>68</v>
      </c>
      <c r="F1588" s="228">
        <v>5</v>
      </c>
      <c r="G1588" s="108"/>
      <c r="H1588" s="57" t="s">
        <v>66</v>
      </c>
      <c r="I1588" s="50">
        <f>I1589+I1590+I1591+I1592+I1593+I1594</f>
        <v>5408916.3300000001</v>
      </c>
      <c r="J1588" s="50">
        <f t="shared" ref="J1588:K1588" si="55">J1589+J1590+J1591+J1592+J1593+J1594</f>
        <v>3526.71</v>
      </c>
      <c r="K1588" s="50">
        <f t="shared" si="55"/>
        <v>4051</v>
      </c>
    </row>
    <row r="1589" spans="1:11" ht="15.75" customHeight="1" x14ac:dyDescent="0.25">
      <c r="A1589" s="217"/>
      <c r="B1589" s="217"/>
      <c r="C1589" s="219"/>
      <c r="D1589" s="217"/>
      <c r="E1589" s="221"/>
      <c r="F1589" s="229"/>
      <c r="G1589" s="216" t="s">
        <v>70</v>
      </c>
      <c r="H1589" s="57" t="s">
        <v>67</v>
      </c>
      <c r="I1589" s="50">
        <f>4072708.86</f>
        <v>4072708.86</v>
      </c>
      <c r="J1589" s="50">
        <f>I1589/D1588-0.01</f>
        <v>2655.47</v>
      </c>
      <c r="K1589" s="50">
        <v>2911</v>
      </c>
    </row>
    <row r="1590" spans="1:11" x14ac:dyDescent="0.25">
      <c r="A1590" s="217"/>
      <c r="B1590" s="217"/>
      <c r="C1590" s="219"/>
      <c r="D1590" s="217"/>
      <c r="E1590" s="221"/>
      <c r="F1590" s="229"/>
      <c r="G1590" s="222"/>
      <c r="H1590" s="57" t="s">
        <v>69</v>
      </c>
      <c r="I1590" s="50">
        <f>I1589*0.0214</f>
        <v>87155.97</v>
      </c>
      <c r="J1590" s="50">
        <f>I1590/D1588</f>
        <v>56.83</v>
      </c>
      <c r="K1590" s="50">
        <v>62</v>
      </c>
    </row>
    <row r="1591" spans="1:11" ht="15.75" customHeight="1" x14ac:dyDescent="0.25">
      <c r="A1591" s="217"/>
      <c r="B1591" s="217"/>
      <c r="C1591" s="219"/>
      <c r="D1591" s="217"/>
      <c r="E1591" s="221"/>
      <c r="F1591" s="229"/>
      <c r="G1591" s="216" t="s">
        <v>71</v>
      </c>
      <c r="H1591" s="57" t="s">
        <v>67</v>
      </c>
      <c r="I1591" s="50">
        <v>405181.37</v>
      </c>
      <c r="J1591" s="50">
        <f>I1591/D1588</f>
        <v>264.19</v>
      </c>
      <c r="K1591" s="50">
        <v>513</v>
      </c>
    </row>
    <row r="1592" spans="1:11" x14ac:dyDescent="0.25">
      <c r="A1592" s="217"/>
      <c r="B1592" s="217"/>
      <c r="C1592" s="219"/>
      <c r="D1592" s="217"/>
      <c r="E1592" s="221"/>
      <c r="F1592" s="229"/>
      <c r="G1592" s="222"/>
      <c r="H1592" s="57" t="s">
        <v>69</v>
      </c>
      <c r="I1592" s="50">
        <f>I1591*0.0214</f>
        <v>8670.8799999999992</v>
      </c>
      <c r="J1592" s="50">
        <f>I1592/D1588</f>
        <v>5.65</v>
      </c>
      <c r="K1592" s="50">
        <v>11</v>
      </c>
    </row>
    <row r="1593" spans="1:11" ht="15.75" customHeight="1" x14ac:dyDescent="0.25">
      <c r="A1593" s="217"/>
      <c r="B1593" s="217"/>
      <c r="C1593" s="219"/>
      <c r="D1593" s="217"/>
      <c r="E1593" s="221"/>
      <c r="F1593" s="229"/>
      <c r="G1593" s="216" t="s">
        <v>72</v>
      </c>
      <c r="H1593" s="57" t="s">
        <v>67</v>
      </c>
      <c r="I1593" s="50">
        <f>817700.46</f>
        <v>817700.46</v>
      </c>
      <c r="J1593" s="50">
        <f>I1593/D1588</f>
        <v>533.16</v>
      </c>
      <c r="K1593" s="50">
        <v>542</v>
      </c>
    </row>
    <row r="1594" spans="1:11" x14ac:dyDescent="0.25">
      <c r="A1594" s="217"/>
      <c r="B1594" s="217"/>
      <c r="C1594" s="219"/>
      <c r="D1594" s="217"/>
      <c r="E1594" s="221"/>
      <c r="F1594" s="229"/>
      <c r="G1594" s="222"/>
      <c r="H1594" s="57" t="s">
        <v>69</v>
      </c>
      <c r="I1594" s="50">
        <f>I1593*0.0214</f>
        <v>17498.79</v>
      </c>
      <c r="J1594" s="50">
        <f>I1594/D1588</f>
        <v>11.41</v>
      </c>
      <c r="K1594" s="50">
        <v>12</v>
      </c>
    </row>
    <row r="1595" spans="1:11" ht="15.75" customHeight="1" x14ac:dyDescent="0.25">
      <c r="A1595" s="215">
        <f>A1588+1</f>
        <v>28</v>
      </c>
      <c r="B1595" s="215">
        <v>157</v>
      </c>
      <c r="C1595" s="223" t="s">
        <v>596</v>
      </c>
      <c r="D1595" s="224">
        <v>482.4</v>
      </c>
      <c r="E1595" s="224" t="s">
        <v>73</v>
      </c>
      <c r="F1595" s="225">
        <v>2</v>
      </c>
      <c r="G1595" s="215" t="s">
        <v>74</v>
      </c>
      <c r="H1595" s="57" t="s">
        <v>66</v>
      </c>
      <c r="I1595" s="50">
        <f>I1596+I1597</f>
        <v>174628.8</v>
      </c>
      <c r="J1595" s="50">
        <f>J1596+J1597</f>
        <v>362</v>
      </c>
      <c r="K1595" s="50">
        <f>K1596+K1597</f>
        <v>362</v>
      </c>
    </row>
    <row r="1596" spans="1:11" ht="15.75" customHeight="1" x14ac:dyDescent="0.25">
      <c r="A1596" s="215"/>
      <c r="B1596" s="215"/>
      <c r="C1596" s="223"/>
      <c r="D1596" s="224"/>
      <c r="E1596" s="224"/>
      <c r="F1596" s="225"/>
      <c r="G1596" s="215"/>
      <c r="H1596" s="57" t="s">
        <v>67</v>
      </c>
      <c r="I1596" s="50">
        <f>K1596*D1595</f>
        <v>170769.6</v>
      </c>
      <c r="J1596" s="50">
        <f>I1596/D1595</f>
        <v>354</v>
      </c>
      <c r="K1596" s="50">
        <v>354</v>
      </c>
    </row>
    <row r="1597" spans="1:11" ht="15.75" customHeight="1" x14ac:dyDescent="0.25">
      <c r="A1597" s="215"/>
      <c r="B1597" s="215"/>
      <c r="C1597" s="223"/>
      <c r="D1597" s="224"/>
      <c r="E1597" s="224"/>
      <c r="F1597" s="225"/>
      <c r="G1597" s="215"/>
      <c r="H1597" s="57" t="s">
        <v>69</v>
      </c>
      <c r="I1597" s="50">
        <f>D1595*K1597</f>
        <v>3859.2</v>
      </c>
      <c r="J1597" s="50">
        <f>I1597/D1595</f>
        <v>8</v>
      </c>
      <c r="K1597" s="50">
        <v>8</v>
      </c>
    </row>
    <row r="1598" spans="1:11" x14ac:dyDescent="0.25">
      <c r="A1598" s="216">
        <f>A1595+1</f>
        <v>29</v>
      </c>
      <c r="B1598" s="216">
        <v>987</v>
      </c>
      <c r="C1598" s="218" t="s">
        <v>361</v>
      </c>
      <c r="D1598" s="220">
        <v>2713.5</v>
      </c>
      <c r="E1598" s="220" t="s">
        <v>68</v>
      </c>
      <c r="F1598" s="228">
        <v>9</v>
      </c>
      <c r="G1598" s="216" t="s">
        <v>65</v>
      </c>
      <c r="H1598" s="57" t="s">
        <v>66</v>
      </c>
      <c r="I1598" s="50">
        <f>I1599+I1600</f>
        <v>3875205.1</v>
      </c>
      <c r="J1598" s="50">
        <f>J1599+J1600</f>
        <v>1428.12</v>
      </c>
      <c r="K1598" s="50">
        <f>K1599+K1600</f>
        <v>2492</v>
      </c>
    </row>
    <row r="1599" spans="1:11" x14ac:dyDescent="0.25">
      <c r="A1599" s="217"/>
      <c r="B1599" s="217"/>
      <c r="C1599" s="219"/>
      <c r="D1599" s="217"/>
      <c r="E1599" s="221"/>
      <c r="F1599" s="229"/>
      <c r="G1599" s="217"/>
      <c r="H1599" s="57" t="s">
        <v>67</v>
      </c>
      <c r="I1599" s="50">
        <v>3794013.22</v>
      </c>
      <c r="J1599" s="50">
        <f>I1599/D1598</f>
        <v>1398.2</v>
      </c>
      <c r="K1599" s="50">
        <v>2440</v>
      </c>
    </row>
    <row r="1600" spans="1:11" x14ac:dyDescent="0.25">
      <c r="A1600" s="217"/>
      <c r="B1600" s="217"/>
      <c r="C1600" s="219"/>
      <c r="D1600" s="217"/>
      <c r="E1600" s="221"/>
      <c r="F1600" s="229"/>
      <c r="G1600" s="222"/>
      <c r="H1600" s="57" t="s">
        <v>69</v>
      </c>
      <c r="I1600" s="50">
        <f>I1599*0.0214</f>
        <v>81191.88</v>
      </c>
      <c r="J1600" s="50">
        <f>I1600/D1598</f>
        <v>29.92</v>
      </c>
      <c r="K1600" s="50">
        <v>52</v>
      </c>
    </row>
    <row r="1601" spans="1:11" ht="15.75" customHeight="1" x14ac:dyDescent="0.25">
      <c r="A1601" s="215">
        <f>A1598+1</f>
        <v>30</v>
      </c>
      <c r="B1601" s="215">
        <v>119</v>
      </c>
      <c r="C1601" s="223" t="s">
        <v>597</v>
      </c>
      <c r="D1601" s="224">
        <v>811.7</v>
      </c>
      <c r="E1601" s="224" t="s">
        <v>73</v>
      </c>
      <c r="F1601" s="225">
        <v>3</v>
      </c>
      <c r="G1601" s="215" t="s">
        <v>74</v>
      </c>
      <c r="H1601" s="57" t="s">
        <v>66</v>
      </c>
      <c r="I1601" s="50">
        <f>I1602+I1603</f>
        <v>293835.40000000002</v>
      </c>
      <c r="J1601" s="50">
        <f>J1602+J1603</f>
        <v>362</v>
      </c>
      <c r="K1601" s="50">
        <f>K1602+K1603</f>
        <v>362</v>
      </c>
    </row>
    <row r="1602" spans="1:11" ht="15.75" customHeight="1" x14ac:dyDescent="0.25">
      <c r="A1602" s="215"/>
      <c r="B1602" s="215"/>
      <c r="C1602" s="223"/>
      <c r="D1602" s="224"/>
      <c r="E1602" s="224"/>
      <c r="F1602" s="225"/>
      <c r="G1602" s="215"/>
      <c r="H1602" s="57" t="s">
        <v>67</v>
      </c>
      <c r="I1602" s="50">
        <f>K1602*D1601</f>
        <v>287341.8</v>
      </c>
      <c r="J1602" s="50">
        <f>I1602/D1601</f>
        <v>354</v>
      </c>
      <c r="K1602" s="50">
        <v>354</v>
      </c>
    </row>
    <row r="1603" spans="1:11" ht="15.75" customHeight="1" x14ac:dyDescent="0.25">
      <c r="A1603" s="215"/>
      <c r="B1603" s="215"/>
      <c r="C1603" s="223"/>
      <c r="D1603" s="224"/>
      <c r="E1603" s="224"/>
      <c r="F1603" s="225"/>
      <c r="G1603" s="215"/>
      <c r="H1603" s="57" t="s">
        <v>69</v>
      </c>
      <c r="I1603" s="50">
        <f>D1601*K1603</f>
        <v>6493.6</v>
      </c>
      <c r="J1603" s="50">
        <f>I1603/D1601</f>
        <v>8</v>
      </c>
      <c r="K1603" s="50">
        <v>8</v>
      </c>
    </row>
    <row r="1604" spans="1:11" ht="15.75" customHeight="1" x14ac:dyDescent="0.25">
      <c r="A1604" s="215">
        <f>A1601+1</f>
        <v>31</v>
      </c>
      <c r="B1604" s="215">
        <v>179</v>
      </c>
      <c r="C1604" s="223" t="s">
        <v>647</v>
      </c>
      <c r="D1604" s="224">
        <v>840.9</v>
      </c>
      <c r="E1604" s="224" t="s">
        <v>73</v>
      </c>
      <c r="F1604" s="225">
        <v>3</v>
      </c>
      <c r="G1604" s="215" t="s">
        <v>74</v>
      </c>
      <c r="H1604" s="57" t="s">
        <v>66</v>
      </c>
      <c r="I1604" s="50">
        <f>I1605</f>
        <v>61385.7</v>
      </c>
      <c r="J1604" s="50">
        <f>J1605</f>
        <v>73</v>
      </c>
      <c r="K1604" s="50">
        <f>K1605</f>
        <v>73</v>
      </c>
    </row>
    <row r="1605" spans="1:11" ht="47.25" customHeight="1" x14ac:dyDescent="0.25">
      <c r="A1605" s="215"/>
      <c r="B1605" s="215"/>
      <c r="C1605" s="223"/>
      <c r="D1605" s="224"/>
      <c r="E1605" s="224"/>
      <c r="F1605" s="225"/>
      <c r="G1605" s="215"/>
      <c r="H1605" s="57" t="s">
        <v>168</v>
      </c>
      <c r="I1605" s="50">
        <f>D1604*K1605</f>
        <v>61385.7</v>
      </c>
      <c r="J1605" s="50">
        <f>I1605/D1604</f>
        <v>73</v>
      </c>
      <c r="K1605" s="50">
        <f>60+13</f>
        <v>73</v>
      </c>
    </row>
    <row r="1606" spans="1:11" ht="15.75" customHeight="1" x14ac:dyDescent="0.25">
      <c r="A1606" s="215">
        <f>A1604+1</f>
        <v>32</v>
      </c>
      <c r="B1606" s="215">
        <v>262</v>
      </c>
      <c r="C1606" s="223" t="s">
        <v>648</v>
      </c>
      <c r="D1606" s="224">
        <v>990.5</v>
      </c>
      <c r="E1606" s="224" t="s">
        <v>73</v>
      </c>
      <c r="F1606" s="225">
        <v>3</v>
      </c>
      <c r="G1606" s="215" t="s">
        <v>74</v>
      </c>
      <c r="H1606" s="57" t="s">
        <v>66</v>
      </c>
      <c r="I1606" s="50">
        <f>I1607</f>
        <v>72306.5</v>
      </c>
      <c r="J1606" s="50">
        <f>J1607</f>
        <v>73</v>
      </c>
      <c r="K1606" s="50">
        <f>K1607</f>
        <v>73</v>
      </c>
    </row>
    <row r="1607" spans="1:11" ht="47.25" customHeight="1" x14ac:dyDescent="0.25">
      <c r="A1607" s="215"/>
      <c r="B1607" s="215"/>
      <c r="C1607" s="223"/>
      <c r="D1607" s="224"/>
      <c r="E1607" s="224"/>
      <c r="F1607" s="225"/>
      <c r="G1607" s="215"/>
      <c r="H1607" s="57" t="s">
        <v>168</v>
      </c>
      <c r="I1607" s="50">
        <f>D1606*K1607</f>
        <v>72306.5</v>
      </c>
      <c r="J1607" s="50">
        <f>I1607/D1606</f>
        <v>73</v>
      </c>
      <c r="K1607" s="50">
        <f>60+13</f>
        <v>73</v>
      </c>
    </row>
    <row r="1608" spans="1:11" ht="15.75" customHeight="1" x14ac:dyDescent="0.25">
      <c r="A1608" s="215">
        <f>A1606+1</f>
        <v>33</v>
      </c>
      <c r="B1608" s="215">
        <v>263</v>
      </c>
      <c r="C1608" s="223" t="s">
        <v>649</v>
      </c>
      <c r="D1608" s="224">
        <v>994.7</v>
      </c>
      <c r="E1608" s="224" t="s">
        <v>73</v>
      </c>
      <c r="F1608" s="225">
        <v>3</v>
      </c>
      <c r="G1608" s="215" t="s">
        <v>74</v>
      </c>
      <c r="H1608" s="57" t="s">
        <v>66</v>
      </c>
      <c r="I1608" s="50">
        <f>I1609</f>
        <v>72613.100000000006</v>
      </c>
      <c r="J1608" s="50">
        <f>J1609</f>
        <v>73</v>
      </c>
      <c r="K1608" s="50">
        <f>K1609</f>
        <v>73</v>
      </c>
    </row>
    <row r="1609" spans="1:11" ht="47.25" customHeight="1" x14ac:dyDescent="0.25">
      <c r="A1609" s="215"/>
      <c r="B1609" s="215"/>
      <c r="C1609" s="223"/>
      <c r="D1609" s="224"/>
      <c r="E1609" s="224"/>
      <c r="F1609" s="225"/>
      <c r="G1609" s="215"/>
      <c r="H1609" s="57" t="s">
        <v>168</v>
      </c>
      <c r="I1609" s="50">
        <f>D1608*K1609</f>
        <v>72613.100000000006</v>
      </c>
      <c r="J1609" s="50">
        <f>I1609/D1608</f>
        <v>73</v>
      </c>
      <c r="K1609" s="50">
        <f>60+13</f>
        <v>73</v>
      </c>
    </row>
    <row r="1610" spans="1:11" ht="15.75" customHeight="1" x14ac:dyDescent="0.25">
      <c r="A1610" s="216">
        <f>A1608+1</f>
        <v>34</v>
      </c>
      <c r="B1610" s="216">
        <v>888</v>
      </c>
      <c r="C1610" s="218" t="s">
        <v>598</v>
      </c>
      <c r="D1610" s="220">
        <v>3557.4</v>
      </c>
      <c r="E1610" s="216" t="s">
        <v>68</v>
      </c>
      <c r="F1610" s="216">
        <v>9</v>
      </c>
      <c r="G1610" s="105"/>
      <c r="H1610" s="57" t="s">
        <v>66</v>
      </c>
      <c r="I1610" s="50">
        <f>I1611+I1612+I1613+I1614</f>
        <v>4579236</v>
      </c>
      <c r="J1610" s="50">
        <f>J1611+J1612+J1613+J1614</f>
        <v>1287.24</v>
      </c>
      <c r="K1610" s="50">
        <f>K1611+K1612+K1613+K1614</f>
        <v>1287.24</v>
      </c>
    </row>
    <row r="1611" spans="1:11" ht="15.75" customHeight="1" x14ac:dyDescent="0.25">
      <c r="A1611" s="217"/>
      <c r="B1611" s="217"/>
      <c r="C1611" s="219"/>
      <c r="D1611" s="221"/>
      <c r="E1611" s="217"/>
      <c r="F1611" s="217"/>
      <c r="G1611" s="216" t="s">
        <v>170</v>
      </c>
      <c r="H1611" s="57" t="s">
        <v>171</v>
      </c>
      <c r="I1611" s="50">
        <v>2241647</v>
      </c>
      <c r="J1611" s="50">
        <f>I1611/D1610</f>
        <v>630.14</v>
      </c>
      <c r="K1611" s="50">
        <f>2241647/D1610</f>
        <v>630.14</v>
      </c>
    </row>
    <row r="1612" spans="1:11" ht="15.75" customHeight="1" x14ac:dyDescent="0.25">
      <c r="A1612" s="217"/>
      <c r="B1612" s="217"/>
      <c r="C1612" s="219"/>
      <c r="D1612" s="221"/>
      <c r="E1612" s="217"/>
      <c r="F1612" s="217"/>
      <c r="G1612" s="222"/>
      <c r="H1612" s="57" t="s">
        <v>69</v>
      </c>
      <c r="I1612" s="50">
        <v>47971</v>
      </c>
      <c r="J1612" s="50">
        <f>I1612/D1610</f>
        <v>13.48</v>
      </c>
      <c r="K1612" s="50">
        <f>47971/D1610</f>
        <v>13.48</v>
      </c>
    </row>
    <row r="1613" spans="1:11" ht="15.75" customHeight="1" x14ac:dyDescent="0.25">
      <c r="A1613" s="217"/>
      <c r="B1613" s="217"/>
      <c r="C1613" s="219"/>
      <c r="D1613" s="221"/>
      <c r="E1613" s="217"/>
      <c r="F1613" s="217"/>
      <c r="G1613" s="216" t="s">
        <v>173</v>
      </c>
      <c r="H1613" s="57" t="s">
        <v>171</v>
      </c>
      <c r="I1613" s="50">
        <v>2241647</v>
      </c>
      <c r="J1613" s="50">
        <f>I1613/D1610</f>
        <v>630.14</v>
      </c>
      <c r="K1613" s="50">
        <f>2241647/D1610</f>
        <v>630.14</v>
      </c>
    </row>
    <row r="1614" spans="1:11" ht="15.75" customHeight="1" x14ac:dyDescent="0.25">
      <c r="A1614" s="217"/>
      <c r="B1614" s="217"/>
      <c r="C1614" s="219"/>
      <c r="D1614" s="221"/>
      <c r="E1614" s="217"/>
      <c r="F1614" s="217"/>
      <c r="G1614" s="222"/>
      <c r="H1614" s="57" t="s">
        <v>69</v>
      </c>
      <c r="I1614" s="50">
        <v>47971</v>
      </c>
      <c r="J1614" s="50">
        <f>I1614/D1610</f>
        <v>13.48</v>
      </c>
      <c r="K1614" s="50">
        <f>47971/D1610</f>
        <v>13.48</v>
      </c>
    </row>
    <row r="1615" spans="1:11" ht="15.75" customHeight="1" x14ac:dyDescent="0.25">
      <c r="A1615" s="215">
        <f>A1610+1</f>
        <v>35</v>
      </c>
      <c r="B1615" s="215">
        <v>245</v>
      </c>
      <c r="C1615" s="223" t="s">
        <v>650</v>
      </c>
      <c r="D1615" s="224">
        <v>2691.8</v>
      </c>
      <c r="E1615" s="224" t="s">
        <v>68</v>
      </c>
      <c r="F1615" s="225">
        <v>4</v>
      </c>
      <c r="G1615" s="215" t="s">
        <v>74</v>
      </c>
      <c r="H1615" s="57" t="s">
        <v>66</v>
      </c>
      <c r="I1615" s="50">
        <f>I1616</f>
        <v>126514.6</v>
      </c>
      <c r="J1615" s="50">
        <f>J1616</f>
        <v>47</v>
      </c>
      <c r="K1615" s="50">
        <f>K1616</f>
        <v>47</v>
      </c>
    </row>
    <row r="1616" spans="1:11" ht="47.25" customHeight="1" x14ac:dyDescent="0.25">
      <c r="A1616" s="215"/>
      <c r="B1616" s="215"/>
      <c r="C1616" s="223"/>
      <c r="D1616" s="224"/>
      <c r="E1616" s="224"/>
      <c r="F1616" s="225"/>
      <c r="G1616" s="215"/>
      <c r="H1616" s="57" t="s">
        <v>168</v>
      </c>
      <c r="I1616" s="50">
        <f>D1615*K1616</f>
        <v>126514.6</v>
      </c>
      <c r="J1616" s="50">
        <f>I1616/D1615</f>
        <v>47</v>
      </c>
      <c r="K1616" s="50">
        <f>34+13</f>
        <v>47</v>
      </c>
    </row>
    <row r="1617" spans="1:11" ht="15.75" customHeight="1" x14ac:dyDescent="0.25">
      <c r="A1617" s="215">
        <f>A1615+1</f>
        <v>36</v>
      </c>
      <c r="B1617" s="215">
        <v>352</v>
      </c>
      <c r="C1617" s="223" t="s">
        <v>651</v>
      </c>
      <c r="D1617" s="224">
        <v>1250.22</v>
      </c>
      <c r="E1617" s="224" t="s">
        <v>68</v>
      </c>
      <c r="F1617" s="225">
        <v>4</v>
      </c>
      <c r="G1617" s="215" t="s">
        <v>74</v>
      </c>
      <c r="H1617" s="57" t="s">
        <v>66</v>
      </c>
      <c r="I1617" s="50">
        <f>I1618</f>
        <v>58760.34</v>
      </c>
      <c r="J1617" s="50">
        <f>J1618</f>
        <v>47</v>
      </c>
      <c r="K1617" s="50">
        <f>K1618</f>
        <v>47</v>
      </c>
    </row>
    <row r="1618" spans="1:11" ht="47.25" customHeight="1" x14ac:dyDescent="0.25">
      <c r="A1618" s="215"/>
      <c r="B1618" s="215"/>
      <c r="C1618" s="223"/>
      <c r="D1618" s="224"/>
      <c r="E1618" s="224"/>
      <c r="F1618" s="225"/>
      <c r="G1618" s="215"/>
      <c r="H1618" s="57" t="s">
        <v>168</v>
      </c>
      <c r="I1618" s="50">
        <f>D1617*K1618</f>
        <v>58760.34</v>
      </c>
      <c r="J1618" s="50">
        <f>I1618/D1617</f>
        <v>47</v>
      </c>
      <c r="K1618" s="50">
        <f>34+13</f>
        <v>47</v>
      </c>
    </row>
    <row r="1619" spans="1:11" ht="15.75" customHeight="1" x14ac:dyDescent="0.25">
      <c r="A1619" s="216">
        <f>A1617+1</f>
        <v>37</v>
      </c>
      <c r="B1619" s="216">
        <v>1239</v>
      </c>
      <c r="C1619" s="218" t="s">
        <v>652</v>
      </c>
      <c r="D1619" s="220">
        <v>4337.3999999999996</v>
      </c>
      <c r="E1619" s="216" t="s">
        <v>68</v>
      </c>
      <c r="F1619" s="216">
        <v>9</v>
      </c>
      <c r="G1619" s="105"/>
      <c r="H1619" s="57" t="s">
        <v>66</v>
      </c>
      <c r="I1619" s="50">
        <f>I1620+I1621+I1622</f>
        <v>96843</v>
      </c>
      <c r="J1619" s="50">
        <f>J1620+J1621+J1622</f>
        <v>22.33</v>
      </c>
      <c r="K1619" s="50">
        <f>K1620+K1621+K1622</f>
        <v>22.33</v>
      </c>
    </row>
    <row r="1620" spans="1:11" ht="47.25" customHeight="1" x14ac:dyDescent="0.25">
      <c r="A1620" s="217"/>
      <c r="B1620" s="217"/>
      <c r="C1620" s="219"/>
      <c r="D1620" s="221"/>
      <c r="E1620" s="217"/>
      <c r="F1620" s="217"/>
      <c r="G1620" s="102" t="s">
        <v>170</v>
      </c>
      <c r="H1620" s="57" t="s">
        <v>168</v>
      </c>
      <c r="I1620" s="50">
        <f>22681+9600</f>
        <v>32281</v>
      </c>
      <c r="J1620" s="50">
        <f>I1620/D1619</f>
        <v>7.44</v>
      </c>
      <c r="K1620" s="50">
        <f>32281/D1619</f>
        <v>7.44</v>
      </c>
    </row>
    <row r="1621" spans="1:11" ht="47.25" customHeight="1" x14ac:dyDescent="0.25">
      <c r="A1621" s="217"/>
      <c r="B1621" s="217"/>
      <c r="C1621" s="219"/>
      <c r="D1621" s="221"/>
      <c r="E1621" s="217"/>
      <c r="F1621" s="217"/>
      <c r="G1621" s="102" t="s">
        <v>173</v>
      </c>
      <c r="H1621" s="57" t="s">
        <v>168</v>
      </c>
      <c r="I1621" s="50">
        <f>22681+9600</f>
        <v>32281</v>
      </c>
      <c r="J1621" s="50">
        <f>I1621/D1619+0.01</f>
        <v>7.45</v>
      </c>
      <c r="K1621" s="50">
        <f>32281/D1619+0.01</f>
        <v>7.45</v>
      </c>
    </row>
    <row r="1622" spans="1:11" ht="47.25" customHeight="1" x14ac:dyDescent="0.25">
      <c r="A1622" s="217"/>
      <c r="B1622" s="217"/>
      <c r="C1622" s="219"/>
      <c r="D1622" s="221"/>
      <c r="E1622" s="217"/>
      <c r="F1622" s="217"/>
      <c r="G1622" s="102" t="s">
        <v>174</v>
      </c>
      <c r="H1622" s="57" t="s">
        <v>168</v>
      </c>
      <c r="I1622" s="50">
        <f>22681+9600</f>
        <v>32281</v>
      </c>
      <c r="J1622" s="50">
        <f>I1622/D1619</f>
        <v>7.44</v>
      </c>
      <c r="K1622" s="50">
        <f>32281/D1619</f>
        <v>7.44</v>
      </c>
    </row>
    <row r="1623" spans="1:11" x14ac:dyDescent="0.25">
      <c r="A1623" s="216">
        <f>A1619+1</f>
        <v>38</v>
      </c>
      <c r="B1623" s="216">
        <v>1242</v>
      </c>
      <c r="C1623" s="218" t="s">
        <v>198</v>
      </c>
      <c r="D1623" s="220">
        <v>10059.200000000001</v>
      </c>
      <c r="E1623" s="220" t="s">
        <v>64</v>
      </c>
      <c r="F1623" s="228">
        <v>9</v>
      </c>
      <c r="G1623" s="108"/>
      <c r="H1623" s="57" t="s">
        <v>66</v>
      </c>
      <c r="I1623" s="50">
        <f>I1624+I1625+I1626</f>
        <v>5701202.2800000003</v>
      </c>
      <c r="J1623" s="50">
        <f t="shared" ref="J1623:K1623" si="56">J1624+J1625+J1626</f>
        <v>566.76</v>
      </c>
      <c r="K1623" s="50">
        <f t="shared" si="56"/>
        <v>3347</v>
      </c>
    </row>
    <row r="1624" spans="1:11" ht="31.5" x14ac:dyDescent="0.25">
      <c r="A1624" s="217"/>
      <c r="B1624" s="217"/>
      <c r="C1624" s="219"/>
      <c r="D1624" s="217"/>
      <c r="E1624" s="221"/>
      <c r="F1624" s="229"/>
      <c r="G1624" s="102" t="s">
        <v>70</v>
      </c>
      <c r="H1624" s="57" t="s">
        <v>67</v>
      </c>
      <c r="I1624" s="50">
        <f>(12281670+69910+98965+6909)*1.02*1.2*0.3</f>
        <v>4574377.1100000003</v>
      </c>
      <c r="J1624" s="50">
        <f>I1624/D1623-0.01</f>
        <v>454.74</v>
      </c>
      <c r="K1624" s="50">
        <v>2292</v>
      </c>
    </row>
    <row r="1625" spans="1:11" ht="47.25" x14ac:dyDescent="0.25">
      <c r="A1625" s="217"/>
      <c r="B1625" s="217"/>
      <c r="C1625" s="219"/>
      <c r="D1625" s="217"/>
      <c r="E1625" s="221"/>
      <c r="F1625" s="229"/>
      <c r="G1625" s="102" t="s">
        <v>71</v>
      </c>
      <c r="H1625" s="57" t="s">
        <v>67</v>
      </c>
      <c r="I1625" s="50">
        <f>(1166903)*1.02*1.2*0.3</f>
        <v>428486.78</v>
      </c>
      <c r="J1625" s="50">
        <f>I1625/D1623</f>
        <v>42.6</v>
      </c>
      <c r="K1625" s="50">
        <v>513</v>
      </c>
    </row>
    <row r="1626" spans="1:11" ht="47.25" x14ac:dyDescent="0.25">
      <c r="A1626" s="217"/>
      <c r="B1626" s="217"/>
      <c r="C1626" s="219"/>
      <c r="D1626" s="217"/>
      <c r="E1626" s="221"/>
      <c r="F1626" s="229"/>
      <c r="G1626" s="102" t="s">
        <v>72</v>
      </c>
      <c r="H1626" s="57" t="s">
        <v>67</v>
      </c>
      <c r="I1626" s="50">
        <f>(1901793)*1.02*1.2*0.3</f>
        <v>698338.39</v>
      </c>
      <c r="J1626" s="50">
        <f>I1626/D1623</f>
        <v>69.42</v>
      </c>
      <c r="K1626" s="50">
        <v>542</v>
      </c>
    </row>
    <row r="1627" spans="1:11" x14ac:dyDescent="0.25">
      <c r="A1627" s="215">
        <f>A1623+1</f>
        <v>39</v>
      </c>
      <c r="B1627" s="215">
        <v>1836</v>
      </c>
      <c r="C1627" s="223" t="s">
        <v>196</v>
      </c>
      <c r="D1627" s="224">
        <v>10176.5</v>
      </c>
      <c r="E1627" s="224" t="s">
        <v>68</v>
      </c>
      <c r="F1627" s="225">
        <v>6</v>
      </c>
      <c r="G1627" s="215" t="s">
        <v>65</v>
      </c>
      <c r="H1627" s="57" t="s">
        <v>66</v>
      </c>
      <c r="I1627" s="50">
        <f>I1628+I1629</f>
        <v>24983598.579999998</v>
      </c>
      <c r="J1627" s="50">
        <f>J1628+J1629</f>
        <v>2455.0300000000002</v>
      </c>
      <c r="K1627" s="50">
        <f>K1628+K1629</f>
        <v>3749</v>
      </c>
    </row>
    <row r="1628" spans="1:11" ht="31.5" x14ac:dyDescent="0.25">
      <c r="A1628" s="215">
        <v>77</v>
      </c>
      <c r="B1628" s="215"/>
      <c r="C1628" s="223"/>
      <c r="D1628" s="215"/>
      <c r="E1628" s="224"/>
      <c r="F1628" s="225"/>
      <c r="G1628" s="215"/>
      <c r="H1628" s="57" t="s">
        <v>76</v>
      </c>
      <c r="I1628" s="50">
        <v>24460151.34</v>
      </c>
      <c r="J1628" s="50">
        <f>I1628/D1627</f>
        <v>2403.59</v>
      </c>
      <c r="K1628" s="50">
        <v>3670</v>
      </c>
    </row>
    <row r="1629" spans="1:11" x14ac:dyDescent="0.25">
      <c r="A1629" s="215"/>
      <c r="B1629" s="215"/>
      <c r="C1629" s="223"/>
      <c r="D1629" s="215"/>
      <c r="E1629" s="224"/>
      <c r="F1629" s="225"/>
      <c r="G1629" s="215"/>
      <c r="H1629" s="57" t="s">
        <v>69</v>
      </c>
      <c r="I1629" s="50">
        <f>I1628*0.0214</f>
        <v>523447.24</v>
      </c>
      <c r="J1629" s="50">
        <f>I1629/D1627</f>
        <v>51.44</v>
      </c>
      <c r="K1629" s="50">
        <v>79</v>
      </c>
    </row>
    <row r="1630" spans="1:11" ht="15.75" customHeight="1" x14ac:dyDescent="0.25">
      <c r="A1630" s="216">
        <f>A1627+1</f>
        <v>40</v>
      </c>
      <c r="B1630" s="216">
        <v>1397</v>
      </c>
      <c r="C1630" s="218" t="s">
        <v>653</v>
      </c>
      <c r="D1630" s="220">
        <v>7809.1</v>
      </c>
      <c r="E1630" s="216" t="s">
        <v>68</v>
      </c>
      <c r="F1630" s="216">
        <v>9</v>
      </c>
      <c r="G1630" s="105"/>
      <c r="H1630" s="57" t="s">
        <v>66</v>
      </c>
      <c r="I1630" s="50">
        <f>I1631+I1632+I1633+I1634</f>
        <v>129124</v>
      </c>
      <c r="J1630" s="50">
        <f>J1631+J1632+J1633+J1634</f>
        <v>16.54</v>
      </c>
      <c r="K1630" s="50">
        <f>K1631+K1632+K1633+K1634</f>
        <v>16.54</v>
      </c>
    </row>
    <row r="1631" spans="1:11" ht="47.25" customHeight="1" x14ac:dyDescent="0.25">
      <c r="A1631" s="217"/>
      <c r="B1631" s="217"/>
      <c r="C1631" s="219"/>
      <c r="D1631" s="221"/>
      <c r="E1631" s="217"/>
      <c r="F1631" s="217"/>
      <c r="G1631" s="102" t="s">
        <v>170</v>
      </c>
      <c r="H1631" s="57" t="s">
        <v>168</v>
      </c>
      <c r="I1631" s="50">
        <f>22681+9600</f>
        <v>32281</v>
      </c>
      <c r="J1631" s="50">
        <f>I1631/D1630+0.01</f>
        <v>4.1399999999999997</v>
      </c>
      <c r="K1631" s="50">
        <f>32281/D1630+0.01</f>
        <v>4.1399999999999997</v>
      </c>
    </row>
    <row r="1632" spans="1:11" ht="47.25" customHeight="1" x14ac:dyDescent="0.25">
      <c r="A1632" s="217"/>
      <c r="B1632" s="217"/>
      <c r="C1632" s="219"/>
      <c r="D1632" s="221"/>
      <c r="E1632" s="217"/>
      <c r="F1632" s="217"/>
      <c r="G1632" s="102" t="s">
        <v>173</v>
      </c>
      <c r="H1632" s="57" t="s">
        <v>168</v>
      </c>
      <c r="I1632" s="50">
        <f>22681+9600</f>
        <v>32281</v>
      </c>
      <c r="J1632" s="50">
        <f>I1632/D1630</f>
        <v>4.13</v>
      </c>
      <c r="K1632" s="50">
        <f>32281/D1630</f>
        <v>4.13</v>
      </c>
    </row>
    <row r="1633" spans="1:11" ht="47.25" customHeight="1" x14ac:dyDescent="0.25">
      <c r="A1633" s="217"/>
      <c r="B1633" s="217"/>
      <c r="C1633" s="219"/>
      <c r="D1633" s="221"/>
      <c r="E1633" s="217"/>
      <c r="F1633" s="217"/>
      <c r="G1633" s="102" t="s">
        <v>174</v>
      </c>
      <c r="H1633" s="57" t="s">
        <v>168</v>
      </c>
      <c r="I1633" s="50">
        <f>22681+9600</f>
        <v>32281</v>
      </c>
      <c r="J1633" s="50">
        <f>I1633/D1630+0.01</f>
        <v>4.1399999999999997</v>
      </c>
      <c r="K1633" s="50">
        <f>32281/D1630+0.01</f>
        <v>4.1399999999999997</v>
      </c>
    </row>
    <row r="1634" spans="1:11" ht="47.25" customHeight="1" x14ac:dyDescent="0.25">
      <c r="A1634" s="217"/>
      <c r="B1634" s="217"/>
      <c r="C1634" s="219"/>
      <c r="D1634" s="221"/>
      <c r="E1634" s="217"/>
      <c r="F1634" s="217"/>
      <c r="G1634" s="102" t="s">
        <v>175</v>
      </c>
      <c r="H1634" s="57" t="s">
        <v>168</v>
      </c>
      <c r="I1634" s="50">
        <f>22681+9600</f>
        <v>32281</v>
      </c>
      <c r="J1634" s="50">
        <f>I1634/D1630</f>
        <v>4.13</v>
      </c>
      <c r="K1634" s="50">
        <f>32281/D1630</f>
        <v>4.13</v>
      </c>
    </row>
    <row r="1635" spans="1:11" ht="15.75" customHeight="1" x14ac:dyDescent="0.25">
      <c r="A1635" s="216">
        <f>A1630+1</f>
        <v>41</v>
      </c>
      <c r="B1635" s="216">
        <v>1938</v>
      </c>
      <c r="C1635" s="218" t="s">
        <v>599</v>
      </c>
      <c r="D1635" s="220">
        <v>1618</v>
      </c>
      <c r="E1635" s="220" t="s">
        <v>68</v>
      </c>
      <c r="F1635" s="228">
        <v>4</v>
      </c>
      <c r="G1635" s="108"/>
      <c r="H1635" s="57" t="s">
        <v>66</v>
      </c>
      <c r="I1635" s="50">
        <f>I1636+I1637+I1638+I1639+I1640+I1641+I1642+I1643</f>
        <v>7373226</v>
      </c>
      <c r="J1635" s="50">
        <f>J1636+J1637+J1638+J1639+J1640+J1641+J1642+J1643</f>
        <v>4557</v>
      </c>
      <c r="K1635" s="50">
        <f>K1636+K1637+K1638+K1639+K1640+K1641+K1642+K1643</f>
        <v>4557</v>
      </c>
    </row>
    <row r="1636" spans="1:11" ht="15.75" customHeight="1" x14ac:dyDescent="0.25">
      <c r="A1636" s="217"/>
      <c r="B1636" s="217"/>
      <c r="C1636" s="219"/>
      <c r="D1636" s="217"/>
      <c r="E1636" s="221"/>
      <c r="F1636" s="229"/>
      <c r="G1636" s="216" t="s">
        <v>70</v>
      </c>
      <c r="H1636" s="57" t="s">
        <v>67</v>
      </c>
      <c r="I1636" s="50">
        <f>D1635*K1636</f>
        <v>4709998</v>
      </c>
      <c r="J1636" s="50">
        <f>I1636/D1635</f>
        <v>2911</v>
      </c>
      <c r="K1636" s="50">
        <v>2911</v>
      </c>
    </row>
    <row r="1637" spans="1:11" ht="15.75" customHeight="1" x14ac:dyDescent="0.25">
      <c r="A1637" s="217"/>
      <c r="B1637" s="217"/>
      <c r="C1637" s="219"/>
      <c r="D1637" s="217"/>
      <c r="E1637" s="221"/>
      <c r="F1637" s="229"/>
      <c r="G1637" s="222"/>
      <c r="H1637" s="57" t="s">
        <v>69</v>
      </c>
      <c r="I1637" s="50">
        <f>D1635*K1637</f>
        <v>100316</v>
      </c>
      <c r="J1637" s="50">
        <f>I1637/D1635</f>
        <v>62</v>
      </c>
      <c r="K1637" s="50">
        <v>62</v>
      </c>
    </row>
    <row r="1638" spans="1:11" ht="15.75" customHeight="1" x14ac:dyDescent="0.25">
      <c r="A1638" s="217"/>
      <c r="B1638" s="217"/>
      <c r="C1638" s="219"/>
      <c r="D1638" s="217"/>
      <c r="E1638" s="221"/>
      <c r="F1638" s="229"/>
      <c r="G1638" s="216" t="s">
        <v>71</v>
      </c>
      <c r="H1638" s="57" t="s">
        <v>67</v>
      </c>
      <c r="I1638" s="50">
        <f>D1635*K1638</f>
        <v>830034</v>
      </c>
      <c r="J1638" s="50">
        <f>I1638/D1635</f>
        <v>513</v>
      </c>
      <c r="K1638" s="50">
        <v>513</v>
      </c>
    </row>
    <row r="1639" spans="1:11" ht="15.75" customHeight="1" x14ac:dyDescent="0.25">
      <c r="A1639" s="217"/>
      <c r="B1639" s="217"/>
      <c r="C1639" s="219"/>
      <c r="D1639" s="217"/>
      <c r="E1639" s="221"/>
      <c r="F1639" s="229"/>
      <c r="G1639" s="222"/>
      <c r="H1639" s="57" t="s">
        <v>69</v>
      </c>
      <c r="I1639" s="50">
        <f>D1635*K1639</f>
        <v>17798</v>
      </c>
      <c r="J1639" s="50">
        <f>I1639/D1635</f>
        <v>11</v>
      </c>
      <c r="K1639" s="50">
        <v>11</v>
      </c>
    </row>
    <row r="1640" spans="1:11" ht="15.75" customHeight="1" x14ac:dyDescent="0.25">
      <c r="A1640" s="217"/>
      <c r="B1640" s="217"/>
      <c r="C1640" s="219"/>
      <c r="D1640" s="217"/>
      <c r="E1640" s="221"/>
      <c r="F1640" s="229"/>
      <c r="G1640" s="216" t="s">
        <v>72</v>
      </c>
      <c r="H1640" s="57" t="s">
        <v>67</v>
      </c>
      <c r="I1640" s="50">
        <f>D1635*K1640</f>
        <v>876956</v>
      </c>
      <c r="J1640" s="50">
        <f>I1640/D1635</f>
        <v>542</v>
      </c>
      <c r="K1640" s="50">
        <v>542</v>
      </c>
    </row>
    <row r="1641" spans="1:11" ht="15.75" customHeight="1" x14ac:dyDescent="0.25">
      <c r="A1641" s="217"/>
      <c r="B1641" s="217"/>
      <c r="C1641" s="219"/>
      <c r="D1641" s="217"/>
      <c r="E1641" s="221"/>
      <c r="F1641" s="229"/>
      <c r="G1641" s="222"/>
      <c r="H1641" s="57" t="s">
        <v>69</v>
      </c>
      <c r="I1641" s="50">
        <f>D1635*K1641</f>
        <v>19416</v>
      </c>
      <c r="J1641" s="50">
        <f>I1641/D1635</f>
        <v>12</v>
      </c>
      <c r="K1641" s="50">
        <v>12</v>
      </c>
    </row>
    <row r="1642" spans="1:11" ht="15.75" customHeight="1" x14ac:dyDescent="0.25">
      <c r="A1642" s="217"/>
      <c r="B1642" s="217"/>
      <c r="C1642" s="219"/>
      <c r="D1642" s="217"/>
      <c r="E1642" s="221"/>
      <c r="F1642" s="229"/>
      <c r="G1642" s="216" t="s">
        <v>78</v>
      </c>
      <c r="H1642" s="57" t="s">
        <v>67</v>
      </c>
      <c r="I1642" s="50">
        <f>D1635*K1642</f>
        <v>784730</v>
      </c>
      <c r="J1642" s="50">
        <f>I1642/D1635</f>
        <v>485</v>
      </c>
      <c r="K1642" s="50">
        <v>485</v>
      </c>
    </row>
    <row r="1643" spans="1:11" ht="15.75" customHeight="1" x14ac:dyDescent="0.25">
      <c r="A1643" s="222"/>
      <c r="B1643" s="222"/>
      <c r="C1643" s="226"/>
      <c r="D1643" s="222"/>
      <c r="E1643" s="227"/>
      <c r="F1643" s="230"/>
      <c r="G1643" s="222"/>
      <c r="H1643" s="57" t="s">
        <v>69</v>
      </c>
      <c r="I1643" s="50">
        <f>D1635*K1643</f>
        <v>33978</v>
      </c>
      <c r="J1643" s="50">
        <f>I1643/D1635</f>
        <v>21</v>
      </c>
      <c r="K1643" s="50">
        <v>21</v>
      </c>
    </row>
    <row r="1644" spans="1:11" x14ac:dyDescent="0.25">
      <c r="A1644" s="216">
        <f>A1635+1</f>
        <v>42</v>
      </c>
      <c r="B1644" s="216">
        <v>1275</v>
      </c>
      <c r="C1644" s="218" t="s">
        <v>197</v>
      </c>
      <c r="D1644" s="220">
        <v>3224.4</v>
      </c>
      <c r="E1644" s="220" t="s">
        <v>68</v>
      </c>
      <c r="F1644" s="228">
        <v>6</v>
      </c>
      <c r="G1644" s="108"/>
      <c r="H1644" s="57" t="s">
        <v>66</v>
      </c>
      <c r="I1644" s="50">
        <f>I1645+I1646+I1647+I1648+I1649+I1650</f>
        <v>10093825.689999999</v>
      </c>
      <c r="J1644" s="50">
        <f>J1645+J1646+J1647+J1648+J1649+J1650</f>
        <v>3130.45</v>
      </c>
      <c r="K1644" s="50">
        <f>K1645+K1646+K1647+K1648+K1649+K1650</f>
        <v>4051</v>
      </c>
    </row>
    <row r="1645" spans="1:11" x14ac:dyDescent="0.25">
      <c r="A1645" s="217"/>
      <c r="B1645" s="217"/>
      <c r="C1645" s="219"/>
      <c r="D1645" s="217"/>
      <c r="E1645" s="221"/>
      <c r="F1645" s="229"/>
      <c r="G1645" s="216" t="s">
        <v>70</v>
      </c>
      <c r="H1645" s="57" t="s">
        <v>67</v>
      </c>
      <c r="I1645" s="50">
        <v>7942676</v>
      </c>
      <c r="J1645" s="50">
        <f>I1645/D1644+0.01</f>
        <v>2463.31</v>
      </c>
      <c r="K1645" s="50">
        <v>2911</v>
      </c>
    </row>
    <row r="1646" spans="1:11" x14ac:dyDescent="0.25">
      <c r="A1646" s="217"/>
      <c r="B1646" s="217"/>
      <c r="C1646" s="219"/>
      <c r="D1646" s="217"/>
      <c r="E1646" s="221"/>
      <c r="F1646" s="229"/>
      <c r="G1646" s="222"/>
      <c r="H1646" s="57" t="s">
        <v>69</v>
      </c>
      <c r="I1646" s="50">
        <f>I1645*0.0214</f>
        <v>169973.27</v>
      </c>
      <c r="J1646" s="50">
        <f>I1646/D1644</f>
        <v>52.71</v>
      </c>
      <c r="K1646" s="50">
        <v>62</v>
      </c>
    </row>
    <row r="1647" spans="1:11" x14ac:dyDescent="0.25">
      <c r="A1647" s="217"/>
      <c r="B1647" s="217"/>
      <c r="C1647" s="219"/>
      <c r="D1647" s="217"/>
      <c r="E1647" s="221"/>
      <c r="F1647" s="229"/>
      <c r="G1647" s="216" t="s">
        <v>71</v>
      </c>
      <c r="H1647" s="57" t="s">
        <v>67</v>
      </c>
      <c r="I1647" s="50">
        <v>596856.19999999995</v>
      </c>
      <c r="J1647" s="50">
        <f>I1647/D1644</f>
        <v>185.11</v>
      </c>
      <c r="K1647" s="50">
        <v>513</v>
      </c>
    </row>
    <row r="1648" spans="1:11" x14ac:dyDescent="0.25">
      <c r="A1648" s="217"/>
      <c r="B1648" s="217"/>
      <c r="C1648" s="219"/>
      <c r="D1648" s="217"/>
      <c r="E1648" s="221"/>
      <c r="F1648" s="229"/>
      <c r="G1648" s="222"/>
      <c r="H1648" s="57" t="s">
        <v>69</v>
      </c>
      <c r="I1648" s="50">
        <f>I1647*0.0214</f>
        <v>12772.72</v>
      </c>
      <c r="J1648" s="50">
        <f>I1648/D1644</f>
        <v>3.96</v>
      </c>
      <c r="K1648" s="50">
        <v>11</v>
      </c>
    </row>
    <row r="1649" spans="1:11" x14ac:dyDescent="0.25">
      <c r="A1649" s="217"/>
      <c r="B1649" s="217"/>
      <c r="C1649" s="219"/>
      <c r="D1649" s="217"/>
      <c r="E1649" s="221"/>
      <c r="F1649" s="229"/>
      <c r="G1649" s="216" t="s">
        <v>72</v>
      </c>
      <c r="H1649" s="57" t="s">
        <v>67</v>
      </c>
      <c r="I1649" s="50">
        <v>1342811.34</v>
      </c>
      <c r="J1649" s="50">
        <f>I1649/D1644</f>
        <v>416.45</v>
      </c>
      <c r="K1649" s="50">
        <v>542</v>
      </c>
    </row>
    <row r="1650" spans="1:11" x14ac:dyDescent="0.25">
      <c r="A1650" s="222"/>
      <c r="B1650" s="222"/>
      <c r="C1650" s="226"/>
      <c r="D1650" s="222"/>
      <c r="E1650" s="227"/>
      <c r="F1650" s="230"/>
      <c r="G1650" s="222"/>
      <c r="H1650" s="57" t="s">
        <v>69</v>
      </c>
      <c r="I1650" s="50">
        <f>I1649*0.0214</f>
        <v>28736.16</v>
      </c>
      <c r="J1650" s="50">
        <f>I1650/D1644</f>
        <v>8.91</v>
      </c>
      <c r="K1650" s="50">
        <v>12</v>
      </c>
    </row>
    <row r="1651" spans="1:11" x14ac:dyDescent="0.25">
      <c r="A1651" s="215">
        <f>A1644+1</f>
        <v>43</v>
      </c>
      <c r="B1651" s="215">
        <v>1279</v>
      </c>
      <c r="C1651" s="223" t="s">
        <v>374</v>
      </c>
      <c r="D1651" s="224">
        <v>4031.2</v>
      </c>
      <c r="E1651" s="224" t="s">
        <v>68</v>
      </c>
      <c r="F1651" s="225">
        <v>5</v>
      </c>
      <c r="G1651" s="215" t="s">
        <v>65</v>
      </c>
      <c r="H1651" s="57" t="s">
        <v>66</v>
      </c>
      <c r="I1651" s="50">
        <f>I1652</f>
        <v>635619.46</v>
      </c>
      <c r="J1651" s="50">
        <f>J1652</f>
        <v>157.68</v>
      </c>
      <c r="K1651" s="50">
        <f>K1652</f>
        <v>169</v>
      </c>
    </row>
    <row r="1652" spans="1:11" ht="63" x14ac:dyDescent="0.25">
      <c r="A1652" s="215"/>
      <c r="B1652" s="215"/>
      <c r="C1652" s="223"/>
      <c r="D1652" s="224"/>
      <c r="E1652" s="224"/>
      <c r="F1652" s="225"/>
      <c r="G1652" s="215"/>
      <c r="H1652" s="57" t="s">
        <v>168</v>
      </c>
      <c r="I1652" s="50">
        <v>635619.46</v>
      </c>
      <c r="J1652" s="50">
        <f>I1652/D1651</f>
        <v>157.68</v>
      </c>
      <c r="K1652" s="50">
        <f>151+18</f>
        <v>169</v>
      </c>
    </row>
    <row r="1653" spans="1:11" ht="15.75" customHeight="1" x14ac:dyDescent="0.25">
      <c r="A1653" s="216">
        <f>A1651+1</f>
        <v>44</v>
      </c>
      <c r="B1653" s="216">
        <v>1021</v>
      </c>
      <c r="C1653" s="218" t="s">
        <v>600</v>
      </c>
      <c r="D1653" s="220">
        <v>8061.42</v>
      </c>
      <c r="E1653" s="216" t="s">
        <v>68</v>
      </c>
      <c r="F1653" s="216">
        <v>10</v>
      </c>
      <c r="G1653" s="105"/>
      <c r="H1653" s="57" t="s">
        <v>66</v>
      </c>
      <c r="I1653" s="50">
        <f>I1654+I1655+I1656+I1657+I1658+I1659+I1660+I1661</f>
        <v>10045492</v>
      </c>
      <c r="J1653" s="50">
        <f>J1654+J1655+J1656+J1657+J1658+J1659+J1660+J1661</f>
        <v>1246.1199999999999</v>
      </c>
      <c r="K1653" s="50">
        <f>K1654+K1655+K1656+K1657+K1658+K1659+K1660+K1661</f>
        <v>1246.1199999999999</v>
      </c>
    </row>
    <row r="1654" spans="1:11" ht="15.75" customHeight="1" x14ac:dyDescent="0.25">
      <c r="A1654" s="217"/>
      <c r="B1654" s="217"/>
      <c r="C1654" s="219"/>
      <c r="D1654" s="221"/>
      <c r="E1654" s="217"/>
      <c r="F1654" s="217"/>
      <c r="G1654" s="216" t="s">
        <v>170</v>
      </c>
      <c r="H1654" s="57" t="s">
        <v>171</v>
      </c>
      <c r="I1654" s="50">
        <v>2458756</v>
      </c>
      <c r="J1654" s="50">
        <f>I1654/D1653</f>
        <v>305</v>
      </c>
      <c r="K1654" s="50">
        <f>2458756/D1653</f>
        <v>305</v>
      </c>
    </row>
    <row r="1655" spans="1:11" ht="15.75" customHeight="1" x14ac:dyDescent="0.25">
      <c r="A1655" s="217"/>
      <c r="B1655" s="217"/>
      <c r="C1655" s="219"/>
      <c r="D1655" s="221"/>
      <c r="E1655" s="217"/>
      <c r="F1655" s="217"/>
      <c r="G1655" s="222"/>
      <c r="H1655" s="57" t="s">
        <v>69</v>
      </c>
      <c r="I1655" s="50">
        <v>52617</v>
      </c>
      <c r="J1655" s="50">
        <f>I1655/D1653</f>
        <v>6.53</v>
      </c>
      <c r="K1655" s="50">
        <f>52617/D1653</f>
        <v>6.53</v>
      </c>
    </row>
    <row r="1656" spans="1:11" ht="15.75" customHeight="1" x14ac:dyDescent="0.25">
      <c r="A1656" s="217"/>
      <c r="B1656" s="217"/>
      <c r="C1656" s="219"/>
      <c r="D1656" s="221"/>
      <c r="E1656" s="217"/>
      <c r="F1656" s="217"/>
      <c r="G1656" s="216" t="s">
        <v>173</v>
      </c>
      <c r="H1656" s="57" t="s">
        <v>171</v>
      </c>
      <c r="I1656" s="50">
        <v>2458756</v>
      </c>
      <c r="J1656" s="50">
        <f>I1656/D1653</f>
        <v>305</v>
      </c>
      <c r="K1656" s="50">
        <f>2458756/D1653</f>
        <v>305</v>
      </c>
    </row>
    <row r="1657" spans="1:11" ht="15.75" customHeight="1" x14ac:dyDescent="0.25">
      <c r="A1657" s="217"/>
      <c r="B1657" s="217"/>
      <c r="C1657" s="219"/>
      <c r="D1657" s="221"/>
      <c r="E1657" s="217"/>
      <c r="F1657" s="217"/>
      <c r="G1657" s="222"/>
      <c r="H1657" s="57" t="s">
        <v>69</v>
      </c>
      <c r="I1657" s="50">
        <v>52617</v>
      </c>
      <c r="J1657" s="50">
        <f>I1657/D1653</f>
        <v>6.53</v>
      </c>
      <c r="K1657" s="50">
        <f>52617/D1653</f>
        <v>6.53</v>
      </c>
    </row>
    <row r="1658" spans="1:11" ht="15.75" customHeight="1" x14ac:dyDescent="0.25">
      <c r="A1658" s="217"/>
      <c r="B1658" s="217"/>
      <c r="C1658" s="219"/>
      <c r="D1658" s="221"/>
      <c r="E1658" s="217"/>
      <c r="F1658" s="217"/>
      <c r="G1658" s="216" t="s">
        <v>174</v>
      </c>
      <c r="H1658" s="57" t="s">
        <v>171</v>
      </c>
      <c r="I1658" s="50">
        <v>2458756</v>
      </c>
      <c r="J1658" s="50">
        <f>I1658/D1653</f>
        <v>305</v>
      </c>
      <c r="K1658" s="50">
        <f>2458756/D1653</f>
        <v>305</v>
      </c>
    </row>
    <row r="1659" spans="1:11" ht="15.75" customHeight="1" x14ac:dyDescent="0.25">
      <c r="A1659" s="217"/>
      <c r="B1659" s="217"/>
      <c r="C1659" s="219"/>
      <c r="D1659" s="221"/>
      <c r="E1659" s="217"/>
      <c r="F1659" s="217"/>
      <c r="G1659" s="222"/>
      <c r="H1659" s="57" t="s">
        <v>69</v>
      </c>
      <c r="I1659" s="50">
        <v>52617</v>
      </c>
      <c r="J1659" s="50">
        <f>I1659/D1653</f>
        <v>6.53</v>
      </c>
      <c r="K1659" s="50">
        <f>52617/D1653</f>
        <v>6.53</v>
      </c>
    </row>
    <row r="1660" spans="1:11" ht="15.75" customHeight="1" x14ac:dyDescent="0.25">
      <c r="A1660" s="217"/>
      <c r="B1660" s="217"/>
      <c r="C1660" s="219"/>
      <c r="D1660" s="221"/>
      <c r="E1660" s="217"/>
      <c r="F1660" s="217"/>
      <c r="G1660" s="216" t="s">
        <v>175</v>
      </c>
      <c r="H1660" s="57" t="s">
        <v>171</v>
      </c>
      <c r="I1660" s="50">
        <v>2458756</v>
      </c>
      <c r="J1660" s="50">
        <f>I1660/D1653</f>
        <v>305</v>
      </c>
      <c r="K1660" s="50">
        <f>2458756/D1653</f>
        <v>305</v>
      </c>
    </row>
    <row r="1661" spans="1:11" ht="15.75" customHeight="1" x14ac:dyDescent="0.25">
      <c r="A1661" s="222"/>
      <c r="B1661" s="222"/>
      <c r="C1661" s="226"/>
      <c r="D1661" s="227"/>
      <c r="E1661" s="222"/>
      <c r="F1661" s="222"/>
      <c r="G1661" s="222"/>
      <c r="H1661" s="57" t="s">
        <v>69</v>
      </c>
      <c r="I1661" s="50">
        <v>52617</v>
      </c>
      <c r="J1661" s="50">
        <f>I1661/D1653</f>
        <v>6.53</v>
      </c>
      <c r="K1661" s="50">
        <f>52617/D1653</f>
        <v>6.53</v>
      </c>
    </row>
    <row r="1662" spans="1:11" ht="15.75" customHeight="1" x14ac:dyDescent="0.25">
      <c r="A1662" s="216">
        <f>A1653+1</f>
        <v>45</v>
      </c>
      <c r="B1662" s="216">
        <v>1284</v>
      </c>
      <c r="C1662" s="218" t="s">
        <v>601</v>
      </c>
      <c r="D1662" s="220">
        <v>3691.9</v>
      </c>
      <c r="E1662" s="216" t="s">
        <v>64</v>
      </c>
      <c r="F1662" s="216">
        <v>10</v>
      </c>
      <c r="G1662" s="105"/>
      <c r="H1662" s="57" t="s">
        <v>66</v>
      </c>
      <c r="I1662" s="50">
        <f>I1663+I1664+I1665+I1666</f>
        <v>4579236</v>
      </c>
      <c r="J1662" s="50">
        <f>J1663+J1664+J1665+J1666</f>
        <v>1240.3499999999999</v>
      </c>
      <c r="K1662" s="50">
        <f>K1663+K1664+K1665+K1666</f>
        <v>1240.3499999999999</v>
      </c>
    </row>
    <row r="1663" spans="1:11" ht="15.75" customHeight="1" x14ac:dyDescent="0.25">
      <c r="A1663" s="217"/>
      <c r="B1663" s="217"/>
      <c r="C1663" s="219"/>
      <c r="D1663" s="221"/>
      <c r="E1663" s="217"/>
      <c r="F1663" s="217"/>
      <c r="G1663" s="216" t="s">
        <v>170</v>
      </c>
      <c r="H1663" s="57" t="s">
        <v>171</v>
      </c>
      <c r="I1663" s="50">
        <f>2241647</f>
        <v>2241647</v>
      </c>
      <c r="J1663" s="50">
        <f>I1663/D1662</f>
        <v>607.17999999999995</v>
      </c>
      <c r="K1663" s="50">
        <f>2241647/D1662</f>
        <v>607.17999999999995</v>
      </c>
    </row>
    <row r="1664" spans="1:11" ht="15.75" customHeight="1" x14ac:dyDescent="0.25">
      <c r="A1664" s="217"/>
      <c r="B1664" s="217"/>
      <c r="C1664" s="219"/>
      <c r="D1664" s="221"/>
      <c r="E1664" s="217"/>
      <c r="F1664" s="217"/>
      <c r="G1664" s="222"/>
      <c r="H1664" s="57" t="s">
        <v>69</v>
      </c>
      <c r="I1664" s="50">
        <v>47971</v>
      </c>
      <c r="J1664" s="50">
        <f>I1664/D1662</f>
        <v>12.99</v>
      </c>
      <c r="K1664" s="50">
        <f>47971/D1662</f>
        <v>12.99</v>
      </c>
    </row>
    <row r="1665" spans="1:11" ht="15.75" customHeight="1" x14ac:dyDescent="0.25">
      <c r="A1665" s="217"/>
      <c r="B1665" s="217"/>
      <c r="C1665" s="219"/>
      <c r="D1665" s="221"/>
      <c r="E1665" s="217"/>
      <c r="F1665" s="217"/>
      <c r="G1665" s="216" t="s">
        <v>173</v>
      </c>
      <c r="H1665" s="57" t="s">
        <v>171</v>
      </c>
      <c r="I1665" s="50">
        <f>2241647</f>
        <v>2241647</v>
      </c>
      <c r="J1665" s="50">
        <f>I1665/D1662+0.01</f>
        <v>607.19000000000005</v>
      </c>
      <c r="K1665" s="50">
        <f>2241647/D1662+0.01</f>
        <v>607.19000000000005</v>
      </c>
    </row>
    <row r="1666" spans="1:11" ht="15.75" customHeight="1" x14ac:dyDescent="0.25">
      <c r="A1666" s="217"/>
      <c r="B1666" s="217"/>
      <c r="C1666" s="219"/>
      <c r="D1666" s="221"/>
      <c r="E1666" s="217"/>
      <c r="F1666" s="217"/>
      <c r="G1666" s="222"/>
      <c r="H1666" s="57" t="s">
        <v>69</v>
      </c>
      <c r="I1666" s="50">
        <v>47971</v>
      </c>
      <c r="J1666" s="50">
        <f>I1666/D1662</f>
        <v>12.99</v>
      </c>
      <c r="K1666" s="50">
        <f>47971/D1662</f>
        <v>12.99</v>
      </c>
    </row>
    <row r="1667" spans="1:11" ht="15.75" customHeight="1" x14ac:dyDescent="0.25">
      <c r="A1667" s="216">
        <f>A1662+1</f>
        <v>46</v>
      </c>
      <c r="B1667" s="216">
        <v>1292</v>
      </c>
      <c r="C1667" s="218" t="s">
        <v>602</v>
      </c>
      <c r="D1667" s="220">
        <v>9049.9</v>
      </c>
      <c r="E1667" s="216" t="s">
        <v>64</v>
      </c>
      <c r="F1667" s="216">
        <v>10</v>
      </c>
      <c r="G1667" s="105"/>
      <c r="H1667" s="57" t="s">
        <v>66</v>
      </c>
      <c r="I1667" s="50">
        <f>I1668+I1669</f>
        <v>2289618</v>
      </c>
      <c r="J1667" s="50">
        <f>J1668+J1669</f>
        <v>253</v>
      </c>
      <c r="K1667" s="50">
        <f>K1668+K1669</f>
        <v>253</v>
      </c>
    </row>
    <row r="1668" spans="1:11" ht="15.75" customHeight="1" x14ac:dyDescent="0.25">
      <c r="A1668" s="217"/>
      <c r="B1668" s="217"/>
      <c r="C1668" s="219"/>
      <c r="D1668" s="221"/>
      <c r="E1668" s="217"/>
      <c r="F1668" s="217"/>
      <c r="G1668" s="216" t="s">
        <v>170</v>
      </c>
      <c r="H1668" s="57" t="s">
        <v>171</v>
      </c>
      <c r="I1668" s="50">
        <v>2241647</v>
      </c>
      <c r="J1668" s="50">
        <f>I1668/D1667</f>
        <v>247.7</v>
      </c>
      <c r="K1668" s="50">
        <f>2241647/D1667</f>
        <v>247.7</v>
      </c>
    </row>
    <row r="1669" spans="1:11" ht="15.75" customHeight="1" x14ac:dyDescent="0.25">
      <c r="A1669" s="217"/>
      <c r="B1669" s="217"/>
      <c r="C1669" s="219"/>
      <c r="D1669" s="221"/>
      <c r="E1669" s="217"/>
      <c r="F1669" s="217"/>
      <c r="G1669" s="222"/>
      <c r="H1669" s="57" t="s">
        <v>69</v>
      </c>
      <c r="I1669" s="50">
        <v>47971</v>
      </c>
      <c r="J1669" s="50">
        <f>I1669/D1667</f>
        <v>5.3</v>
      </c>
      <c r="K1669" s="50">
        <f>47971/D1667</f>
        <v>5.3</v>
      </c>
    </row>
    <row r="1670" spans="1:11" ht="15.75" customHeight="1" x14ac:dyDescent="0.25">
      <c r="A1670" s="215">
        <f>A1667+1</f>
        <v>47</v>
      </c>
      <c r="B1670" s="215">
        <v>1020</v>
      </c>
      <c r="C1670" s="223" t="s">
        <v>654</v>
      </c>
      <c r="D1670" s="224">
        <v>2062.31</v>
      </c>
      <c r="E1670" s="224" t="s">
        <v>68</v>
      </c>
      <c r="F1670" s="225">
        <v>3</v>
      </c>
      <c r="G1670" s="215" t="s">
        <v>74</v>
      </c>
      <c r="H1670" s="57" t="s">
        <v>66</v>
      </c>
      <c r="I1670" s="50">
        <f>I1671</f>
        <v>96928.57</v>
      </c>
      <c r="J1670" s="50">
        <f>J1671</f>
        <v>47</v>
      </c>
      <c r="K1670" s="50">
        <f>K1671</f>
        <v>47</v>
      </c>
    </row>
    <row r="1671" spans="1:11" ht="47.25" customHeight="1" x14ac:dyDescent="0.25">
      <c r="A1671" s="215"/>
      <c r="B1671" s="215"/>
      <c r="C1671" s="223"/>
      <c r="D1671" s="224"/>
      <c r="E1671" s="224"/>
      <c r="F1671" s="225"/>
      <c r="G1671" s="215"/>
      <c r="H1671" s="57" t="s">
        <v>168</v>
      </c>
      <c r="I1671" s="50">
        <f>D1670*K1671</f>
        <v>96928.57</v>
      </c>
      <c r="J1671" s="50">
        <f>I1671/D1670</f>
        <v>47</v>
      </c>
      <c r="K1671" s="50">
        <f>34+13</f>
        <v>47</v>
      </c>
    </row>
    <row r="1672" spans="1:11" x14ac:dyDescent="0.25">
      <c r="A1672" s="215">
        <f>A1670+1</f>
        <v>48</v>
      </c>
      <c r="B1672" s="215">
        <v>1417</v>
      </c>
      <c r="C1672" s="223" t="s">
        <v>375</v>
      </c>
      <c r="D1672" s="224">
        <v>37493.51</v>
      </c>
      <c r="E1672" s="224" t="s">
        <v>64</v>
      </c>
      <c r="F1672" s="225">
        <v>10</v>
      </c>
      <c r="G1672" s="215" t="s">
        <v>65</v>
      </c>
      <c r="H1672" s="57" t="s">
        <v>66</v>
      </c>
      <c r="I1672" s="50">
        <f>I1673</f>
        <v>2860252</v>
      </c>
      <c r="J1672" s="50">
        <f>J1673</f>
        <v>76.290000000000006</v>
      </c>
      <c r="K1672" s="50">
        <f>K1673</f>
        <v>164</v>
      </c>
    </row>
    <row r="1673" spans="1:11" ht="63" x14ac:dyDescent="0.25">
      <c r="A1673" s="215"/>
      <c r="B1673" s="215"/>
      <c r="C1673" s="223"/>
      <c r="D1673" s="224"/>
      <c r="E1673" s="224"/>
      <c r="F1673" s="225"/>
      <c r="G1673" s="215"/>
      <c r="H1673" s="57" t="s">
        <v>168</v>
      </c>
      <c r="I1673" s="50">
        <f>2372836.37+487415.63</f>
        <v>2860252</v>
      </c>
      <c r="J1673" s="50">
        <f>I1673/D1672</f>
        <v>76.290000000000006</v>
      </c>
      <c r="K1673" s="50">
        <f>151+13</f>
        <v>164</v>
      </c>
    </row>
    <row r="1674" spans="1:11" x14ac:dyDescent="0.25">
      <c r="A1674" s="215">
        <f>A1672+1</f>
        <v>49</v>
      </c>
      <c r="B1674" s="215">
        <v>1361</v>
      </c>
      <c r="C1674" s="223" t="s">
        <v>102</v>
      </c>
      <c r="D1674" s="224">
        <v>4296</v>
      </c>
      <c r="E1674" s="224" t="s">
        <v>64</v>
      </c>
      <c r="F1674" s="225">
        <v>5</v>
      </c>
      <c r="G1674" s="215" t="s">
        <v>65</v>
      </c>
      <c r="H1674" s="57" t="s">
        <v>66</v>
      </c>
      <c r="I1674" s="50">
        <f>I1675+I1676</f>
        <v>14061652.529999999</v>
      </c>
      <c r="J1674" s="50">
        <f>J1675+J1676</f>
        <v>3273.2</v>
      </c>
      <c r="K1674" s="50">
        <f>K1675+K1676</f>
        <v>3749</v>
      </c>
    </row>
    <row r="1675" spans="1:11" ht="31.5" x14ac:dyDescent="0.25">
      <c r="A1675" s="215">
        <v>77</v>
      </c>
      <c r="B1675" s="215"/>
      <c r="C1675" s="223"/>
      <c r="D1675" s="215"/>
      <c r="E1675" s="224"/>
      <c r="F1675" s="225"/>
      <c r="G1675" s="215"/>
      <c r="H1675" s="57" t="s">
        <v>76</v>
      </c>
      <c r="I1675" s="50">
        <f>(10855.75+391.83)*1000*1.02*1.2</f>
        <v>13767037.92</v>
      </c>
      <c r="J1675" s="50">
        <f>I1675/D1674</f>
        <v>3204.62</v>
      </c>
      <c r="K1675" s="50">
        <v>3670</v>
      </c>
    </row>
    <row r="1676" spans="1:11" x14ac:dyDescent="0.25">
      <c r="A1676" s="215"/>
      <c r="B1676" s="215"/>
      <c r="C1676" s="223"/>
      <c r="D1676" s="215"/>
      <c r="E1676" s="224"/>
      <c r="F1676" s="225"/>
      <c r="G1676" s="215"/>
      <c r="H1676" s="57" t="s">
        <v>69</v>
      </c>
      <c r="I1676" s="50">
        <f>I1675*0.0214</f>
        <v>294614.61</v>
      </c>
      <c r="J1676" s="50">
        <f>I1676/D1674</f>
        <v>68.58</v>
      </c>
      <c r="K1676" s="50">
        <v>79</v>
      </c>
    </row>
    <row r="1677" spans="1:11" x14ac:dyDescent="0.25">
      <c r="A1677" s="215">
        <f>A1674+1</f>
        <v>50</v>
      </c>
      <c r="B1677" s="215">
        <v>1362</v>
      </c>
      <c r="C1677" s="223" t="s">
        <v>199</v>
      </c>
      <c r="D1677" s="224">
        <v>16594.099999999999</v>
      </c>
      <c r="E1677" s="224" t="s">
        <v>64</v>
      </c>
      <c r="F1677" s="225">
        <v>9</v>
      </c>
      <c r="G1677" s="215" t="s">
        <v>70</v>
      </c>
      <c r="H1677" s="57" t="s">
        <v>66</v>
      </c>
      <c r="I1677" s="50">
        <f>I1678</f>
        <v>7935298.6200000001</v>
      </c>
      <c r="J1677" s="50">
        <f t="shared" ref="J1677:K1677" si="57">J1678</f>
        <v>478.2</v>
      </c>
      <c r="K1677" s="50">
        <f t="shared" si="57"/>
        <v>1594</v>
      </c>
    </row>
    <row r="1678" spans="1:11" x14ac:dyDescent="0.25">
      <c r="A1678" s="215">
        <v>75</v>
      </c>
      <c r="B1678" s="215"/>
      <c r="C1678" s="223"/>
      <c r="D1678" s="215"/>
      <c r="E1678" s="224"/>
      <c r="F1678" s="225"/>
      <c r="G1678" s="215"/>
      <c r="H1678" s="57" t="s">
        <v>67</v>
      </c>
      <c r="I1678" s="50">
        <f>D1677*K1678*0.3</f>
        <v>7935298.6200000001</v>
      </c>
      <c r="J1678" s="50">
        <f>I1678/D1677</f>
        <v>478.2</v>
      </c>
      <c r="K1678" s="50">
        <v>1594</v>
      </c>
    </row>
    <row r="1679" spans="1:11" ht="15.75" customHeight="1" x14ac:dyDescent="0.25">
      <c r="A1679" s="216">
        <f>A1677+1</f>
        <v>51</v>
      </c>
      <c r="B1679" s="216">
        <v>1818</v>
      </c>
      <c r="C1679" s="218" t="s">
        <v>603</v>
      </c>
      <c r="D1679" s="220">
        <v>1284.2</v>
      </c>
      <c r="E1679" s="220" t="s">
        <v>68</v>
      </c>
      <c r="F1679" s="228">
        <v>4</v>
      </c>
      <c r="G1679" s="108"/>
      <c r="H1679" s="57" t="s">
        <v>66</v>
      </c>
      <c r="I1679" s="50">
        <f>I1680+I1681+I1682+I1683+I1684+I1685+I1686+I1687</f>
        <v>5852099.4000000004</v>
      </c>
      <c r="J1679" s="50">
        <f>J1680+J1681+J1682+J1683+J1684+J1685+J1686+J1687</f>
        <v>4557</v>
      </c>
      <c r="K1679" s="50">
        <f>K1680+K1681+K1682+K1683+K1684+K1685+K1686+K1687</f>
        <v>4557</v>
      </c>
    </row>
    <row r="1680" spans="1:11" ht="15.75" customHeight="1" x14ac:dyDescent="0.25">
      <c r="A1680" s="217"/>
      <c r="B1680" s="217"/>
      <c r="C1680" s="219"/>
      <c r="D1680" s="217"/>
      <c r="E1680" s="221"/>
      <c r="F1680" s="229"/>
      <c r="G1680" s="216" t="s">
        <v>70</v>
      </c>
      <c r="H1680" s="57" t="s">
        <v>67</v>
      </c>
      <c r="I1680" s="50">
        <f>D1679*K1680</f>
        <v>3738306.2</v>
      </c>
      <c r="J1680" s="50">
        <f>I1680/D1679</f>
        <v>2911</v>
      </c>
      <c r="K1680" s="50">
        <v>2911</v>
      </c>
    </row>
    <row r="1681" spans="1:11" ht="15.75" customHeight="1" x14ac:dyDescent="0.25">
      <c r="A1681" s="217"/>
      <c r="B1681" s="217"/>
      <c r="C1681" s="219"/>
      <c r="D1681" s="217"/>
      <c r="E1681" s="221"/>
      <c r="F1681" s="229"/>
      <c r="G1681" s="222"/>
      <c r="H1681" s="57" t="s">
        <v>69</v>
      </c>
      <c r="I1681" s="50">
        <f>D1679*K1681</f>
        <v>79620.399999999994</v>
      </c>
      <c r="J1681" s="50">
        <f>I1681/D1679</f>
        <v>62</v>
      </c>
      <c r="K1681" s="50">
        <v>62</v>
      </c>
    </row>
    <row r="1682" spans="1:11" ht="15.75" customHeight="1" x14ac:dyDescent="0.25">
      <c r="A1682" s="217"/>
      <c r="B1682" s="217"/>
      <c r="C1682" s="219"/>
      <c r="D1682" s="217"/>
      <c r="E1682" s="221"/>
      <c r="F1682" s="229"/>
      <c r="G1682" s="216" t="s">
        <v>71</v>
      </c>
      <c r="H1682" s="57" t="s">
        <v>67</v>
      </c>
      <c r="I1682" s="50">
        <f>D1679*K1682</f>
        <v>658794.6</v>
      </c>
      <c r="J1682" s="50">
        <f>I1682/D1679</f>
        <v>513</v>
      </c>
      <c r="K1682" s="50">
        <v>513</v>
      </c>
    </row>
    <row r="1683" spans="1:11" ht="15.75" customHeight="1" x14ac:dyDescent="0.25">
      <c r="A1683" s="217"/>
      <c r="B1683" s="217"/>
      <c r="C1683" s="219"/>
      <c r="D1683" s="217"/>
      <c r="E1683" s="221"/>
      <c r="F1683" s="229"/>
      <c r="G1683" s="222"/>
      <c r="H1683" s="57" t="s">
        <v>69</v>
      </c>
      <c r="I1683" s="50">
        <f>D1679*K1683</f>
        <v>14126.2</v>
      </c>
      <c r="J1683" s="50">
        <f>I1683/D1679</f>
        <v>11</v>
      </c>
      <c r="K1683" s="50">
        <v>11</v>
      </c>
    </row>
    <row r="1684" spans="1:11" ht="15.75" customHeight="1" x14ac:dyDescent="0.25">
      <c r="A1684" s="217"/>
      <c r="B1684" s="217"/>
      <c r="C1684" s="219"/>
      <c r="D1684" s="217"/>
      <c r="E1684" s="221"/>
      <c r="F1684" s="229"/>
      <c r="G1684" s="216" t="s">
        <v>72</v>
      </c>
      <c r="H1684" s="57" t="s">
        <v>67</v>
      </c>
      <c r="I1684" s="50">
        <f>D1679*K1684</f>
        <v>696036.4</v>
      </c>
      <c r="J1684" s="50">
        <f>I1684/D1679</f>
        <v>542</v>
      </c>
      <c r="K1684" s="50">
        <v>542</v>
      </c>
    </row>
    <row r="1685" spans="1:11" ht="15.75" customHeight="1" x14ac:dyDescent="0.25">
      <c r="A1685" s="217"/>
      <c r="B1685" s="217"/>
      <c r="C1685" s="219"/>
      <c r="D1685" s="217"/>
      <c r="E1685" s="221"/>
      <c r="F1685" s="229"/>
      <c r="G1685" s="222"/>
      <c r="H1685" s="57" t="s">
        <v>69</v>
      </c>
      <c r="I1685" s="50">
        <f>D1679*K1685</f>
        <v>15410.4</v>
      </c>
      <c r="J1685" s="50">
        <f>I1685/D1679</f>
        <v>12</v>
      </c>
      <c r="K1685" s="50">
        <v>12</v>
      </c>
    </row>
    <row r="1686" spans="1:11" ht="15.75" customHeight="1" x14ac:dyDescent="0.25">
      <c r="A1686" s="217"/>
      <c r="B1686" s="217"/>
      <c r="C1686" s="219"/>
      <c r="D1686" s="217"/>
      <c r="E1686" s="221"/>
      <c r="F1686" s="229"/>
      <c r="G1686" s="216" t="s">
        <v>78</v>
      </c>
      <c r="H1686" s="57" t="s">
        <v>67</v>
      </c>
      <c r="I1686" s="50">
        <f>D1679*K1686</f>
        <v>622837</v>
      </c>
      <c r="J1686" s="50">
        <f>I1686/D1679</f>
        <v>485</v>
      </c>
      <c r="K1686" s="50">
        <v>485</v>
      </c>
    </row>
    <row r="1687" spans="1:11" ht="15.75" customHeight="1" x14ac:dyDescent="0.25">
      <c r="A1687" s="222"/>
      <c r="B1687" s="222"/>
      <c r="C1687" s="226"/>
      <c r="D1687" s="222"/>
      <c r="E1687" s="227"/>
      <c r="F1687" s="230"/>
      <c r="G1687" s="222"/>
      <c r="H1687" s="57" t="s">
        <v>69</v>
      </c>
      <c r="I1687" s="50">
        <f>D1679*K1687</f>
        <v>26968.2</v>
      </c>
      <c r="J1687" s="50">
        <f>I1687/D1679</f>
        <v>21</v>
      </c>
      <c r="K1687" s="50">
        <v>21</v>
      </c>
    </row>
    <row r="1688" spans="1:11" x14ac:dyDescent="0.25">
      <c r="A1688" s="215">
        <f>A1679+1</f>
        <v>52</v>
      </c>
      <c r="B1688" s="215">
        <v>1307</v>
      </c>
      <c r="C1688" s="223" t="s">
        <v>134</v>
      </c>
      <c r="D1688" s="224">
        <v>4426.3</v>
      </c>
      <c r="E1688" s="224" t="s">
        <v>68</v>
      </c>
      <c r="F1688" s="225">
        <v>5</v>
      </c>
      <c r="G1688" s="215" t="s">
        <v>65</v>
      </c>
      <c r="H1688" s="57" t="s">
        <v>66</v>
      </c>
      <c r="I1688" s="50">
        <f>I1689+I1690</f>
        <v>7692101.6299999999</v>
      </c>
      <c r="J1688" s="50">
        <f>J1689+J1690</f>
        <v>1737.82</v>
      </c>
      <c r="K1688" s="50">
        <f>K1689+K1690</f>
        <v>3878</v>
      </c>
    </row>
    <row r="1689" spans="1:11" x14ac:dyDescent="0.25">
      <c r="A1689" s="215">
        <v>77</v>
      </c>
      <c r="B1689" s="215"/>
      <c r="C1689" s="223"/>
      <c r="D1689" s="215"/>
      <c r="E1689" s="224"/>
      <c r="F1689" s="225"/>
      <c r="G1689" s="215"/>
      <c r="H1689" s="57" t="s">
        <v>67</v>
      </c>
      <c r="I1689" s="50">
        <v>7530939.5199999996</v>
      </c>
      <c r="J1689" s="50">
        <f>I1689/D1688</f>
        <v>1701.41</v>
      </c>
      <c r="K1689" s="50">
        <v>3797</v>
      </c>
    </row>
    <row r="1690" spans="1:11" x14ac:dyDescent="0.25">
      <c r="A1690" s="215"/>
      <c r="B1690" s="215"/>
      <c r="C1690" s="223"/>
      <c r="D1690" s="215"/>
      <c r="E1690" s="224"/>
      <c r="F1690" s="225"/>
      <c r="G1690" s="215"/>
      <c r="H1690" s="57" t="s">
        <v>69</v>
      </c>
      <c r="I1690" s="50">
        <f>I1689*0.0214</f>
        <v>161162.10999999999</v>
      </c>
      <c r="J1690" s="50">
        <f>I1690/D1688</f>
        <v>36.409999999999997</v>
      </c>
      <c r="K1690" s="50">
        <v>81</v>
      </c>
    </row>
    <row r="1691" spans="1:11" x14ac:dyDescent="0.25">
      <c r="A1691" s="215">
        <f>A1688+1</f>
        <v>53</v>
      </c>
      <c r="B1691" s="215">
        <v>1582</v>
      </c>
      <c r="C1691" s="223" t="s">
        <v>137</v>
      </c>
      <c r="D1691" s="224">
        <v>4108.3999999999996</v>
      </c>
      <c r="E1691" s="224" t="s">
        <v>68</v>
      </c>
      <c r="F1691" s="225">
        <v>5</v>
      </c>
      <c r="G1691" s="215" t="s">
        <v>65</v>
      </c>
      <c r="H1691" s="57" t="s">
        <v>66</v>
      </c>
      <c r="I1691" s="50">
        <f>I1692+I1693</f>
        <v>12201956.779999999</v>
      </c>
      <c r="J1691" s="50">
        <f>J1692+J1693</f>
        <v>2970</v>
      </c>
      <c r="K1691" s="50">
        <f>K1692+K1693</f>
        <v>3878</v>
      </c>
    </row>
    <row r="1692" spans="1:11" x14ac:dyDescent="0.25">
      <c r="A1692" s="215">
        <v>76</v>
      </c>
      <c r="B1692" s="215"/>
      <c r="C1692" s="223"/>
      <c r="D1692" s="215"/>
      <c r="E1692" s="224"/>
      <c r="F1692" s="225"/>
      <c r="G1692" s="215"/>
      <c r="H1692" s="57" t="s">
        <v>67</v>
      </c>
      <c r="I1692" s="50">
        <v>11946305.84</v>
      </c>
      <c r="J1692" s="50">
        <f>I1692/D1691-0.01</f>
        <v>2907.77</v>
      </c>
      <c r="K1692" s="50">
        <v>3797</v>
      </c>
    </row>
    <row r="1693" spans="1:11" x14ac:dyDescent="0.25">
      <c r="A1693" s="215"/>
      <c r="B1693" s="215"/>
      <c r="C1693" s="223"/>
      <c r="D1693" s="215"/>
      <c r="E1693" s="224"/>
      <c r="F1693" s="225"/>
      <c r="G1693" s="215"/>
      <c r="H1693" s="57" t="s">
        <v>69</v>
      </c>
      <c r="I1693" s="50">
        <f>I1692*0.0214</f>
        <v>255650.94</v>
      </c>
      <c r="J1693" s="50">
        <f>I1693/D1691</f>
        <v>62.23</v>
      </c>
      <c r="K1693" s="50">
        <v>81</v>
      </c>
    </row>
    <row r="1694" spans="1:11" x14ac:dyDescent="0.25">
      <c r="A1694" s="215">
        <f>A1691+1</f>
        <v>54</v>
      </c>
      <c r="B1694" s="215">
        <v>1475</v>
      </c>
      <c r="C1694" s="223" t="s">
        <v>201</v>
      </c>
      <c r="D1694" s="224">
        <v>3125</v>
      </c>
      <c r="E1694" s="224" t="s">
        <v>68</v>
      </c>
      <c r="F1694" s="225">
        <v>5</v>
      </c>
      <c r="G1694" s="215" t="s">
        <v>65</v>
      </c>
      <c r="H1694" s="57" t="s">
        <v>66</v>
      </c>
      <c r="I1694" s="50">
        <f>I1695+I1696</f>
        <v>8409809.2200000007</v>
      </c>
      <c r="J1694" s="50">
        <f>J1695+J1696</f>
        <v>2691.14</v>
      </c>
      <c r="K1694" s="50">
        <f>K1695+K1696</f>
        <v>3878</v>
      </c>
    </row>
    <row r="1695" spans="1:11" x14ac:dyDescent="0.25">
      <c r="A1695" s="215">
        <v>77</v>
      </c>
      <c r="B1695" s="215"/>
      <c r="C1695" s="223"/>
      <c r="D1695" s="215"/>
      <c r="E1695" s="224"/>
      <c r="F1695" s="225"/>
      <c r="G1695" s="215"/>
      <c r="H1695" s="57" t="s">
        <v>67</v>
      </c>
      <c r="I1695" s="50">
        <v>8233609.9699999997</v>
      </c>
      <c r="J1695" s="50">
        <f>I1695/D1694</f>
        <v>2634.76</v>
      </c>
      <c r="K1695" s="50">
        <v>3797</v>
      </c>
    </row>
    <row r="1696" spans="1:11" x14ac:dyDescent="0.25">
      <c r="A1696" s="215"/>
      <c r="B1696" s="215"/>
      <c r="C1696" s="223"/>
      <c r="D1696" s="215"/>
      <c r="E1696" s="224"/>
      <c r="F1696" s="225"/>
      <c r="G1696" s="215"/>
      <c r="H1696" s="57" t="s">
        <v>69</v>
      </c>
      <c r="I1696" s="50">
        <f>I1695*0.0214</f>
        <v>176199.25</v>
      </c>
      <c r="J1696" s="50">
        <f>I1696/D1694</f>
        <v>56.38</v>
      </c>
      <c r="K1696" s="50">
        <v>81</v>
      </c>
    </row>
    <row r="1697" spans="1:11" x14ac:dyDescent="0.25">
      <c r="A1697" s="216">
        <f>A1694+1</f>
        <v>55</v>
      </c>
      <c r="B1697" s="216">
        <v>3340</v>
      </c>
      <c r="C1697" s="218" t="s">
        <v>376</v>
      </c>
      <c r="D1697" s="220">
        <v>6156.86</v>
      </c>
      <c r="E1697" s="220" t="s">
        <v>64</v>
      </c>
      <c r="F1697" s="228">
        <v>9</v>
      </c>
      <c r="G1697" s="108"/>
      <c r="H1697" s="57" t="s">
        <v>66</v>
      </c>
      <c r="I1697" s="50">
        <f>I1698+I1699+I1700+I1701+I1702+I1703</f>
        <v>4597789.51</v>
      </c>
      <c r="J1697" s="50">
        <f>J1698+J1699+J1700+J1701+J1702+J1703</f>
        <v>746.78</v>
      </c>
      <c r="K1697" s="50">
        <f>K1698+K1699+K1700+K1701+K1702+K1703</f>
        <v>1573</v>
      </c>
    </row>
    <row r="1698" spans="1:11" x14ac:dyDescent="0.25">
      <c r="A1698" s="217"/>
      <c r="B1698" s="217"/>
      <c r="C1698" s="219"/>
      <c r="D1698" s="217"/>
      <c r="E1698" s="221"/>
      <c r="F1698" s="229"/>
      <c r="G1698" s="216" t="s">
        <v>71</v>
      </c>
      <c r="H1698" s="57" t="s">
        <v>67</v>
      </c>
      <c r="I1698" s="50">
        <f>(812730+420)*1.02*1.2</f>
        <v>995295.6</v>
      </c>
      <c r="J1698" s="50">
        <f>I1698/D1697</f>
        <v>161.66</v>
      </c>
      <c r="K1698" s="50">
        <v>513</v>
      </c>
    </row>
    <row r="1699" spans="1:11" x14ac:dyDescent="0.25">
      <c r="A1699" s="217"/>
      <c r="B1699" s="217"/>
      <c r="C1699" s="219"/>
      <c r="D1699" s="217"/>
      <c r="E1699" s="221"/>
      <c r="F1699" s="229"/>
      <c r="G1699" s="222"/>
      <c r="H1699" s="57" t="s">
        <v>69</v>
      </c>
      <c r="I1699" s="50">
        <f>I1698*0.0214</f>
        <v>21299.33</v>
      </c>
      <c r="J1699" s="50">
        <f>I1699/D1697</f>
        <v>3.46</v>
      </c>
      <c r="K1699" s="50">
        <v>11</v>
      </c>
    </row>
    <row r="1700" spans="1:11" x14ac:dyDescent="0.25">
      <c r="A1700" s="217"/>
      <c r="B1700" s="217"/>
      <c r="C1700" s="219"/>
      <c r="D1700" s="217"/>
      <c r="E1700" s="221"/>
      <c r="F1700" s="229"/>
      <c r="G1700" s="216" t="s">
        <v>72</v>
      </c>
      <c r="H1700" s="57" t="s">
        <v>67</v>
      </c>
      <c r="I1700" s="50">
        <f>(1981958+420)*1.02*1.2</f>
        <v>2426430.67</v>
      </c>
      <c r="J1700" s="50">
        <f>I1700/D1697+0.01</f>
        <v>394.11</v>
      </c>
      <c r="K1700" s="50">
        <v>542</v>
      </c>
    </row>
    <row r="1701" spans="1:11" x14ac:dyDescent="0.25">
      <c r="A1701" s="217"/>
      <c r="B1701" s="217"/>
      <c r="C1701" s="219"/>
      <c r="D1701" s="217"/>
      <c r="E1701" s="221"/>
      <c r="F1701" s="229"/>
      <c r="G1701" s="222"/>
      <c r="H1701" s="57" t="s">
        <v>69</v>
      </c>
      <c r="I1701" s="50">
        <f>I1700*0.0214</f>
        <v>51925.62</v>
      </c>
      <c r="J1701" s="50">
        <f>I1701/D1697</f>
        <v>8.43</v>
      </c>
      <c r="K1701" s="50">
        <v>12</v>
      </c>
    </row>
    <row r="1702" spans="1:11" x14ac:dyDescent="0.25">
      <c r="A1702" s="217"/>
      <c r="B1702" s="217"/>
      <c r="C1702" s="219"/>
      <c r="D1702" s="217"/>
      <c r="E1702" s="221"/>
      <c r="F1702" s="229"/>
      <c r="G1702" s="216" t="s">
        <v>78</v>
      </c>
      <c r="H1702" s="57" t="s">
        <v>67</v>
      </c>
      <c r="I1702" s="50">
        <f>(881714+420)*1.02*1.2</f>
        <v>1079732.02</v>
      </c>
      <c r="J1702" s="50">
        <f>I1702/D1697</f>
        <v>175.37</v>
      </c>
      <c r="K1702" s="50">
        <v>485</v>
      </c>
    </row>
    <row r="1703" spans="1:11" x14ac:dyDescent="0.25">
      <c r="A1703" s="222"/>
      <c r="B1703" s="222"/>
      <c r="C1703" s="226"/>
      <c r="D1703" s="222"/>
      <c r="E1703" s="227"/>
      <c r="F1703" s="230"/>
      <c r="G1703" s="222"/>
      <c r="H1703" s="57" t="s">
        <v>69</v>
      </c>
      <c r="I1703" s="50">
        <f>I1702*0.0214</f>
        <v>23106.27</v>
      </c>
      <c r="J1703" s="50">
        <f>I1703/D1697</f>
        <v>3.75</v>
      </c>
      <c r="K1703" s="50">
        <v>10</v>
      </c>
    </row>
    <row r="1704" spans="1:11" ht="15.75" customHeight="1" x14ac:dyDescent="0.25">
      <c r="A1704" s="216">
        <f>A1697+1</f>
        <v>56</v>
      </c>
      <c r="B1704" s="216">
        <v>3345</v>
      </c>
      <c r="C1704" s="218" t="s">
        <v>604</v>
      </c>
      <c r="D1704" s="220">
        <v>4732.1899999999996</v>
      </c>
      <c r="E1704" s="216" t="s">
        <v>68</v>
      </c>
      <c r="F1704" s="216">
        <v>9</v>
      </c>
      <c r="G1704" s="105"/>
      <c r="H1704" s="57" t="s">
        <v>66</v>
      </c>
      <c r="I1704" s="50">
        <f>I1705+I1706</f>
        <v>2289618</v>
      </c>
      <c r="J1704" s="50">
        <f>J1705+J1706</f>
        <v>483.84</v>
      </c>
      <c r="K1704" s="50">
        <f>K1705+K1706</f>
        <v>483.84</v>
      </c>
    </row>
    <row r="1705" spans="1:11" ht="15.75" customHeight="1" x14ac:dyDescent="0.25">
      <c r="A1705" s="217"/>
      <c r="B1705" s="217"/>
      <c r="C1705" s="219"/>
      <c r="D1705" s="221"/>
      <c r="E1705" s="217"/>
      <c r="F1705" s="217"/>
      <c r="G1705" s="217" t="s">
        <v>170</v>
      </c>
      <c r="H1705" s="57" t="s">
        <v>171</v>
      </c>
      <c r="I1705" s="50">
        <v>2241647</v>
      </c>
      <c r="J1705" s="50">
        <f>I1705/D1704</f>
        <v>473.7</v>
      </c>
      <c r="K1705" s="50">
        <f>2241647/D1704</f>
        <v>473.7</v>
      </c>
    </row>
    <row r="1706" spans="1:11" ht="15.75" customHeight="1" x14ac:dyDescent="0.25">
      <c r="A1706" s="217"/>
      <c r="B1706" s="217"/>
      <c r="C1706" s="219"/>
      <c r="D1706" s="221"/>
      <c r="E1706" s="217"/>
      <c r="F1706" s="217"/>
      <c r="G1706" s="222"/>
      <c r="H1706" s="57" t="s">
        <v>69</v>
      </c>
      <c r="I1706" s="50">
        <v>47971</v>
      </c>
      <c r="J1706" s="50">
        <f>I1706/D1704</f>
        <v>10.14</v>
      </c>
      <c r="K1706" s="50">
        <f>47971/D1704</f>
        <v>10.14</v>
      </c>
    </row>
    <row r="1707" spans="1:11" ht="15.75" customHeight="1" x14ac:dyDescent="0.25">
      <c r="A1707" s="215">
        <f>A1704+1</f>
        <v>57</v>
      </c>
      <c r="B1707" s="215">
        <v>3379</v>
      </c>
      <c r="C1707" s="223" t="s">
        <v>655</v>
      </c>
      <c r="D1707" s="224">
        <v>1879.46</v>
      </c>
      <c r="E1707" s="224" t="s">
        <v>73</v>
      </c>
      <c r="F1707" s="225">
        <v>3</v>
      </c>
      <c r="G1707" s="215" t="s">
        <v>65</v>
      </c>
      <c r="H1707" s="57" t="s">
        <v>66</v>
      </c>
      <c r="I1707" s="50">
        <f>I1708</f>
        <v>473623.92</v>
      </c>
      <c r="J1707" s="50">
        <f>J1708</f>
        <v>252</v>
      </c>
      <c r="K1707" s="50">
        <f>K1708</f>
        <v>252</v>
      </c>
    </row>
    <row r="1708" spans="1:11" ht="47.25" customHeight="1" x14ac:dyDescent="0.25">
      <c r="A1708" s="215"/>
      <c r="B1708" s="215"/>
      <c r="C1708" s="223"/>
      <c r="D1708" s="224"/>
      <c r="E1708" s="224"/>
      <c r="F1708" s="225"/>
      <c r="G1708" s="215"/>
      <c r="H1708" s="57" t="s">
        <v>178</v>
      </c>
      <c r="I1708" s="50">
        <f>D1707*K1708</f>
        <v>473623.92</v>
      </c>
      <c r="J1708" s="50">
        <f>I1708/D1707</f>
        <v>252</v>
      </c>
      <c r="K1708" s="50">
        <f>164+88</f>
        <v>252</v>
      </c>
    </row>
    <row r="1709" spans="1:11" x14ac:dyDescent="0.25">
      <c r="A1709" s="215">
        <f>A1707+1</f>
        <v>58</v>
      </c>
      <c r="B1709" s="215">
        <v>4290</v>
      </c>
      <c r="C1709" s="223" t="s">
        <v>202</v>
      </c>
      <c r="D1709" s="224">
        <v>3219.4</v>
      </c>
      <c r="E1709" s="224" t="s">
        <v>68</v>
      </c>
      <c r="F1709" s="225">
        <v>9</v>
      </c>
      <c r="G1709" s="215" t="s">
        <v>65</v>
      </c>
      <c r="H1709" s="57" t="s">
        <v>66</v>
      </c>
      <c r="I1709" s="50">
        <f>I1710+I1711</f>
        <v>7180978.9699999997</v>
      </c>
      <c r="J1709" s="50">
        <f>J1710+J1711</f>
        <v>2230.5300000000002</v>
      </c>
      <c r="K1709" s="50">
        <f>K1710+K1711</f>
        <v>2492</v>
      </c>
    </row>
    <row r="1710" spans="1:11" x14ac:dyDescent="0.25">
      <c r="A1710" s="215">
        <v>77</v>
      </c>
      <c r="B1710" s="215"/>
      <c r="C1710" s="223"/>
      <c r="D1710" s="215"/>
      <c r="E1710" s="224"/>
      <c r="F1710" s="225"/>
      <c r="G1710" s="215"/>
      <c r="H1710" s="57" t="s">
        <v>67</v>
      </c>
      <c r="I1710" s="50">
        <v>7030525.7199999997</v>
      </c>
      <c r="J1710" s="50">
        <f>I1710/D1709</f>
        <v>2183.8000000000002</v>
      </c>
      <c r="K1710" s="50">
        <v>2440</v>
      </c>
    </row>
    <row r="1711" spans="1:11" x14ac:dyDescent="0.25">
      <c r="A1711" s="215"/>
      <c r="B1711" s="215"/>
      <c r="C1711" s="223"/>
      <c r="D1711" s="215"/>
      <c r="E1711" s="224"/>
      <c r="F1711" s="225"/>
      <c r="G1711" s="215"/>
      <c r="H1711" s="57" t="s">
        <v>69</v>
      </c>
      <c r="I1711" s="50">
        <f>I1710*0.0214</f>
        <v>150453.25</v>
      </c>
      <c r="J1711" s="50">
        <f>I1711/D1709</f>
        <v>46.73</v>
      </c>
      <c r="K1711" s="50">
        <v>52</v>
      </c>
    </row>
    <row r="1712" spans="1:11" x14ac:dyDescent="0.25">
      <c r="A1712" s="216">
        <f>A1709+1</f>
        <v>59</v>
      </c>
      <c r="B1712" s="216">
        <v>3304</v>
      </c>
      <c r="C1712" s="218" t="s">
        <v>249</v>
      </c>
      <c r="D1712" s="220">
        <v>4426.3999999999996</v>
      </c>
      <c r="E1712" s="216" t="s">
        <v>68</v>
      </c>
      <c r="F1712" s="216">
        <v>10</v>
      </c>
      <c r="G1712" s="216" t="s">
        <v>75</v>
      </c>
      <c r="H1712" s="57" t="s">
        <v>66</v>
      </c>
      <c r="I1712" s="50">
        <f>I1713+I1714+I1715+I1716+I1717+I1718+I1719+I1720</f>
        <v>32945659.640000001</v>
      </c>
      <c r="J1712" s="50">
        <f t="shared" ref="J1712:K1712" si="58">J1713+J1714+J1715+J1716+J1717+J1718+J1719+J1720</f>
        <v>7442.99</v>
      </c>
      <c r="K1712" s="50">
        <f t="shared" si="58"/>
        <v>8765.74</v>
      </c>
    </row>
    <row r="1713" spans="1:11" x14ac:dyDescent="0.25">
      <c r="A1713" s="217"/>
      <c r="B1713" s="217"/>
      <c r="C1713" s="219"/>
      <c r="D1713" s="221"/>
      <c r="E1713" s="217"/>
      <c r="F1713" s="217"/>
      <c r="G1713" s="217"/>
      <c r="H1713" s="57" t="s">
        <v>67</v>
      </c>
      <c r="I1713" s="50">
        <f>(5341243+36714.69)*1.02*1.2</f>
        <v>6582620.21</v>
      </c>
      <c r="J1713" s="50">
        <f>I1713/D1712</f>
        <v>1487.13</v>
      </c>
      <c r="K1713" s="50">
        <v>1733</v>
      </c>
    </row>
    <row r="1714" spans="1:11" x14ac:dyDescent="0.25">
      <c r="A1714" s="217"/>
      <c r="B1714" s="217"/>
      <c r="C1714" s="219"/>
      <c r="D1714" s="221"/>
      <c r="E1714" s="217"/>
      <c r="F1714" s="217"/>
      <c r="G1714" s="217"/>
      <c r="H1714" s="57" t="s">
        <v>69</v>
      </c>
      <c r="I1714" s="50">
        <f>I1713*0.0214</f>
        <v>140868.07</v>
      </c>
      <c r="J1714" s="50">
        <f>I1714/D1712</f>
        <v>31.82</v>
      </c>
      <c r="K1714" s="50">
        <v>37</v>
      </c>
    </row>
    <row r="1715" spans="1:11" x14ac:dyDescent="0.25">
      <c r="A1715" s="217"/>
      <c r="B1715" s="217"/>
      <c r="C1715" s="219"/>
      <c r="D1715" s="221"/>
      <c r="E1715" s="217"/>
      <c r="F1715" s="217"/>
      <c r="G1715" s="217"/>
      <c r="H1715" s="57" t="s">
        <v>179</v>
      </c>
      <c r="I1715" s="50">
        <v>20755262.739999998</v>
      </c>
      <c r="J1715" s="50">
        <f>I1715/D1712-0.01</f>
        <v>4688.96</v>
      </c>
      <c r="K1715" s="50">
        <v>5738</v>
      </c>
    </row>
    <row r="1716" spans="1:11" x14ac:dyDescent="0.25">
      <c r="A1716" s="217"/>
      <c r="B1716" s="217"/>
      <c r="C1716" s="219"/>
      <c r="D1716" s="221"/>
      <c r="E1716" s="217"/>
      <c r="F1716" s="217"/>
      <c r="G1716" s="222"/>
      <c r="H1716" s="57" t="s">
        <v>69</v>
      </c>
      <c r="I1716" s="50">
        <f>I1715*0.0214</f>
        <v>444162.62</v>
      </c>
      <c r="J1716" s="50">
        <f>I1716/D1712</f>
        <v>100.34</v>
      </c>
      <c r="K1716" s="50">
        <v>123</v>
      </c>
    </row>
    <row r="1717" spans="1:11" ht="15.75" customHeight="1" x14ac:dyDescent="0.25">
      <c r="A1717" s="217"/>
      <c r="B1717" s="217"/>
      <c r="C1717" s="219"/>
      <c r="D1717" s="221"/>
      <c r="E1717" s="217"/>
      <c r="F1717" s="217"/>
      <c r="G1717" s="216" t="s">
        <v>170</v>
      </c>
      <c r="H1717" s="57" t="s">
        <v>171</v>
      </c>
      <c r="I1717" s="50">
        <f>2458756</f>
        <v>2458756</v>
      </c>
      <c r="J1717" s="50">
        <f>I1717/D1712</f>
        <v>555.48</v>
      </c>
      <c r="K1717" s="50">
        <f>2458756/D1712</f>
        <v>555.48</v>
      </c>
    </row>
    <row r="1718" spans="1:11" ht="15.75" customHeight="1" x14ac:dyDescent="0.25">
      <c r="A1718" s="217"/>
      <c r="B1718" s="217"/>
      <c r="C1718" s="219"/>
      <c r="D1718" s="221"/>
      <c r="E1718" s="217"/>
      <c r="F1718" s="217"/>
      <c r="G1718" s="222"/>
      <c r="H1718" s="57" t="s">
        <v>69</v>
      </c>
      <c r="I1718" s="50">
        <v>52617</v>
      </c>
      <c r="J1718" s="50">
        <f>I1718/D1712</f>
        <v>11.89</v>
      </c>
      <c r="K1718" s="50">
        <f>52617/D1712</f>
        <v>11.89</v>
      </c>
    </row>
    <row r="1719" spans="1:11" ht="15.75" customHeight="1" x14ac:dyDescent="0.25">
      <c r="A1719" s="217"/>
      <c r="B1719" s="217"/>
      <c r="C1719" s="219"/>
      <c r="D1719" s="221"/>
      <c r="E1719" s="217"/>
      <c r="F1719" s="217"/>
      <c r="G1719" s="216" t="s">
        <v>173</v>
      </c>
      <c r="H1719" s="57" t="s">
        <v>171</v>
      </c>
      <c r="I1719" s="50">
        <f>2458756</f>
        <v>2458756</v>
      </c>
      <c r="J1719" s="50">
        <f>I1719/D1712</f>
        <v>555.48</v>
      </c>
      <c r="K1719" s="50">
        <f>2458756/D1712</f>
        <v>555.48</v>
      </c>
    </row>
    <row r="1720" spans="1:11" ht="15.75" customHeight="1" x14ac:dyDescent="0.25">
      <c r="A1720" s="222"/>
      <c r="B1720" s="222"/>
      <c r="C1720" s="226"/>
      <c r="D1720" s="227"/>
      <c r="E1720" s="222"/>
      <c r="F1720" s="222"/>
      <c r="G1720" s="222"/>
      <c r="H1720" s="57" t="s">
        <v>69</v>
      </c>
      <c r="I1720" s="50">
        <v>52617</v>
      </c>
      <c r="J1720" s="50">
        <f>I1720/D1712</f>
        <v>11.89</v>
      </c>
      <c r="K1720" s="50">
        <f>52617/D1712</f>
        <v>11.89</v>
      </c>
    </row>
    <row r="1721" spans="1:11" x14ac:dyDescent="0.25">
      <c r="A1721" s="215">
        <f>A1712+1</f>
        <v>60</v>
      </c>
      <c r="B1721" s="215">
        <v>3305</v>
      </c>
      <c r="C1721" s="223" t="s">
        <v>251</v>
      </c>
      <c r="D1721" s="224">
        <v>2891.1</v>
      </c>
      <c r="E1721" s="224" t="s">
        <v>64</v>
      </c>
      <c r="F1721" s="225">
        <v>5</v>
      </c>
      <c r="G1721" s="215" t="s">
        <v>65</v>
      </c>
      <c r="H1721" s="57" t="s">
        <v>66</v>
      </c>
      <c r="I1721" s="50">
        <f>I1722+I1723</f>
        <v>8067745.4699999997</v>
      </c>
      <c r="J1721" s="50">
        <f>J1722+J1723</f>
        <v>2790.55</v>
      </c>
      <c r="K1721" s="50">
        <f>K1722+K1723</f>
        <v>3878</v>
      </c>
    </row>
    <row r="1722" spans="1:11" x14ac:dyDescent="0.25">
      <c r="A1722" s="215">
        <v>77</v>
      </c>
      <c r="B1722" s="215"/>
      <c r="C1722" s="223"/>
      <c r="D1722" s="215"/>
      <c r="E1722" s="224"/>
      <c r="F1722" s="225"/>
      <c r="G1722" s="215"/>
      <c r="H1722" s="57" t="s">
        <v>67</v>
      </c>
      <c r="I1722" s="50">
        <v>7898713.0099999998</v>
      </c>
      <c r="J1722" s="50">
        <f>I1722/D1721</f>
        <v>2732.08</v>
      </c>
      <c r="K1722" s="50">
        <v>3797</v>
      </c>
    </row>
    <row r="1723" spans="1:11" x14ac:dyDescent="0.25">
      <c r="A1723" s="215"/>
      <c r="B1723" s="215"/>
      <c r="C1723" s="223"/>
      <c r="D1723" s="215"/>
      <c r="E1723" s="224"/>
      <c r="F1723" s="225"/>
      <c r="G1723" s="215"/>
      <c r="H1723" s="57" t="s">
        <v>69</v>
      </c>
      <c r="I1723" s="50">
        <f>I1722*0.0214</f>
        <v>169032.46</v>
      </c>
      <c r="J1723" s="50">
        <f>I1723/D1721</f>
        <v>58.47</v>
      </c>
      <c r="K1723" s="50">
        <v>81</v>
      </c>
    </row>
    <row r="1724" spans="1:11" x14ac:dyDescent="0.25">
      <c r="A1724" s="215">
        <f>A1721+1</f>
        <v>61</v>
      </c>
      <c r="B1724" s="215">
        <v>3309</v>
      </c>
      <c r="C1724" s="223" t="s">
        <v>252</v>
      </c>
      <c r="D1724" s="224">
        <v>7883.8</v>
      </c>
      <c r="E1724" s="224" t="s">
        <v>68</v>
      </c>
      <c r="F1724" s="225">
        <v>9</v>
      </c>
      <c r="G1724" s="215" t="s">
        <v>70</v>
      </c>
      <c r="H1724" s="57" t="s">
        <v>66</v>
      </c>
      <c r="I1724" s="50">
        <f>I1725+I1726</f>
        <v>13472173.75</v>
      </c>
      <c r="J1724" s="50">
        <f>J1725+J1726</f>
        <v>1708.84</v>
      </c>
      <c r="K1724" s="50">
        <f>K1725+K1726</f>
        <v>2341</v>
      </c>
    </row>
    <row r="1725" spans="1:11" x14ac:dyDescent="0.25">
      <c r="A1725" s="215">
        <v>78</v>
      </c>
      <c r="B1725" s="215"/>
      <c r="C1725" s="223"/>
      <c r="D1725" s="215"/>
      <c r="E1725" s="224"/>
      <c r="F1725" s="225"/>
      <c r="G1725" s="215"/>
      <c r="H1725" s="57" t="s">
        <v>67</v>
      </c>
      <c r="I1725" s="50">
        <f>(10701.54+74.53)*1000*1.02*1.2</f>
        <v>13189909.68</v>
      </c>
      <c r="J1725" s="50">
        <f>I1725/D1724</f>
        <v>1673.04</v>
      </c>
      <c r="K1725" s="50">
        <v>2292</v>
      </c>
    </row>
    <row r="1726" spans="1:11" x14ac:dyDescent="0.25">
      <c r="A1726" s="215"/>
      <c r="B1726" s="215"/>
      <c r="C1726" s="223"/>
      <c r="D1726" s="215"/>
      <c r="E1726" s="224"/>
      <c r="F1726" s="225"/>
      <c r="G1726" s="215"/>
      <c r="H1726" s="57" t="s">
        <v>69</v>
      </c>
      <c r="I1726" s="50">
        <f>I1725*0.0214</f>
        <v>282264.07</v>
      </c>
      <c r="J1726" s="50">
        <f>I1726/D1724</f>
        <v>35.799999999999997</v>
      </c>
      <c r="K1726" s="50">
        <v>49</v>
      </c>
    </row>
    <row r="1727" spans="1:11" ht="15.75" customHeight="1" x14ac:dyDescent="0.25">
      <c r="A1727" s="216">
        <f>A1724+1</f>
        <v>62</v>
      </c>
      <c r="B1727" s="216">
        <v>3877</v>
      </c>
      <c r="C1727" s="218" t="s">
        <v>605</v>
      </c>
      <c r="D1727" s="220">
        <v>14684.6</v>
      </c>
      <c r="E1727" s="216" t="s">
        <v>68</v>
      </c>
      <c r="F1727" s="216">
        <v>10</v>
      </c>
      <c r="G1727" s="105"/>
      <c r="H1727" s="57" t="s">
        <v>66</v>
      </c>
      <c r="I1727" s="50">
        <f>I1728+I1729+I1730+I1731</f>
        <v>5022746</v>
      </c>
      <c r="J1727" s="50">
        <f>J1728+J1729+J1730+J1731</f>
        <v>342.04</v>
      </c>
      <c r="K1727" s="50">
        <f>K1728+K1729+K1730+K1731</f>
        <v>342.04</v>
      </c>
    </row>
    <row r="1728" spans="1:11" ht="15.75" customHeight="1" x14ac:dyDescent="0.25">
      <c r="A1728" s="217"/>
      <c r="B1728" s="217"/>
      <c r="C1728" s="219"/>
      <c r="D1728" s="221"/>
      <c r="E1728" s="217"/>
      <c r="F1728" s="217"/>
      <c r="G1728" s="216" t="s">
        <v>172</v>
      </c>
      <c r="H1728" s="57" t="s">
        <v>171</v>
      </c>
      <c r="I1728" s="50">
        <f>2458756</f>
        <v>2458756</v>
      </c>
      <c r="J1728" s="50">
        <f>I1728/D1727</f>
        <v>167.44</v>
      </c>
      <c r="K1728" s="50">
        <f>2458756/D1727</f>
        <v>167.44</v>
      </c>
    </row>
    <row r="1729" spans="1:11" ht="15.75" customHeight="1" x14ac:dyDescent="0.25">
      <c r="A1729" s="217"/>
      <c r="B1729" s="217"/>
      <c r="C1729" s="219"/>
      <c r="D1729" s="221"/>
      <c r="E1729" s="217"/>
      <c r="F1729" s="217"/>
      <c r="G1729" s="222"/>
      <c r="H1729" s="57" t="s">
        <v>69</v>
      </c>
      <c r="I1729" s="50">
        <v>52617</v>
      </c>
      <c r="J1729" s="50">
        <f>I1729/D1727</f>
        <v>3.58</v>
      </c>
      <c r="K1729" s="50">
        <f>52617/D1727</f>
        <v>3.58</v>
      </c>
    </row>
    <row r="1730" spans="1:11" ht="15.75" customHeight="1" x14ac:dyDescent="0.25">
      <c r="A1730" s="217"/>
      <c r="B1730" s="217"/>
      <c r="C1730" s="219"/>
      <c r="D1730" s="221"/>
      <c r="E1730" s="217"/>
      <c r="F1730" s="217"/>
      <c r="G1730" s="216" t="s">
        <v>444</v>
      </c>
      <c r="H1730" s="57" t="s">
        <v>171</v>
      </c>
      <c r="I1730" s="50">
        <f>2458756</f>
        <v>2458756</v>
      </c>
      <c r="J1730" s="50">
        <f>I1730/D1727</f>
        <v>167.44</v>
      </c>
      <c r="K1730" s="50">
        <f>2458756/D1727</f>
        <v>167.44</v>
      </c>
    </row>
    <row r="1731" spans="1:11" ht="15.75" customHeight="1" x14ac:dyDescent="0.25">
      <c r="A1731" s="217"/>
      <c r="B1731" s="217"/>
      <c r="C1731" s="219"/>
      <c r="D1731" s="221"/>
      <c r="E1731" s="217"/>
      <c r="F1731" s="217"/>
      <c r="G1731" s="222"/>
      <c r="H1731" s="57" t="s">
        <v>69</v>
      </c>
      <c r="I1731" s="50">
        <v>52617</v>
      </c>
      <c r="J1731" s="50">
        <f>I1731/D1727</f>
        <v>3.58</v>
      </c>
      <c r="K1731" s="50">
        <f>52617/D1727</f>
        <v>3.58</v>
      </c>
    </row>
    <row r="1732" spans="1:11" ht="16.5" customHeight="1" x14ac:dyDescent="0.25">
      <c r="A1732" s="216">
        <f>A1727+1</f>
        <v>63</v>
      </c>
      <c r="B1732" s="216">
        <v>3081</v>
      </c>
      <c r="C1732" s="218" t="s">
        <v>656</v>
      </c>
      <c r="D1732" s="220">
        <v>12256.9</v>
      </c>
      <c r="E1732" s="216" t="s">
        <v>68</v>
      </c>
      <c r="F1732" s="216">
        <v>9</v>
      </c>
      <c r="G1732" s="105"/>
      <c r="H1732" s="57" t="s">
        <v>66</v>
      </c>
      <c r="I1732" s="50">
        <f>I1733+I1734+I1735</f>
        <v>96843</v>
      </c>
      <c r="J1732" s="50">
        <f>J1733+J1734+J1735</f>
        <v>7.9</v>
      </c>
      <c r="K1732" s="50">
        <f>K1733+K1734+K1735</f>
        <v>7.9</v>
      </c>
    </row>
    <row r="1733" spans="1:11" ht="47.25" customHeight="1" x14ac:dyDescent="0.25">
      <c r="A1733" s="217"/>
      <c r="B1733" s="217"/>
      <c r="C1733" s="219"/>
      <c r="D1733" s="221"/>
      <c r="E1733" s="217"/>
      <c r="F1733" s="217"/>
      <c r="G1733" s="102" t="s">
        <v>175</v>
      </c>
      <c r="H1733" s="57" t="s">
        <v>168</v>
      </c>
      <c r="I1733" s="50">
        <f>22681+9600</f>
        <v>32281</v>
      </c>
      <c r="J1733" s="50">
        <f>I1733/D1732</f>
        <v>2.63</v>
      </c>
      <c r="K1733" s="50">
        <f>32281/D1732</f>
        <v>2.63</v>
      </c>
    </row>
    <row r="1734" spans="1:11" ht="47.25" customHeight="1" x14ac:dyDescent="0.25">
      <c r="A1734" s="217"/>
      <c r="B1734" s="217"/>
      <c r="C1734" s="219"/>
      <c r="D1734" s="221"/>
      <c r="E1734" s="217"/>
      <c r="F1734" s="217"/>
      <c r="G1734" s="102" t="s">
        <v>172</v>
      </c>
      <c r="H1734" s="57" t="s">
        <v>168</v>
      </c>
      <c r="I1734" s="50">
        <f>22681+9600</f>
        <v>32281</v>
      </c>
      <c r="J1734" s="50">
        <f>I1734/D1732+0.01</f>
        <v>2.64</v>
      </c>
      <c r="K1734" s="50">
        <f>32281/D1732+0.01</f>
        <v>2.64</v>
      </c>
    </row>
    <row r="1735" spans="1:11" ht="47.25" customHeight="1" x14ac:dyDescent="0.25">
      <c r="A1735" s="217"/>
      <c r="B1735" s="217"/>
      <c r="C1735" s="219"/>
      <c r="D1735" s="221"/>
      <c r="E1735" s="217"/>
      <c r="F1735" s="217"/>
      <c r="G1735" s="102" t="s">
        <v>444</v>
      </c>
      <c r="H1735" s="57" t="s">
        <v>168</v>
      </c>
      <c r="I1735" s="50">
        <f>22681+9600</f>
        <v>32281</v>
      </c>
      <c r="J1735" s="50">
        <f>I1735/D1732</f>
        <v>2.63</v>
      </c>
      <c r="K1735" s="50">
        <f>32281/D1732</f>
        <v>2.63</v>
      </c>
    </row>
    <row r="1736" spans="1:11" x14ac:dyDescent="0.25">
      <c r="A1736" s="215">
        <f>A1732+1</f>
        <v>64</v>
      </c>
      <c r="B1736" s="215">
        <v>3166</v>
      </c>
      <c r="C1736" s="223" t="s">
        <v>204</v>
      </c>
      <c r="D1736" s="224">
        <v>5017.7</v>
      </c>
      <c r="E1736" s="224" t="s">
        <v>68</v>
      </c>
      <c r="F1736" s="225">
        <v>9</v>
      </c>
      <c r="G1736" s="215" t="s">
        <v>65</v>
      </c>
      <c r="H1736" s="57" t="s">
        <v>66</v>
      </c>
      <c r="I1736" s="50">
        <f>I1737+I1738</f>
        <v>7677191.2400000002</v>
      </c>
      <c r="J1736" s="50">
        <f>J1737+J1738</f>
        <v>1530.02</v>
      </c>
      <c r="K1736" s="50">
        <f>K1737+K1738</f>
        <v>2492</v>
      </c>
    </row>
    <row r="1737" spans="1:11" x14ac:dyDescent="0.25">
      <c r="A1737" s="215">
        <v>77</v>
      </c>
      <c r="B1737" s="215"/>
      <c r="C1737" s="223"/>
      <c r="D1737" s="215"/>
      <c r="E1737" s="224"/>
      <c r="F1737" s="225"/>
      <c r="G1737" s="215"/>
      <c r="H1737" s="57" t="s">
        <v>67</v>
      </c>
      <c r="I1737" s="50">
        <v>7516341.5300000003</v>
      </c>
      <c r="J1737" s="50">
        <f>I1737/D1736-0.01</f>
        <v>1497.96</v>
      </c>
      <c r="K1737" s="50">
        <v>2440</v>
      </c>
    </row>
    <row r="1738" spans="1:11" x14ac:dyDescent="0.25">
      <c r="A1738" s="215"/>
      <c r="B1738" s="215"/>
      <c r="C1738" s="223"/>
      <c r="D1738" s="215"/>
      <c r="E1738" s="224"/>
      <c r="F1738" s="225"/>
      <c r="G1738" s="215"/>
      <c r="H1738" s="57" t="s">
        <v>69</v>
      </c>
      <c r="I1738" s="50">
        <f>I1737*0.0214</f>
        <v>160849.71</v>
      </c>
      <c r="J1738" s="50">
        <f>I1738/D1736</f>
        <v>32.06</v>
      </c>
      <c r="K1738" s="50">
        <v>52</v>
      </c>
    </row>
    <row r="1739" spans="1:11" ht="15.75" customHeight="1" x14ac:dyDescent="0.25">
      <c r="A1739" s="216">
        <f>A1736+1</f>
        <v>65</v>
      </c>
      <c r="B1739" s="216">
        <v>4374</v>
      </c>
      <c r="C1739" s="218" t="s">
        <v>657</v>
      </c>
      <c r="D1739" s="220">
        <v>6931.5</v>
      </c>
      <c r="E1739" s="216" t="s">
        <v>64</v>
      </c>
      <c r="F1739" s="216">
        <v>10</v>
      </c>
      <c r="G1739" s="105"/>
      <c r="H1739" s="57" t="s">
        <v>66</v>
      </c>
      <c r="I1739" s="50">
        <f>I1740+I1741+I1742</f>
        <v>96843</v>
      </c>
      <c r="J1739" s="50">
        <f>J1740+J1741+J1742</f>
        <v>13.97</v>
      </c>
      <c r="K1739" s="50">
        <f>K1740+K1741+K1742</f>
        <v>13.97</v>
      </c>
    </row>
    <row r="1740" spans="1:11" ht="47.25" customHeight="1" x14ac:dyDescent="0.25">
      <c r="A1740" s="217"/>
      <c r="B1740" s="217"/>
      <c r="C1740" s="219"/>
      <c r="D1740" s="221"/>
      <c r="E1740" s="217"/>
      <c r="F1740" s="217"/>
      <c r="G1740" s="102" t="s">
        <v>170</v>
      </c>
      <c r="H1740" s="57" t="s">
        <v>168</v>
      </c>
      <c r="I1740" s="50">
        <f>22681+9600</f>
        <v>32281</v>
      </c>
      <c r="J1740" s="50">
        <f>I1740/D1739</f>
        <v>4.66</v>
      </c>
      <c r="K1740" s="50">
        <f>32281/D1739</f>
        <v>4.66</v>
      </c>
    </row>
    <row r="1741" spans="1:11" ht="47.25" customHeight="1" x14ac:dyDescent="0.25">
      <c r="A1741" s="217"/>
      <c r="B1741" s="217"/>
      <c r="C1741" s="219"/>
      <c r="D1741" s="221"/>
      <c r="E1741" s="217"/>
      <c r="F1741" s="217"/>
      <c r="G1741" s="102" t="s">
        <v>173</v>
      </c>
      <c r="H1741" s="57" t="s">
        <v>168</v>
      </c>
      <c r="I1741" s="50">
        <f>22681+9600</f>
        <v>32281</v>
      </c>
      <c r="J1741" s="50">
        <f>I1741/D1739-0.01</f>
        <v>4.6500000000000004</v>
      </c>
      <c r="K1741" s="50">
        <f>32281/D1739-0.01</f>
        <v>4.6500000000000004</v>
      </c>
    </row>
    <row r="1742" spans="1:11" ht="47.25" customHeight="1" x14ac:dyDescent="0.25">
      <c r="A1742" s="217"/>
      <c r="B1742" s="217"/>
      <c r="C1742" s="219"/>
      <c r="D1742" s="221"/>
      <c r="E1742" s="217"/>
      <c r="F1742" s="217"/>
      <c r="G1742" s="102" t="s">
        <v>174</v>
      </c>
      <c r="H1742" s="57" t="s">
        <v>168</v>
      </c>
      <c r="I1742" s="50">
        <f>22681+9600</f>
        <v>32281</v>
      </c>
      <c r="J1742" s="50">
        <f>I1742/D1739</f>
        <v>4.66</v>
      </c>
      <c r="K1742" s="50">
        <f>32281/D1739</f>
        <v>4.66</v>
      </c>
    </row>
    <row r="1743" spans="1:11" ht="15.75" customHeight="1" x14ac:dyDescent="0.25">
      <c r="A1743" s="216">
        <f>A1739+1</f>
        <v>66</v>
      </c>
      <c r="B1743" s="216">
        <v>4061</v>
      </c>
      <c r="C1743" s="218" t="s">
        <v>607</v>
      </c>
      <c r="D1743" s="220">
        <v>7554</v>
      </c>
      <c r="E1743" s="216" t="s">
        <v>64</v>
      </c>
      <c r="F1743" s="216">
        <v>10</v>
      </c>
      <c r="G1743" s="105"/>
      <c r="H1743" s="57" t="s">
        <v>66</v>
      </c>
      <c r="I1743" s="50">
        <f>I1744+I1745+I1746+I1747+I1748+I1749+I1750+I1751</f>
        <v>9158472</v>
      </c>
      <c r="J1743" s="50">
        <f>J1744+J1745+J1746+J1747+J1748+J1749+J1750+J1751</f>
        <v>1212.4000000000001</v>
      </c>
      <c r="K1743" s="50">
        <f>K1744+K1745+K1746+K1747+K1748+K1749+K1750+K1751</f>
        <v>1212.4000000000001</v>
      </c>
    </row>
    <row r="1744" spans="1:11" ht="15.75" customHeight="1" x14ac:dyDescent="0.25">
      <c r="A1744" s="217"/>
      <c r="B1744" s="217"/>
      <c r="C1744" s="219"/>
      <c r="D1744" s="221"/>
      <c r="E1744" s="217"/>
      <c r="F1744" s="217"/>
      <c r="G1744" s="217" t="s">
        <v>170</v>
      </c>
      <c r="H1744" s="57" t="s">
        <v>171</v>
      </c>
      <c r="I1744" s="50">
        <v>2241647</v>
      </c>
      <c r="J1744" s="50">
        <f>I1744/D1743</f>
        <v>296.75</v>
      </c>
      <c r="K1744" s="50">
        <f>2241647/D1743</f>
        <v>296.75</v>
      </c>
    </row>
    <row r="1745" spans="1:11" ht="15.75" customHeight="1" x14ac:dyDescent="0.25">
      <c r="A1745" s="217"/>
      <c r="B1745" s="217"/>
      <c r="C1745" s="219"/>
      <c r="D1745" s="221"/>
      <c r="E1745" s="217"/>
      <c r="F1745" s="217"/>
      <c r="G1745" s="222"/>
      <c r="H1745" s="57" t="s">
        <v>69</v>
      </c>
      <c r="I1745" s="50">
        <v>47971</v>
      </c>
      <c r="J1745" s="50">
        <f>I1745/D1743</f>
        <v>6.35</v>
      </c>
      <c r="K1745" s="50">
        <f>47971/D1743</f>
        <v>6.35</v>
      </c>
    </row>
    <row r="1746" spans="1:11" ht="15.75" customHeight="1" x14ac:dyDescent="0.25">
      <c r="A1746" s="217"/>
      <c r="B1746" s="217"/>
      <c r="C1746" s="219"/>
      <c r="D1746" s="221"/>
      <c r="E1746" s="217"/>
      <c r="F1746" s="217"/>
      <c r="G1746" s="217" t="s">
        <v>173</v>
      </c>
      <c r="H1746" s="57" t="s">
        <v>171</v>
      </c>
      <c r="I1746" s="50">
        <v>2241647</v>
      </c>
      <c r="J1746" s="50">
        <f>I1746/D1743</f>
        <v>296.75</v>
      </c>
      <c r="K1746" s="50">
        <f>2241647/D1743</f>
        <v>296.75</v>
      </c>
    </row>
    <row r="1747" spans="1:11" ht="15.75" customHeight="1" x14ac:dyDescent="0.25">
      <c r="A1747" s="217"/>
      <c r="B1747" s="217"/>
      <c r="C1747" s="219"/>
      <c r="D1747" s="221"/>
      <c r="E1747" s="217"/>
      <c r="F1747" s="217"/>
      <c r="G1747" s="222"/>
      <c r="H1747" s="57" t="s">
        <v>69</v>
      </c>
      <c r="I1747" s="50">
        <v>47971</v>
      </c>
      <c r="J1747" s="50">
        <f>I1747/D1743</f>
        <v>6.35</v>
      </c>
      <c r="K1747" s="50">
        <f>47971/D1743</f>
        <v>6.35</v>
      </c>
    </row>
    <row r="1748" spans="1:11" ht="15.75" customHeight="1" x14ac:dyDescent="0.25">
      <c r="A1748" s="217"/>
      <c r="B1748" s="217"/>
      <c r="C1748" s="219"/>
      <c r="D1748" s="221"/>
      <c r="E1748" s="217"/>
      <c r="F1748" s="217"/>
      <c r="G1748" s="217" t="s">
        <v>174</v>
      </c>
      <c r="H1748" s="57" t="s">
        <v>171</v>
      </c>
      <c r="I1748" s="50">
        <v>2241647</v>
      </c>
      <c r="J1748" s="50">
        <f>I1748/D1743</f>
        <v>296.75</v>
      </c>
      <c r="K1748" s="50">
        <f>2241647/D1743</f>
        <v>296.75</v>
      </c>
    </row>
    <row r="1749" spans="1:11" ht="15.75" customHeight="1" x14ac:dyDescent="0.25">
      <c r="A1749" s="217"/>
      <c r="B1749" s="217"/>
      <c r="C1749" s="219"/>
      <c r="D1749" s="221"/>
      <c r="E1749" s="217"/>
      <c r="F1749" s="217"/>
      <c r="G1749" s="222"/>
      <c r="H1749" s="57" t="s">
        <v>69</v>
      </c>
      <c r="I1749" s="50">
        <v>47971</v>
      </c>
      <c r="J1749" s="50">
        <f>I1749/D1743</f>
        <v>6.35</v>
      </c>
      <c r="K1749" s="50">
        <f>47971/D1743</f>
        <v>6.35</v>
      </c>
    </row>
    <row r="1750" spans="1:11" ht="15.75" customHeight="1" x14ac:dyDescent="0.25">
      <c r="A1750" s="217"/>
      <c r="B1750" s="217"/>
      <c r="C1750" s="219"/>
      <c r="D1750" s="221"/>
      <c r="E1750" s="217"/>
      <c r="F1750" s="217"/>
      <c r="G1750" s="217" t="s">
        <v>175</v>
      </c>
      <c r="H1750" s="57" t="s">
        <v>171</v>
      </c>
      <c r="I1750" s="50">
        <v>2241647</v>
      </c>
      <c r="J1750" s="50">
        <f>I1750/D1743</f>
        <v>296.75</v>
      </c>
      <c r="K1750" s="50">
        <f>2241647/D1743</f>
        <v>296.75</v>
      </c>
    </row>
    <row r="1751" spans="1:11" ht="15.75" customHeight="1" x14ac:dyDescent="0.25">
      <c r="A1751" s="217"/>
      <c r="B1751" s="217"/>
      <c r="C1751" s="219"/>
      <c r="D1751" s="221"/>
      <c r="E1751" s="217"/>
      <c r="F1751" s="217"/>
      <c r="G1751" s="222"/>
      <c r="H1751" s="57" t="s">
        <v>69</v>
      </c>
      <c r="I1751" s="50">
        <v>47971</v>
      </c>
      <c r="J1751" s="50">
        <f>I1751/D1743</f>
        <v>6.35</v>
      </c>
      <c r="K1751" s="50">
        <f>47971/D1743</f>
        <v>6.35</v>
      </c>
    </row>
    <row r="1752" spans="1:11" x14ac:dyDescent="0.25">
      <c r="A1752" s="216">
        <f>A1743+1</f>
        <v>67</v>
      </c>
      <c r="B1752" s="216">
        <v>4240</v>
      </c>
      <c r="C1752" s="218" t="s">
        <v>205</v>
      </c>
      <c r="D1752" s="220">
        <v>16244.29</v>
      </c>
      <c r="E1752" s="220" t="s">
        <v>64</v>
      </c>
      <c r="F1752" s="228">
        <v>10</v>
      </c>
      <c r="G1752" s="108"/>
      <c r="H1752" s="57" t="s">
        <v>66</v>
      </c>
      <c r="I1752" s="50">
        <f>I1753+I1754+I1755+I1756+I1757+I1758+I1759+I1760+I1761+I1762+I1763+I1764</f>
        <v>35748928.130000003</v>
      </c>
      <c r="J1752" s="50">
        <f t="shared" ref="J1752:K1752" si="59">J1753+J1754+J1755+J1756+J1757+J1758+J1759+J1760+J1761+J1762+J1763+J1764</f>
        <v>2200.71</v>
      </c>
      <c r="K1752" s="50">
        <f t="shared" si="59"/>
        <v>3196.74</v>
      </c>
    </row>
    <row r="1753" spans="1:11" x14ac:dyDescent="0.25">
      <c r="A1753" s="217"/>
      <c r="B1753" s="217"/>
      <c r="C1753" s="219"/>
      <c r="D1753" s="221"/>
      <c r="E1753" s="221"/>
      <c r="F1753" s="229"/>
      <c r="G1753" s="216" t="s">
        <v>65</v>
      </c>
      <c r="H1753" s="57" t="s">
        <v>67</v>
      </c>
      <c r="I1753" s="50">
        <f>(19008.19+429.47)*1000*1.02*1.2</f>
        <v>23791695.84</v>
      </c>
      <c r="J1753" s="50">
        <f>I1753/D1752+0.01</f>
        <v>1464.63</v>
      </c>
      <c r="K1753" s="50">
        <v>2440</v>
      </c>
    </row>
    <row r="1754" spans="1:11" x14ac:dyDescent="0.25">
      <c r="A1754" s="217"/>
      <c r="B1754" s="217"/>
      <c r="C1754" s="219"/>
      <c r="D1754" s="221"/>
      <c r="E1754" s="221"/>
      <c r="F1754" s="229"/>
      <c r="G1754" s="222"/>
      <c r="H1754" s="57" t="s">
        <v>69</v>
      </c>
      <c r="I1754" s="50">
        <f>I1753*0.0214</f>
        <v>509142.29</v>
      </c>
      <c r="J1754" s="50">
        <f>I1754/D1752</f>
        <v>31.34</v>
      </c>
      <c r="K1754" s="50">
        <v>52</v>
      </c>
    </row>
    <row r="1755" spans="1:11" x14ac:dyDescent="0.25">
      <c r="A1755" s="217"/>
      <c r="B1755" s="217"/>
      <c r="C1755" s="219"/>
      <c r="D1755" s="221"/>
      <c r="E1755" s="221"/>
      <c r="F1755" s="229"/>
      <c r="G1755" s="216" t="s">
        <v>174</v>
      </c>
      <c r="H1755" s="57" t="s">
        <v>171</v>
      </c>
      <c r="I1755" s="50">
        <v>2241647</v>
      </c>
      <c r="J1755" s="50">
        <f>I1755/D1752</f>
        <v>138</v>
      </c>
      <c r="K1755" s="50">
        <f>2241647/D1752</f>
        <v>138</v>
      </c>
    </row>
    <row r="1756" spans="1:11" x14ac:dyDescent="0.25">
      <c r="A1756" s="217"/>
      <c r="B1756" s="217"/>
      <c r="C1756" s="219"/>
      <c r="D1756" s="221"/>
      <c r="E1756" s="221"/>
      <c r="F1756" s="229"/>
      <c r="G1756" s="222"/>
      <c r="H1756" s="57" t="s">
        <v>69</v>
      </c>
      <c r="I1756" s="50">
        <v>47971</v>
      </c>
      <c r="J1756" s="50">
        <f>I1756/D1752</f>
        <v>2.95</v>
      </c>
      <c r="K1756" s="50">
        <f>47971/D1752</f>
        <v>2.95</v>
      </c>
    </row>
    <row r="1757" spans="1:11" x14ac:dyDescent="0.25">
      <c r="A1757" s="217"/>
      <c r="B1757" s="217"/>
      <c r="C1757" s="219"/>
      <c r="D1757" s="221"/>
      <c r="E1757" s="221"/>
      <c r="F1757" s="229"/>
      <c r="G1757" s="216" t="s">
        <v>175</v>
      </c>
      <c r="H1757" s="57" t="s">
        <v>171</v>
      </c>
      <c r="I1757" s="50">
        <v>2241647</v>
      </c>
      <c r="J1757" s="50">
        <f>I1757/D1752-0.01</f>
        <v>137.99</v>
      </c>
      <c r="K1757" s="50">
        <f>2241647/D1752-0.01</f>
        <v>137.99</v>
      </c>
    </row>
    <row r="1758" spans="1:11" x14ac:dyDescent="0.25">
      <c r="A1758" s="217"/>
      <c r="B1758" s="217"/>
      <c r="C1758" s="219"/>
      <c r="D1758" s="221"/>
      <c r="E1758" s="221"/>
      <c r="F1758" s="229"/>
      <c r="G1758" s="222"/>
      <c r="H1758" s="57" t="s">
        <v>69</v>
      </c>
      <c r="I1758" s="50">
        <v>47971</v>
      </c>
      <c r="J1758" s="50">
        <f>I1758/D1752</f>
        <v>2.95</v>
      </c>
      <c r="K1758" s="50">
        <f>47971/D1752</f>
        <v>2.95</v>
      </c>
    </row>
    <row r="1759" spans="1:11" x14ac:dyDescent="0.25">
      <c r="A1759" s="217"/>
      <c r="B1759" s="217"/>
      <c r="C1759" s="219"/>
      <c r="D1759" s="221"/>
      <c r="E1759" s="221"/>
      <c r="F1759" s="229"/>
      <c r="G1759" s="216" t="s">
        <v>172</v>
      </c>
      <c r="H1759" s="57" t="s">
        <v>171</v>
      </c>
      <c r="I1759" s="50">
        <v>2241647</v>
      </c>
      <c r="J1759" s="50">
        <f>I1759/D1752</f>
        <v>138</v>
      </c>
      <c r="K1759" s="50">
        <f>2241647/D1752</f>
        <v>138</v>
      </c>
    </row>
    <row r="1760" spans="1:11" x14ac:dyDescent="0.25">
      <c r="A1760" s="217"/>
      <c r="B1760" s="217"/>
      <c r="C1760" s="219"/>
      <c r="D1760" s="221"/>
      <c r="E1760" s="221"/>
      <c r="F1760" s="229"/>
      <c r="G1760" s="222"/>
      <c r="H1760" s="57" t="s">
        <v>69</v>
      </c>
      <c r="I1760" s="50">
        <v>47971</v>
      </c>
      <c r="J1760" s="50">
        <f>I1760/D1752</f>
        <v>2.95</v>
      </c>
      <c r="K1760" s="50">
        <f>47971/D1752</f>
        <v>2.95</v>
      </c>
    </row>
    <row r="1761" spans="1:11" x14ac:dyDescent="0.25">
      <c r="A1761" s="217"/>
      <c r="B1761" s="217"/>
      <c r="C1761" s="219"/>
      <c r="D1761" s="221"/>
      <c r="E1761" s="221"/>
      <c r="F1761" s="229"/>
      <c r="G1761" s="216" t="s">
        <v>444</v>
      </c>
      <c r="H1761" s="57" t="s">
        <v>171</v>
      </c>
      <c r="I1761" s="50">
        <v>2241647</v>
      </c>
      <c r="J1761" s="50">
        <f>I1761/D1752</f>
        <v>138</v>
      </c>
      <c r="K1761" s="50">
        <f>2241647/D1752</f>
        <v>138</v>
      </c>
    </row>
    <row r="1762" spans="1:11" x14ac:dyDescent="0.25">
      <c r="A1762" s="217"/>
      <c r="B1762" s="217"/>
      <c r="C1762" s="219"/>
      <c r="D1762" s="221"/>
      <c r="E1762" s="221"/>
      <c r="F1762" s="229"/>
      <c r="G1762" s="222"/>
      <c r="H1762" s="57" t="s">
        <v>69</v>
      </c>
      <c r="I1762" s="50">
        <v>47971</v>
      </c>
      <c r="J1762" s="50">
        <f>I1762/D1752</f>
        <v>2.95</v>
      </c>
      <c r="K1762" s="50">
        <f>47971/D1752</f>
        <v>2.95</v>
      </c>
    </row>
    <row r="1763" spans="1:11" x14ac:dyDescent="0.25">
      <c r="A1763" s="217"/>
      <c r="B1763" s="217"/>
      <c r="C1763" s="219"/>
      <c r="D1763" s="221"/>
      <c r="E1763" s="221"/>
      <c r="F1763" s="229"/>
      <c r="G1763" s="216" t="s">
        <v>453</v>
      </c>
      <c r="H1763" s="57" t="s">
        <v>171</v>
      </c>
      <c r="I1763" s="50">
        <v>2241647</v>
      </c>
      <c r="J1763" s="50">
        <f>I1763/D1752</f>
        <v>138</v>
      </c>
      <c r="K1763" s="50">
        <f>2241647/D1752</f>
        <v>138</v>
      </c>
    </row>
    <row r="1764" spans="1:11" x14ac:dyDescent="0.25">
      <c r="A1764" s="222"/>
      <c r="B1764" s="222"/>
      <c r="C1764" s="226"/>
      <c r="D1764" s="227"/>
      <c r="E1764" s="227"/>
      <c r="F1764" s="230"/>
      <c r="G1764" s="222"/>
      <c r="H1764" s="57" t="s">
        <v>69</v>
      </c>
      <c r="I1764" s="50">
        <v>47971</v>
      </c>
      <c r="J1764" s="50">
        <f>I1764/D1752</f>
        <v>2.95</v>
      </c>
      <c r="K1764" s="50">
        <f>47971/D1752</f>
        <v>2.95</v>
      </c>
    </row>
    <row r="1765" spans="1:11" x14ac:dyDescent="0.25">
      <c r="A1765" s="215">
        <f>A1752+1</f>
        <v>68</v>
      </c>
      <c r="B1765" s="215">
        <v>4334</v>
      </c>
      <c r="C1765" s="223" t="s">
        <v>206</v>
      </c>
      <c r="D1765" s="224">
        <v>8925.1</v>
      </c>
      <c r="E1765" s="224" t="s">
        <v>64</v>
      </c>
      <c r="F1765" s="225">
        <v>10</v>
      </c>
      <c r="G1765" s="215" t="s">
        <v>65</v>
      </c>
      <c r="H1765" s="57" t="s">
        <v>66</v>
      </c>
      <c r="I1765" s="50">
        <f>I1766+I1767</f>
        <v>14425451.369999999</v>
      </c>
      <c r="J1765" s="50">
        <f>J1766+J1767</f>
        <v>1616.28</v>
      </c>
      <c r="K1765" s="50">
        <f>K1766+K1767</f>
        <v>2492</v>
      </c>
    </row>
    <row r="1766" spans="1:11" x14ac:dyDescent="0.25">
      <c r="A1766" s="215">
        <v>77</v>
      </c>
      <c r="B1766" s="215"/>
      <c r="C1766" s="223"/>
      <c r="D1766" s="215"/>
      <c r="E1766" s="224"/>
      <c r="F1766" s="225"/>
      <c r="G1766" s="215"/>
      <c r="H1766" s="57" t="s">
        <v>67</v>
      </c>
      <c r="I1766" s="50">
        <f>(11248645+289929)*1.02*1.2</f>
        <v>14123214.58</v>
      </c>
      <c r="J1766" s="50">
        <f>I1766/D1765</f>
        <v>1582.42</v>
      </c>
      <c r="K1766" s="50">
        <v>2440</v>
      </c>
    </row>
    <row r="1767" spans="1:11" x14ac:dyDescent="0.25">
      <c r="A1767" s="215"/>
      <c r="B1767" s="215"/>
      <c r="C1767" s="223"/>
      <c r="D1767" s="215"/>
      <c r="E1767" s="224"/>
      <c r="F1767" s="225"/>
      <c r="G1767" s="215"/>
      <c r="H1767" s="57" t="s">
        <v>69</v>
      </c>
      <c r="I1767" s="50">
        <f>I1766*0.0214</f>
        <v>302236.78999999998</v>
      </c>
      <c r="J1767" s="50">
        <f>I1767/D1765</f>
        <v>33.86</v>
      </c>
      <c r="K1767" s="50">
        <v>52</v>
      </c>
    </row>
    <row r="1768" spans="1:11" ht="15.75" customHeight="1" x14ac:dyDescent="0.25">
      <c r="A1768" s="215">
        <f>A1765+1</f>
        <v>69</v>
      </c>
      <c r="B1768" s="215">
        <v>4093</v>
      </c>
      <c r="C1768" s="223" t="s">
        <v>496</v>
      </c>
      <c r="D1768" s="224">
        <v>18536.900000000001</v>
      </c>
      <c r="E1768" s="224" t="s">
        <v>64</v>
      </c>
      <c r="F1768" s="225">
        <v>10</v>
      </c>
      <c r="G1768" s="105"/>
      <c r="H1768" s="57" t="s">
        <v>66</v>
      </c>
      <c r="I1768" s="50">
        <f>I1769+I1770+I1771+I1772</f>
        <v>4579236</v>
      </c>
      <c r="J1768" s="50">
        <f>J1769+J1770+J1771+J1772</f>
        <v>247.03</v>
      </c>
      <c r="K1768" s="50">
        <f>K1769+K1770+K1771+K1772</f>
        <v>247.03</v>
      </c>
    </row>
    <row r="1769" spans="1:11" ht="15.75" customHeight="1" x14ac:dyDescent="0.25">
      <c r="A1769" s="215"/>
      <c r="B1769" s="215"/>
      <c r="C1769" s="223"/>
      <c r="D1769" s="224"/>
      <c r="E1769" s="224"/>
      <c r="F1769" s="225"/>
      <c r="G1769" s="216" t="s">
        <v>175</v>
      </c>
      <c r="H1769" s="57" t="s">
        <v>171</v>
      </c>
      <c r="I1769" s="50">
        <v>2241647</v>
      </c>
      <c r="J1769" s="50">
        <f>I1769/D1768-0.01</f>
        <v>120.92</v>
      </c>
      <c r="K1769" s="50">
        <f>2241647/D1768-0.01</f>
        <v>120.92</v>
      </c>
    </row>
    <row r="1770" spans="1:11" ht="15.75" customHeight="1" x14ac:dyDescent="0.25">
      <c r="A1770" s="215"/>
      <c r="B1770" s="215"/>
      <c r="C1770" s="223"/>
      <c r="D1770" s="224"/>
      <c r="E1770" s="224"/>
      <c r="F1770" s="225"/>
      <c r="G1770" s="222"/>
      <c r="H1770" s="57" t="s">
        <v>69</v>
      </c>
      <c r="I1770" s="50">
        <v>47971</v>
      </c>
      <c r="J1770" s="50">
        <f>I1770/D1768</f>
        <v>2.59</v>
      </c>
      <c r="K1770" s="50">
        <f>47971/D1768</f>
        <v>2.59</v>
      </c>
    </row>
    <row r="1771" spans="1:11" ht="15.75" customHeight="1" x14ac:dyDescent="0.25">
      <c r="A1771" s="215"/>
      <c r="B1771" s="215"/>
      <c r="C1771" s="223"/>
      <c r="D1771" s="224"/>
      <c r="E1771" s="224"/>
      <c r="F1771" s="225"/>
      <c r="G1771" s="216" t="s">
        <v>172</v>
      </c>
      <c r="H1771" s="57" t="s">
        <v>171</v>
      </c>
      <c r="I1771" s="50">
        <v>2241647</v>
      </c>
      <c r="J1771" s="50">
        <f>I1771/D1768</f>
        <v>120.93</v>
      </c>
      <c r="K1771" s="50">
        <f>2241647/D1768</f>
        <v>120.93</v>
      </c>
    </row>
    <row r="1772" spans="1:11" ht="15.75" customHeight="1" x14ac:dyDescent="0.25">
      <c r="A1772" s="215"/>
      <c r="B1772" s="215"/>
      <c r="C1772" s="223"/>
      <c r="D1772" s="224"/>
      <c r="E1772" s="224"/>
      <c r="F1772" s="225"/>
      <c r="G1772" s="222"/>
      <c r="H1772" s="57" t="s">
        <v>69</v>
      </c>
      <c r="I1772" s="50">
        <v>47971</v>
      </c>
      <c r="J1772" s="50">
        <f>I1772/D1768</f>
        <v>2.59</v>
      </c>
      <c r="K1772" s="50">
        <f>47971/D1768</f>
        <v>2.59</v>
      </c>
    </row>
    <row r="1773" spans="1:11" x14ac:dyDescent="0.25">
      <c r="A1773" s="215">
        <f>A1768+1</f>
        <v>70</v>
      </c>
      <c r="B1773" s="215">
        <v>3112</v>
      </c>
      <c r="C1773" s="223" t="s">
        <v>377</v>
      </c>
      <c r="D1773" s="224">
        <v>16849.099999999999</v>
      </c>
      <c r="E1773" s="224" t="s">
        <v>64</v>
      </c>
      <c r="F1773" s="225">
        <v>9</v>
      </c>
      <c r="G1773" s="215" t="s">
        <v>65</v>
      </c>
      <c r="H1773" s="57" t="s">
        <v>66</v>
      </c>
      <c r="I1773" s="50">
        <f>I1774</f>
        <v>1277782.8999999999</v>
      </c>
      <c r="J1773" s="50">
        <f>J1774</f>
        <v>75.84</v>
      </c>
      <c r="K1773" s="50">
        <f>K1774</f>
        <v>164</v>
      </c>
    </row>
    <row r="1774" spans="1:11" ht="63" x14ac:dyDescent="0.25">
      <c r="A1774" s="215"/>
      <c r="B1774" s="215"/>
      <c r="C1774" s="223"/>
      <c r="D1774" s="224"/>
      <c r="E1774" s="224"/>
      <c r="F1774" s="225"/>
      <c r="G1774" s="215"/>
      <c r="H1774" s="57" t="s">
        <v>168</v>
      </c>
      <c r="I1774" s="50">
        <f>1058744.6+219038.3</f>
        <v>1277782.8999999999</v>
      </c>
      <c r="J1774" s="50">
        <f>I1774/D1773</f>
        <v>75.84</v>
      </c>
      <c r="K1774" s="50">
        <f>151+13</f>
        <v>164</v>
      </c>
    </row>
    <row r="1775" spans="1:11" ht="15.75" customHeight="1" x14ac:dyDescent="0.25">
      <c r="A1775" s="215">
        <f>A1773+1</f>
        <v>71</v>
      </c>
      <c r="B1775" s="215">
        <v>3103</v>
      </c>
      <c r="C1775" s="223" t="s">
        <v>658</v>
      </c>
      <c r="D1775" s="224">
        <v>2533.89</v>
      </c>
      <c r="E1775" s="224" t="s">
        <v>68</v>
      </c>
      <c r="F1775" s="225">
        <v>4</v>
      </c>
      <c r="G1775" s="215" t="s">
        <v>74</v>
      </c>
      <c r="H1775" s="57" t="s">
        <v>66</v>
      </c>
      <c r="I1775" s="50">
        <f>I1776</f>
        <v>119092.83</v>
      </c>
      <c r="J1775" s="50">
        <f>J1776</f>
        <v>47</v>
      </c>
      <c r="K1775" s="50">
        <f>K1776</f>
        <v>47</v>
      </c>
    </row>
    <row r="1776" spans="1:11" ht="47.25" customHeight="1" x14ac:dyDescent="0.25">
      <c r="A1776" s="215"/>
      <c r="B1776" s="215"/>
      <c r="C1776" s="223"/>
      <c r="D1776" s="224"/>
      <c r="E1776" s="224"/>
      <c r="F1776" s="225"/>
      <c r="G1776" s="215"/>
      <c r="H1776" s="57" t="s">
        <v>168</v>
      </c>
      <c r="I1776" s="50">
        <f>D1775*K1776</f>
        <v>119092.83</v>
      </c>
      <c r="J1776" s="50">
        <f>I1776/D1775</f>
        <v>47</v>
      </c>
      <c r="K1776" s="50">
        <f>34+13</f>
        <v>47</v>
      </c>
    </row>
    <row r="1777" spans="1:11" ht="15.75" customHeight="1" x14ac:dyDescent="0.25">
      <c r="A1777" s="216">
        <f>A1775+1</f>
        <v>72</v>
      </c>
      <c r="B1777" s="216">
        <v>3105</v>
      </c>
      <c r="C1777" s="218" t="s">
        <v>208</v>
      </c>
      <c r="D1777" s="220">
        <v>11658.1</v>
      </c>
      <c r="E1777" s="220" t="s">
        <v>64</v>
      </c>
      <c r="F1777" s="228">
        <v>10</v>
      </c>
      <c r="G1777" s="215" t="s">
        <v>65</v>
      </c>
      <c r="H1777" s="57" t="s">
        <v>66</v>
      </c>
      <c r="I1777" s="50">
        <f>I1778+I1779+I1780+I1781+I1782+I1783+I1784</f>
        <v>14355919.6</v>
      </c>
      <c r="J1777" s="50">
        <f t="shared" ref="J1777:K1777" si="60">J1778+J1779+J1780+J1781+J1782+J1783+J1784</f>
        <v>1231.4100000000001</v>
      </c>
      <c r="K1777" s="50">
        <f t="shared" si="60"/>
        <v>2505.85</v>
      </c>
    </row>
    <row r="1778" spans="1:11" x14ac:dyDescent="0.25">
      <c r="A1778" s="217">
        <v>77</v>
      </c>
      <c r="B1778" s="217"/>
      <c r="C1778" s="219"/>
      <c r="D1778" s="221"/>
      <c r="E1778" s="221"/>
      <c r="F1778" s="229"/>
      <c r="G1778" s="215"/>
      <c r="H1778" s="57" t="s">
        <v>67</v>
      </c>
      <c r="I1778" s="50">
        <v>13897116.310000001</v>
      </c>
      <c r="J1778" s="50">
        <f>I1778/D1777-0.01</f>
        <v>1192.05</v>
      </c>
      <c r="K1778" s="50">
        <v>2440</v>
      </c>
    </row>
    <row r="1779" spans="1:11" x14ac:dyDescent="0.25">
      <c r="A1779" s="217"/>
      <c r="B1779" s="217"/>
      <c r="C1779" s="219"/>
      <c r="D1779" s="221"/>
      <c r="E1779" s="221"/>
      <c r="F1779" s="229"/>
      <c r="G1779" s="215"/>
      <c r="H1779" s="57" t="s">
        <v>69</v>
      </c>
      <c r="I1779" s="50">
        <f>I1778*0.0214</f>
        <v>297398.28999999998</v>
      </c>
      <c r="J1779" s="50">
        <f>I1779/D1777</f>
        <v>25.51</v>
      </c>
      <c r="K1779" s="50">
        <v>52</v>
      </c>
    </row>
    <row r="1780" spans="1:11" ht="47.25" customHeight="1" x14ac:dyDescent="0.25">
      <c r="A1780" s="217"/>
      <c r="B1780" s="217"/>
      <c r="C1780" s="219"/>
      <c r="D1780" s="221"/>
      <c r="E1780" s="221"/>
      <c r="F1780" s="229"/>
      <c r="G1780" s="102" t="s">
        <v>170</v>
      </c>
      <c r="H1780" s="57" t="s">
        <v>168</v>
      </c>
      <c r="I1780" s="50">
        <f>22681+9600</f>
        <v>32281</v>
      </c>
      <c r="J1780" s="50">
        <f>I1780/D1777</f>
        <v>2.77</v>
      </c>
      <c r="K1780" s="50">
        <f>32281/D1777</f>
        <v>2.77</v>
      </c>
    </row>
    <row r="1781" spans="1:11" ht="47.25" customHeight="1" x14ac:dyDescent="0.25">
      <c r="A1781" s="217"/>
      <c r="B1781" s="217"/>
      <c r="C1781" s="219"/>
      <c r="D1781" s="221"/>
      <c r="E1781" s="221"/>
      <c r="F1781" s="229"/>
      <c r="G1781" s="102" t="s">
        <v>173</v>
      </c>
      <c r="H1781" s="57" t="s">
        <v>168</v>
      </c>
      <c r="I1781" s="50">
        <f>22681+9600</f>
        <v>32281</v>
      </c>
      <c r="J1781" s="50">
        <f>I1781/D1777</f>
        <v>2.77</v>
      </c>
      <c r="K1781" s="50">
        <f>32281/D1777</f>
        <v>2.77</v>
      </c>
    </row>
    <row r="1782" spans="1:11" ht="47.25" customHeight="1" x14ac:dyDescent="0.25">
      <c r="A1782" s="217"/>
      <c r="B1782" s="217"/>
      <c r="C1782" s="219"/>
      <c r="D1782" s="221"/>
      <c r="E1782" s="221"/>
      <c r="F1782" s="229"/>
      <c r="G1782" s="102" t="s">
        <v>174</v>
      </c>
      <c r="H1782" s="57" t="s">
        <v>168</v>
      </c>
      <c r="I1782" s="50">
        <f>22681+9600</f>
        <v>32281</v>
      </c>
      <c r="J1782" s="50">
        <f>I1782/D1777</f>
        <v>2.77</v>
      </c>
      <c r="K1782" s="50">
        <f>32281/D1777</f>
        <v>2.77</v>
      </c>
    </row>
    <row r="1783" spans="1:11" ht="47.25" customHeight="1" x14ac:dyDescent="0.25">
      <c r="A1783" s="217"/>
      <c r="B1783" s="217"/>
      <c r="C1783" s="219"/>
      <c r="D1783" s="221"/>
      <c r="E1783" s="221"/>
      <c r="F1783" s="229"/>
      <c r="G1783" s="102" t="s">
        <v>175</v>
      </c>
      <c r="H1783" s="57" t="s">
        <v>168</v>
      </c>
      <c r="I1783" s="50">
        <f>22681+9600</f>
        <v>32281</v>
      </c>
      <c r="J1783" s="50">
        <f>I1783/D1777</f>
        <v>2.77</v>
      </c>
      <c r="K1783" s="50">
        <f>32281/D1777</f>
        <v>2.77</v>
      </c>
    </row>
    <row r="1784" spans="1:11" ht="47.25" customHeight="1" x14ac:dyDescent="0.25">
      <c r="A1784" s="217"/>
      <c r="B1784" s="217"/>
      <c r="C1784" s="219"/>
      <c r="D1784" s="221"/>
      <c r="E1784" s="221"/>
      <c r="F1784" s="229"/>
      <c r="G1784" s="102" t="s">
        <v>172</v>
      </c>
      <c r="H1784" s="57" t="s">
        <v>168</v>
      </c>
      <c r="I1784" s="50">
        <f>22681+9600</f>
        <v>32281</v>
      </c>
      <c r="J1784" s="50">
        <f>I1784/D1777</f>
        <v>2.77</v>
      </c>
      <c r="K1784" s="50">
        <f>32281/D1777</f>
        <v>2.77</v>
      </c>
    </row>
    <row r="1785" spans="1:11" ht="15.75" customHeight="1" x14ac:dyDescent="0.25">
      <c r="A1785" s="216">
        <f>A1777+1</f>
        <v>73</v>
      </c>
      <c r="B1785" s="216">
        <v>4261</v>
      </c>
      <c r="C1785" s="218" t="s">
        <v>608</v>
      </c>
      <c r="D1785" s="220">
        <v>3106.9</v>
      </c>
      <c r="E1785" s="216" t="s">
        <v>68</v>
      </c>
      <c r="F1785" s="216">
        <v>10</v>
      </c>
      <c r="G1785" s="105"/>
      <c r="H1785" s="57" t="s">
        <v>66</v>
      </c>
      <c r="I1785" s="50">
        <f>I1786+I1787</f>
        <v>2511373</v>
      </c>
      <c r="J1785" s="50">
        <f>J1786+J1787</f>
        <v>808.32</v>
      </c>
      <c r="K1785" s="50">
        <f>K1786+K1787</f>
        <v>808.33</v>
      </c>
    </row>
    <row r="1786" spans="1:11" ht="15.75" customHeight="1" x14ac:dyDescent="0.25">
      <c r="A1786" s="217"/>
      <c r="B1786" s="217"/>
      <c r="C1786" s="219"/>
      <c r="D1786" s="221"/>
      <c r="E1786" s="217"/>
      <c r="F1786" s="217"/>
      <c r="G1786" s="217" t="s">
        <v>170</v>
      </c>
      <c r="H1786" s="57" t="s">
        <v>171</v>
      </c>
      <c r="I1786" s="50">
        <v>2458756</v>
      </c>
      <c r="J1786" s="50">
        <f>I1786/D1785-0.01</f>
        <v>791.38</v>
      </c>
      <c r="K1786" s="50">
        <f>2458756/D1785</f>
        <v>791.39</v>
      </c>
    </row>
    <row r="1787" spans="1:11" ht="15.75" customHeight="1" x14ac:dyDescent="0.25">
      <c r="A1787" s="217"/>
      <c r="B1787" s="217"/>
      <c r="C1787" s="219"/>
      <c r="D1787" s="221"/>
      <c r="E1787" s="217"/>
      <c r="F1787" s="217"/>
      <c r="G1787" s="222"/>
      <c r="H1787" s="57" t="s">
        <v>69</v>
      </c>
      <c r="I1787" s="50">
        <v>52617</v>
      </c>
      <c r="J1787" s="50">
        <f>I1787/D1785</f>
        <v>16.940000000000001</v>
      </c>
      <c r="K1787" s="50">
        <f>52617/D1785</f>
        <v>16.940000000000001</v>
      </c>
    </row>
    <row r="1788" spans="1:11" ht="15.75" customHeight="1" x14ac:dyDescent="0.25">
      <c r="A1788" s="216">
        <f>A1785+1</f>
        <v>74</v>
      </c>
      <c r="B1788" s="216">
        <v>4378</v>
      </c>
      <c r="C1788" s="218" t="s">
        <v>609</v>
      </c>
      <c r="D1788" s="220">
        <v>3900.4</v>
      </c>
      <c r="E1788" s="216" t="s">
        <v>68</v>
      </c>
      <c r="F1788" s="216">
        <v>10</v>
      </c>
      <c r="G1788" s="105"/>
      <c r="H1788" s="57" t="s">
        <v>66</v>
      </c>
      <c r="I1788" s="50">
        <f>I1789+I1790</f>
        <v>2511373</v>
      </c>
      <c r="J1788" s="50">
        <f>J1789+J1790</f>
        <v>643.88</v>
      </c>
      <c r="K1788" s="50">
        <f>K1789+K1790</f>
        <v>643.88</v>
      </c>
    </row>
    <row r="1789" spans="1:11" ht="15.75" customHeight="1" x14ac:dyDescent="0.25">
      <c r="A1789" s="217"/>
      <c r="B1789" s="217"/>
      <c r="C1789" s="219"/>
      <c r="D1789" s="221"/>
      <c r="E1789" s="217"/>
      <c r="F1789" s="217"/>
      <c r="G1789" s="217" t="s">
        <v>170</v>
      </c>
      <c r="H1789" s="57" t="s">
        <v>171</v>
      </c>
      <c r="I1789" s="50">
        <v>2458756</v>
      </c>
      <c r="J1789" s="50">
        <f>I1789/D1788</f>
        <v>630.39</v>
      </c>
      <c r="K1789" s="50">
        <f>2458756/D1788</f>
        <v>630.39</v>
      </c>
    </row>
    <row r="1790" spans="1:11" ht="15.75" customHeight="1" x14ac:dyDescent="0.25">
      <c r="A1790" s="217"/>
      <c r="B1790" s="217"/>
      <c r="C1790" s="219"/>
      <c r="D1790" s="221"/>
      <c r="E1790" s="217"/>
      <c r="F1790" s="217"/>
      <c r="G1790" s="222"/>
      <c r="H1790" s="57" t="s">
        <v>69</v>
      </c>
      <c r="I1790" s="50">
        <v>52617</v>
      </c>
      <c r="J1790" s="50">
        <f>I1790/D1788</f>
        <v>13.49</v>
      </c>
      <c r="K1790" s="50">
        <f>52617/D1788</f>
        <v>13.49</v>
      </c>
    </row>
    <row r="1791" spans="1:11" ht="15.75" customHeight="1" x14ac:dyDescent="0.25">
      <c r="A1791" s="216">
        <f>A1788+1</f>
        <v>75</v>
      </c>
      <c r="B1791" s="216">
        <v>4243</v>
      </c>
      <c r="C1791" s="218" t="s">
        <v>610</v>
      </c>
      <c r="D1791" s="220">
        <v>3950.38</v>
      </c>
      <c r="E1791" s="216" t="s">
        <v>68</v>
      </c>
      <c r="F1791" s="216">
        <v>9</v>
      </c>
      <c r="G1791" s="105"/>
      <c r="H1791" s="57" t="s">
        <v>66</v>
      </c>
      <c r="I1791" s="50">
        <f>I1792+I1793+I1794+I1795</f>
        <v>4579236</v>
      </c>
      <c r="J1791" s="50">
        <f>J1792+J1793+J1794+J1795</f>
        <v>1159.19</v>
      </c>
      <c r="K1791" s="50">
        <f>K1792+K1793+K1794+K1795</f>
        <v>1159.19</v>
      </c>
    </row>
    <row r="1792" spans="1:11" ht="15.75" customHeight="1" x14ac:dyDescent="0.25">
      <c r="A1792" s="217"/>
      <c r="B1792" s="217"/>
      <c r="C1792" s="219"/>
      <c r="D1792" s="221"/>
      <c r="E1792" s="217"/>
      <c r="F1792" s="217"/>
      <c r="G1792" s="217" t="s">
        <v>170</v>
      </c>
      <c r="H1792" s="57" t="s">
        <v>171</v>
      </c>
      <c r="I1792" s="50">
        <v>2241647</v>
      </c>
      <c r="J1792" s="50">
        <f>I1792/D1791+0.01</f>
        <v>567.46</v>
      </c>
      <c r="K1792" s="50">
        <f>2241647/D1791+0.01</f>
        <v>567.46</v>
      </c>
    </row>
    <row r="1793" spans="1:11" ht="15.75" customHeight="1" x14ac:dyDescent="0.25">
      <c r="A1793" s="217"/>
      <c r="B1793" s="217"/>
      <c r="C1793" s="219"/>
      <c r="D1793" s="221"/>
      <c r="E1793" s="217"/>
      <c r="F1793" s="217"/>
      <c r="G1793" s="222"/>
      <c r="H1793" s="57" t="s">
        <v>69</v>
      </c>
      <c r="I1793" s="50">
        <v>47971</v>
      </c>
      <c r="J1793" s="50">
        <f>I1793/D1791</f>
        <v>12.14</v>
      </c>
      <c r="K1793" s="50">
        <f>47971/D1791</f>
        <v>12.14</v>
      </c>
    </row>
    <row r="1794" spans="1:11" ht="15.75" customHeight="1" x14ac:dyDescent="0.25">
      <c r="A1794" s="217"/>
      <c r="B1794" s="217"/>
      <c r="C1794" s="219"/>
      <c r="D1794" s="221"/>
      <c r="E1794" s="217"/>
      <c r="F1794" s="217"/>
      <c r="G1794" s="217" t="s">
        <v>173</v>
      </c>
      <c r="H1794" s="57" t="s">
        <v>171</v>
      </c>
      <c r="I1794" s="50">
        <v>2241647</v>
      </c>
      <c r="J1794" s="50">
        <f>I1794/D1791</f>
        <v>567.45000000000005</v>
      </c>
      <c r="K1794" s="50">
        <f>2241647/D1791</f>
        <v>567.45000000000005</v>
      </c>
    </row>
    <row r="1795" spans="1:11" ht="15.75" customHeight="1" x14ac:dyDescent="0.25">
      <c r="A1795" s="217"/>
      <c r="B1795" s="217"/>
      <c r="C1795" s="219"/>
      <c r="D1795" s="221"/>
      <c r="E1795" s="217"/>
      <c r="F1795" s="217"/>
      <c r="G1795" s="222"/>
      <c r="H1795" s="57" t="s">
        <v>69</v>
      </c>
      <c r="I1795" s="50">
        <v>47971</v>
      </c>
      <c r="J1795" s="50">
        <f>I1795/D1791</f>
        <v>12.14</v>
      </c>
      <c r="K1795" s="50">
        <f>47971/D1791</f>
        <v>12.14</v>
      </c>
    </row>
    <row r="1796" spans="1:11" ht="15.75" customHeight="1" x14ac:dyDescent="0.25">
      <c r="A1796" s="216">
        <f>A1791+1</f>
        <v>76</v>
      </c>
      <c r="B1796" s="216">
        <v>4379</v>
      </c>
      <c r="C1796" s="218" t="s">
        <v>611</v>
      </c>
      <c r="D1796" s="220">
        <v>3914.2</v>
      </c>
      <c r="E1796" s="216" t="s">
        <v>68</v>
      </c>
      <c r="F1796" s="216">
        <v>10</v>
      </c>
      <c r="G1796" s="105"/>
      <c r="H1796" s="57" t="s">
        <v>66</v>
      </c>
      <c r="I1796" s="50">
        <f>I1797+I1798</f>
        <v>2511373</v>
      </c>
      <c r="J1796" s="50">
        <f>J1797+J1798</f>
        <v>641.61</v>
      </c>
      <c r="K1796" s="50">
        <f>K1797+K1798</f>
        <v>641.6</v>
      </c>
    </row>
    <row r="1797" spans="1:11" ht="15.75" customHeight="1" x14ac:dyDescent="0.25">
      <c r="A1797" s="217"/>
      <c r="B1797" s="217"/>
      <c r="C1797" s="219"/>
      <c r="D1797" s="221"/>
      <c r="E1797" s="217"/>
      <c r="F1797" s="217"/>
      <c r="G1797" s="217" t="s">
        <v>170</v>
      </c>
      <c r="H1797" s="57" t="s">
        <v>171</v>
      </c>
      <c r="I1797" s="50">
        <v>2458756</v>
      </c>
      <c r="J1797" s="50">
        <f>I1797/D1796+0.01</f>
        <v>628.16999999999996</v>
      </c>
      <c r="K1797" s="50">
        <f>2458756/D1796</f>
        <v>628.16</v>
      </c>
    </row>
    <row r="1798" spans="1:11" ht="15.75" customHeight="1" x14ac:dyDescent="0.25">
      <c r="A1798" s="217"/>
      <c r="B1798" s="217"/>
      <c r="C1798" s="219"/>
      <c r="D1798" s="221"/>
      <c r="E1798" s="217"/>
      <c r="F1798" s="217"/>
      <c r="G1798" s="222"/>
      <c r="H1798" s="57" t="s">
        <v>69</v>
      </c>
      <c r="I1798" s="50">
        <v>52617</v>
      </c>
      <c r="J1798" s="50">
        <f>I1798/D1796</f>
        <v>13.44</v>
      </c>
      <c r="K1798" s="50">
        <f>52617/D1796</f>
        <v>13.44</v>
      </c>
    </row>
    <row r="1799" spans="1:11" x14ac:dyDescent="0.25">
      <c r="A1799" s="215">
        <f>A1796+1</f>
        <v>77</v>
      </c>
      <c r="B1799" s="215">
        <v>3131</v>
      </c>
      <c r="C1799" s="223" t="s">
        <v>209</v>
      </c>
      <c r="D1799" s="224">
        <v>12715.9</v>
      </c>
      <c r="E1799" s="224" t="s">
        <v>64</v>
      </c>
      <c r="F1799" s="225">
        <v>10</v>
      </c>
      <c r="G1799" s="215" t="s">
        <v>70</v>
      </c>
      <c r="H1799" s="57" t="s">
        <v>66</v>
      </c>
      <c r="I1799" s="50">
        <f>I1800+I1801</f>
        <v>20701485.199999999</v>
      </c>
      <c r="J1799" s="50">
        <f>J1800+J1801</f>
        <v>1628</v>
      </c>
      <c r="K1799" s="50">
        <f>K1800+K1801</f>
        <v>1628</v>
      </c>
    </row>
    <row r="1800" spans="1:11" x14ac:dyDescent="0.25">
      <c r="A1800" s="215">
        <v>75</v>
      </c>
      <c r="B1800" s="215"/>
      <c r="C1800" s="223"/>
      <c r="D1800" s="224"/>
      <c r="E1800" s="224"/>
      <c r="F1800" s="225"/>
      <c r="G1800" s="215"/>
      <c r="H1800" s="57" t="s">
        <v>67</v>
      </c>
      <c r="I1800" s="50">
        <f>D1799*K1800</f>
        <v>20269144.600000001</v>
      </c>
      <c r="J1800" s="50">
        <f>I1800/D1799</f>
        <v>1594</v>
      </c>
      <c r="K1800" s="50">
        <v>1594</v>
      </c>
    </row>
    <row r="1801" spans="1:11" x14ac:dyDescent="0.25">
      <c r="A1801" s="215"/>
      <c r="B1801" s="215"/>
      <c r="C1801" s="223"/>
      <c r="D1801" s="224"/>
      <c r="E1801" s="224"/>
      <c r="F1801" s="225"/>
      <c r="G1801" s="215"/>
      <c r="H1801" s="57" t="s">
        <v>69</v>
      </c>
      <c r="I1801" s="50">
        <f>D1799*K1801</f>
        <v>432340.6</v>
      </c>
      <c r="J1801" s="50">
        <f>I1801/D1799</f>
        <v>34</v>
      </c>
      <c r="K1801" s="50">
        <v>34</v>
      </c>
    </row>
    <row r="1802" spans="1:11" x14ac:dyDescent="0.25">
      <c r="A1802" s="215">
        <f>A1799+1</f>
        <v>78</v>
      </c>
      <c r="B1802" s="215">
        <v>4343</v>
      </c>
      <c r="C1802" s="223" t="s">
        <v>210</v>
      </c>
      <c r="D1802" s="224">
        <v>2708.3</v>
      </c>
      <c r="E1802" s="224" t="s">
        <v>64</v>
      </c>
      <c r="F1802" s="225">
        <v>5</v>
      </c>
      <c r="G1802" s="215" t="s">
        <v>65</v>
      </c>
      <c r="H1802" s="57" t="s">
        <v>66</v>
      </c>
      <c r="I1802" s="50">
        <f>I1803+I1804</f>
        <v>8045193.8700000001</v>
      </c>
      <c r="J1802" s="50">
        <f>J1803+J1804</f>
        <v>2970.57</v>
      </c>
      <c r="K1802" s="50">
        <f>K1803+K1804</f>
        <v>3749</v>
      </c>
    </row>
    <row r="1803" spans="1:11" ht="31.5" x14ac:dyDescent="0.25">
      <c r="A1803" s="215">
        <v>78</v>
      </c>
      <c r="B1803" s="215"/>
      <c r="C1803" s="223"/>
      <c r="D1803" s="215"/>
      <c r="E1803" s="224"/>
      <c r="F1803" s="225"/>
      <c r="G1803" s="215"/>
      <c r="H1803" s="57" t="s">
        <v>76</v>
      </c>
      <c r="I1803" s="50">
        <v>7876633.9000000004</v>
      </c>
      <c r="J1803" s="50">
        <f>I1803/D1802</f>
        <v>2908.33</v>
      </c>
      <c r="K1803" s="50">
        <v>3670</v>
      </c>
    </row>
    <row r="1804" spans="1:11" x14ac:dyDescent="0.25">
      <c r="A1804" s="215"/>
      <c r="B1804" s="215"/>
      <c r="C1804" s="223"/>
      <c r="D1804" s="215"/>
      <c r="E1804" s="224"/>
      <c r="F1804" s="225"/>
      <c r="G1804" s="215"/>
      <c r="H1804" s="57" t="s">
        <v>69</v>
      </c>
      <c r="I1804" s="50">
        <f>I1803*0.0214</f>
        <v>168559.97</v>
      </c>
      <c r="J1804" s="50">
        <f>I1804/D1802</f>
        <v>62.24</v>
      </c>
      <c r="K1804" s="50">
        <v>79</v>
      </c>
    </row>
    <row r="1805" spans="1:11" ht="15.75" customHeight="1" x14ac:dyDescent="0.25">
      <c r="A1805" s="216">
        <f>A1802+1</f>
        <v>79</v>
      </c>
      <c r="B1805" s="216">
        <v>3172</v>
      </c>
      <c r="C1805" s="218" t="s">
        <v>612</v>
      </c>
      <c r="D1805" s="220">
        <v>9843.1</v>
      </c>
      <c r="E1805" s="216" t="s">
        <v>68</v>
      </c>
      <c r="F1805" s="216">
        <v>10</v>
      </c>
      <c r="G1805" s="105"/>
      <c r="H1805" s="57" t="s">
        <v>66</v>
      </c>
      <c r="I1805" s="50">
        <f>I1806+I1807+I1808+I1809</f>
        <v>5022746</v>
      </c>
      <c r="J1805" s="50">
        <f>J1806+J1807+J1808+J1809</f>
        <v>510.28</v>
      </c>
      <c r="K1805" s="50">
        <f>K1806+K1807+K1808+K1809</f>
        <v>510.28</v>
      </c>
    </row>
    <row r="1806" spans="1:11" ht="15.75" customHeight="1" x14ac:dyDescent="0.25">
      <c r="A1806" s="217"/>
      <c r="B1806" s="217"/>
      <c r="C1806" s="219"/>
      <c r="D1806" s="221"/>
      <c r="E1806" s="217"/>
      <c r="F1806" s="217"/>
      <c r="G1806" s="216" t="s">
        <v>170</v>
      </c>
      <c r="H1806" s="57" t="s">
        <v>171</v>
      </c>
      <c r="I1806" s="50">
        <f>2458756</f>
        <v>2458756</v>
      </c>
      <c r="J1806" s="50">
        <f>I1806/D1805</f>
        <v>249.79</v>
      </c>
      <c r="K1806" s="50">
        <f>2458756/D1805</f>
        <v>249.79</v>
      </c>
    </row>
    <row r="1807" spans="1:11" ht="15.75" customHeight="1" x14ac:dyDescent="0.25">
      <c r="A1807" s="217"/>
      <c r="B1807" s="217"/>
      <c r="C1807" s="219"/>
      <c r="D1807" s="221"/>
      <c r="E1807" s="217"/>
      <c r="F1807" s="217"/>
      <c r="G1807" s="222"/>
      <c r="H1807" s="57" t="s">
        <v>69</v>
      </c>
      <c r="I1807" s="50">
        <v>52617</v>
      </c>
      <c r="J1807" s="50">
        <f>I1807/D1805</f>
        <v>5.35</v>
      </c>
      <c r="K1807" s="50">
        <f>52617/D1805</f>
        <v>5.35</v>
      </c>
    </row>
    <row r="1808" spans="1:11" ht="15.75" customHeight="1" x14ac:dyDescent="0.25">
      <c r="A1808" s="217"/>
      <c r="B1808" s="217"/>
      <c r="C1808" s="219"/>
      <c r="D1808" s="221"/>
      <c r="E1808" s="217"/>
      <c r="F1808" s="217"/>
      <c r="G1808" s="216" t="s">
        <v>173</v>
      </c>
      <c r="H1808" s="57" t="s">
        <v>171</v>
      </c>
      <c r="I1808" s="50">
        <f>2458756</f>
        <v>2458756</v>
      </c>
      <c r="J1808" s="50">
        <f>I1808/D1805</f>
        <v>249.79</v>
      </c>
      <c r="K1808" s="50">
        <f>2458756/D1805</f>
        <v>249.79</v>
      </c>
    </row>
    <row r="1809" spans="1:11" ht="15.75" customHeight="1" x14ac:dyDescent="0.25">
      <c r="A1809" s="217"/>
      <c r="B1809" s="217"/>
      <c r="C1809" s="219"/>
      <c r="D1809" s="221"/>
      <c r="E1809" s="217"/>
      <c r="F1809" s="217"/>
      <c r="G1809" s="222"/>
      <c r="H1809" s="57" t="s">
        <v>69</v>
      </c>
      <c r="I1809" s="50">
        <v>52617</v>
      </c>
      <c r="J1809" s="50">
        <f>I1809/D1805</f>
        <v>5.35</v>
      </c>
      <c r="K1809" s="50">
        <f>52617/D1805</f>
        <v>5.35</v>
      </c>
    </row>
    <row r="1810" spans="1:11" x14ac:dyDescent="0.25">
      <c r="A1810" s="215">
        <f>A1805+1</f>
        <v>80</v>
      </c>
      <c r="B1810" s="215">
        <v>4360</v>
      </c>
      <c r="C1810" s="223" t="s">
        <v>211</v>
      </c>
      <c r="D1810" s="224">
        <v>11758.85</v>
      </c>
      <c r="E1810" s="224" t="s">
        <v>64</v>
      </c>
      <c r="F1810" s="225">
        <v>10</v>
      </c>
      <c r="G1810" s="215" t="s">
        <v>65</v>
      </c>
      <c r="H1810" s="57" t="s">
        <v>66</v>
      </c>
      <c r="I1810" s="50">
        <f>I1811+I1812</f>
        <v>24353354.449999999</v>
      </c>
      <c r="J1810" s="50">
        <f>J1811+J1812</f>
        <v>2071.0700000000002</v>
      </c>
      <c r="K1810" s="50">
        <f>K1811+K1812</f>
        <v>2492</v>
      </c>
    </row>
    <row r="1811" spans="1:11" x14ac:dyDescent="0.25">
      <c r="A1811" s="215">
        <v>77</v>
      </c>
      <c r="B1811" s="215"/>
      <c r="C1811" s="223"/>
      <c r="D1811" s="215"/>
      <c r="E1811" s="224"/>
      <c r="F1811" s="225"/>
      <c r="G1811" s="215"/>
      <c r="H1811" s="57" t="s">
        <v>67</v>
      </c>
      <c r="I1811" s="50">
        <f>(18977919+501747.55)*1.02*1.2</f>
        <v>23843111.859999999</v>
      </c>
      <c r="J1811" s="50">
        <f>I1811/D1810+0.01</f>
        <v>2027.68</v>
      </c>
      <c r="K1811" s="50">
        <v>2440</v>
      </c>
    </row>
    <row r="1812" spans="1:11" x14ac:dyDescent="0.25">
      <c r="A1812" s="215"/>
      <c r="B1812" s="215"/>
      <c r="C1812" s="223"/>
      <c r="D1812" s="215"/>
      <c r="E1812" s="224"/>
      <c r="F1812" s="225"/>
      <c r="G1812" s="215"/>
      <c r="H1812" s="57" t="s">
        <v>69</v>
      </c>
      <c r="I1812" s="50">
        <f>I1811*0.0214</f>
        <v>510242.59</v>
      </c>
      <c r="J1812" s="50">
        <f>I1812/D1810</f>
        <v>43.39</v>
      </c>
      <c r="K1812" s="50">
        <v>52</v>
      </c>
    </row>
    <row r="1813" spans="1:11" x14ac:dyDescent="0.25">
      <c r="A1813" s="216">
        <f>A1810+1</f>
        <v>81</v>
      </c>
      <c r="B1813" s="216">
        <v>3433</v>
      </c>
      <c r="C1813" s="218" t="s">
        <v>365</v>
      </c>
      <c r="D1813" s="220">
        <v>3939</v>
      </c>
      <c r="E1813" s="220" t="s">
        <v>64</v>
      </c>
      <c r="F1813" s="228">
        <v>5</v>
      </c>
      <c r="G1813" s="108"/>
      <c r="H1813" s="57" t="s">
        <v>66</v>
      </c>
      <c r="I1813" s="50">
        <f>I1814+I1815+I1816+I1817+I1818+I1819+I1820+I1821</f>
        <v>13490350.77</v>
      </c>
      <c r="J1813" s="50">
        <f>J1814+J1815+J1816+J1817+J1818+J1819+J1820+J1821</f>
        <v>3424.82</v>
      </c>
      <c r="K1813" s="50">
        <f>K1814+K1815+K1816+K1817+K1818+K1819+K1820+K1821</f>
        <v>4074</v>
      </c>
    </row>
    <row r="1814" spans="1:11" x14ac:dyDescent="0.25">
      <c r="A1814" s="217"/>
      <c r="B1814" s="217"/>
      <c r="C1814" s="219"/>
      <c r="D1814" s="217"/>
      <c r="E1814" s="221"/>
      <c r="F1814" s="229"/>
      <c r="G1814" s="216" t="s">
        <v>77</v>
      </c>
      <c r="H1814" s="57" t="s">
        <v>67</v>
      </c>
      <c r="I1814" s="50">
        <v>1474861.25</v>
      </c>
      <c r="J1814" s="50">
        <f>I1814/D1813</f>
        <v>374.43</v>
      </c>
      <c r="K1814" s="50">
        <v>641</v>
      </c>
    </row>
    <row r="1815" spans="1:11" x14ac:dyDescent="0.25">
      <c r="A1815" s="217"/>
      <c r="B1815" s="217"/>
      <c r="C1815" s="219"/>
      <c r="D1815" s="217"/>
      <c r="E1815" s="221"/>
      <c r="F1815" s="229"/>
      <c r="G1815" s="222"/>
      <c r="H1815" s="57" t="s">
        <v>69</v>
      </c>
      <c r="I1815" s="50">
        <f>I1814*0.0214</f>
        <v>31562.03</v>
      </c>
      <c r="J1815" s="50">
        <f>I1815/D1813</f>
        <v>8.01</v>
      </c>
      <c r="K1815" s="50">
        <v>14</v>
      </c>
    </row>
    <row r="1816" spans="1:11" x14ac:dyDescent="0.25">
      <c r="A1816" s="217"/>
      <c r="B1816" s="217"/>
      <c r="C1816" s="219"/>
      <c r="D1816" s="217"/>
      <c r="E1816" s="221"/>
      <c r="F1816" s="229"/>
      <c r="G1816" s="216" t="s">
        <v>70</v>
      </c>
      <c r="H1816" s="57" t="s">
        <v>67</v>
      </c>
      <c r="I1816" s="50">
        <v>8877029.8499999996</v>
      </c>
      <c r="J1816" s="50">
        <f>I1816/D1813</f>
        <v>2253.63</v>
      </c>
      <c r="K1816" s="50">
        <v>2292</v>
      </c>
    </row>
    <row r="1817" spans="1:11" x14ac:dyDescent="0.25">
      <c r="A1817" s="217"/>
      <c r="B1817" s="217"/>
      <c r="C1817" s="219"/>
      <c r="D1817" s="217"/>
      <c r="E1817" s="221"/>
      <c r="F1817" s="229"/>
      <c r="G1817" s="222"/>
      <c r="H1817" s="57" t="s">
        <v>69</v>
      </c>
      <c r="I1817" s="50">
        <f>I1816*0.0214</f>
        <v>189968.44</v>
      </c>
      <c r="J1817" s="50">
        <f>I1817/D1813</f>
        <v>48.23</v>
      </c>
      <c r="K1817" s="50">
        <v>49</v>
      </c>
    </row>
    <row r="1818" spans="1:11" x14ac:dyDescent="0.25">
      <c r="A1818" s="217"/>
      <c r="B1818" s="217"/>
      <c r="C1818" s="219"/>
      <c r="D1818" s="217"/>
      <c r="E1818" s="221"/>
      <c r="F1818" s="229"/>
      <c r="G1818" s="216" t="s">
        <v>71</v>
      </c>
      <c r="H1818" s="57" t="s">
        <v>67</v>
      </c>
      <c r="I1818" s="50">
        <v>793650.17</v>
      </c>
      <c r="J1818" s="50">
        <f>I1818/D1813</f>
        <v>201.49</v>
      </c>
      <c r="K1818" s="50">
        <v>513</v>
      </c>
    </row>
    <row r="1819" spans="1:11" x14ac:dyDescent="0.25">
      <c r="A1819" s="217"/>
      <c r="B1819" s="217"/>
      <c r="C1819" s="219"/>
      <c r="D1819" s="217"/>
      <c r="E1819" s="221"/>
      <c r="F1819" s="229"/>
      <c r="G1819" s="222"/>
      <c r="H1819" s="57" t="s">
        <v>69</v>
      </c>
      <c r="I1819" s="50">
        <f>I1818*0.0214</f>
        <v>16984.11</v>
      </c>
      <c r="J1819" s="50">
        <f>I1819/D1813</f>
        <v>4.3099999999999996</v>
      </c>
      <c r="K1819" s="50">
        <v>11</v>
      </c>
    </row>
    <row r="1820" spans="1:11" x14ac:dyDescent="0.25">
      <c r="A1820" s="217"/>
      <c r="B1820" s="217"/>
      <c r="C1820" s="219"/>
      <c r="D1820" s="217"/>
      <c r="E1820" s="221"/>
      <c r="F1820" s="229"/>
      <c r="G1820" s="216" t="s">
        <v>72</v>
      </c>
      <c r="H1820" s="57" t="s">
        <v>67</v>
      </c>
      <c r="I1820" s="50">
        <v>2062164.6</v>
      </c>
      <c r="J1820" s="50">
        <f>I1820/D1813</f>
        <v>523.52</v>
      </c>
      <c r="K1820" s="50">
        <v>542</v>
      </c>
    </row>
    <row r="1821" spans="1:11" x14ac:dyDescent="0.25">
      <c r="A1821" s="222"/>
      <c r="B1821" s="222"/>
      <c r="C1821" s="226"/>
      <c r="D1821" s="222"/>
      <c r="E1821" s="227"/>
      <c r="F1821" s="230"/>
      <c r="G1821" s="222"/>
      <c r="H1821" s="57" t="s">
        <v>69</v>
      </c>
      <c r="I1821" s="50">
        <f>I1820*0.0214</f>
        <v>44130.32</v>
      </c>
      <c r="J1821" s="50">
        <f>I1821/D1813</f>
        <v>11.2</v>
      </c>
      <c r="K1821" s="50">
        <v>12</v>
      </c>
    </row>
    <row r="1822" spans="1:11" x14ac:dyDescent="0.25">
      <c r="A1822" s="215">
        <f>A1813+1</f>
        <v>82</v>
      </c>
      <c r="B1822" s="215">
        <v>4250</v>
      </c>
      <c r="C1822" s="223" t="s">
        <v>556</v>
      </c>
      <c r="D1822" s="224">
        <v>5742.5</v>
      </c>
      <c r="E1822" s="224" t="s">
        <v>64</v>
      </c>
      <c r="F1822" s="225">
        <v>5</v>
      </c>
      <c r="G1822" s="215" t="s">
        <v>74</v>
      </c>
      <c r="H1822" s="57" t="s">
        <v>66</v>
      </c>
      <c r="I1822" s="50">
        <f>I1823+I1824</f>
        <v>2337197.5</v>
      </c>
      <c r="J1822" s="50">
        <f>J1823+J1824</f>
        <v>407</v>
      </c>
      <c r="K1822" s="50">
        <f>K1823+K1824</f>
        <v>407</v>
      </c>
    </row>
    <row r="1823" spans="1:11" x14ac:dyDescent="0.25">
      <c r="A1823" s="215"/>
      <c r="B1823" s="215"/>
      <c r="C1823" s="223"/>
      <c r="D1823" s="224"/>
      <c r="E1823" s="224"/>
      <c r="F1823" s="225"/>
      <c r="G1823" s="215"/>
      <c r="H1823" s="57" t="s">
        <v>67</v>
      </c>
      <c r="I1823" s="50">
        <f>D1822*K1823</f>
        <v>2285515</v>
      </c>
      <c r="J1823" s="50">
        <f>I1823/D1822</f>
        <v>398</v>
      </c>
      <c r="K1823" s="50">
        <v>398</v>
      </c>
    </row>
    <row r="1824" spans="1:11" x14ac:dyDescent="0.25">
      <c r="A1824" s="215"/>
      <c r="B1824" s="215"/>
      <c r="C1824" s="223"/>
      <c r="D1824" s="224"/>
      <c r="E1824" s="224"/>
      <c r="F1824" s="225"/>
      <c r="G1824" s="215"/>
      <c r="H1824" s="57" t="s">
        <v>69</v>
      </c>
      <c r="I1824" s="50">
        <f>K1824*D1822</f>
        <v>51682.5</v>
      </c>
      <c r="J1824" s="50">
        <f>I1824/D1822</f>
        <v>9</v>
      </c>
      <c r="K1824" s="50">
        <v>9</v>
      </c>
    </row>
    <row r="1825" spans="1:11" ht="15.75" customHeight="1" x14ac:dyDescent="0.25">
      <c r="A1825" s="216">
        <f>A1822+1</f>
        <v>83</v>
      </c>
      <c r="B1825" s="216">
        <v>3141</v>
      </c>
      <c r="C1825" s="218" t="s">
        <v>212</v>
      </c>
      <c r="D1825" s="220">
        <v>8978.6</v>
      </c>
      <c r="E1825" s="216" t="s">
        <v>64</v>
      </c>
      <c r="F1825" s="216">
        <v>10</v>
      </c>
      <c r="G1825" s="105"/>
      <c r="H1825" s="57" t="s">
        <v>66</v>
      </c>
      <c r="I1825" s="50">
        <f>I1826+I1827+I1828+I1829</f>
        <v>4579236</v>
      </c>
      <c r="J1825" s="50">
        <f>J1826+J1827+J1828+J1829</f>
        <v>510.02</v>
      </c>
      <c r="K1825" s="50">
        <f>K1826+K1827+K1828+K1829</f>
        <v>510.02</v>
      </c>
    </row>
    <row r="1826" spans="1:11" ht="15.75" customHeight="1" x14ac:dyDescent="0.25">
      <c r="A1826" s="217"/>
      <c r="B1826" s="217"/>
      <c r="C1826" s="219"/>
      <c r="D1826" s="221"/>
      <c r="E1826" s="217"/>
      <c r="F1826" s="217"/>
      <c r="G1826" s="217" t="s">
        <v>170</v>
      </c>
      <c r="H1826" s="57" t="s">
        <v>171</v>
      </c>
      <c r="I1826" s="50">
        <v>2241647</v>
      </c>
      <c r="J1826" s="50">
        <f>I1826/D1825</f>
        <v>249.67</v>
      </c>
      <c r="K1826" s="50">
        <f>2241647/D1825</f>
        <v>249.67</v>
      </c>
    </row>
    <row r="1827" spans="1:11" ht="15.75" customHeight="1" x14ac:dyDescent="0.25">
      <c r="A1827" s="217"/>
      <c r="B1827" s="217"/>
      <c r="C1827" s="219"/>
      <c r="D1827" s="221"/>
      <c r="E1827" s="217"/>
      <c r="F1827" s="217"/>
      <c r="G1827" s="222"/>
      <c r="H1827" s="57" t="s">
        <v>69</v>
      </c>
      <c r="I1827" s="50">
        <v>47971</v>
      </c>
      <c r="J1827" s="50">
        <f>I1827/D1825</f>
        <v>5.34</v>
      </c>
      <c r="K1827" s="50">
        <f>47971/D1825</f>
        <v>5.34</v>
      </c>
    </row>
    <row r="1828" spans="1:11" ht="15.75" customHeight="1" x14ac:dyDescent="0.25">
      <c r="A1828" s="217"/>
      <c r="B1828" s="217"/>
      <c r="C1828" s="219"/>
      <c r="D1828" s="221"/>
      <c r="E1828" s="217"/>
      <c r="F1828" s="217"/>
      <c r="G1828" s="217" t="s">
        <v>173</v>
      </c>
      <c r="H1828" s="57" t="s">
        <v>171</v>
      </c>
      <c r="I1828" s="50">
        <v>2241647</v>
      </c>
      <c r="J1828" s="50">
        <f>I1828/D1825</f>
        <v>249.67</v>
      </c>
      <c r="K1828" s="50">
        <f>2241647/D1825</f>
        <v>249.67</v>
      </c>
    </row>
    <row r="1829" spans="1:11" ht="15.75" customHeight="1" x14ac:dyDescent="0.25">
      <c r="A1829" s="217"/>
      <c r="B1829" s="217"/>
      <c r="C1829" s="219"/>
      <c r="D1829" s="221"/>
      <c r="E1829" s="217"/>
      <c r="F1829" s="217"/>
      <c r="G1829" s="222"/>
      <c r="H1829" s="57" t="s">
        <v>69</v>
      </c>
      <c r="I1829" s="50">
        <v>47971</v>
      </c>
      <c r="J1829" s="50">
        <f>I1829/D1825</f>
        <v>5.34</v>
      </c>
      <c r="K1829" s="50">
        <f>47971/D1825</f>
        <v>5.34</v>
      </c>
    </row>
    <row r="1830" spans="1:11" ht="15.75" customHeight="1" x14ac:dyDescent="0.25">
      <c r="A1830" s="216">
        <f>A1825+1</f>
        <v>84</v>
      </c>
      <c r="B1830" s="216">
        <v>4375</v>
      </c>
      <c r="C1830" s="218" t="s">
        <v>661</v>
      </c>
      <c r="D1830" s="220">
        <v>11594.1</v>
      </c>
      <c r="E1830" s="216" t="s">
        <v>64</v>
      </c>
      <c r="F1830" s="216">
        <v>10</v>
      </c>
      <c r="G1830" s="105"/>
      <c r="H1830" s="57" t="s">
        <v>66</v>
      </c>
      <c r="I1830" s="50">
        <f>I1831+I1832+I1833</f>
        <v>96843</v>
      </c>
      <c r="J1830" s="50">
        <f>J1831+J1832+J1833</f>
        <v>8.35</v>
      </c>
      <c r="K1830" s="50">
        <f>K1831+K1832+K1833</f>
        <v>8.35</v>
      </c>
    </row>
    <row r="1831" spans="1:11" ht="47.25" customHeight="1" x14ac:dyDescent="0.25">
      <c r="A1831" s="217"/>
      <c r="B1831" s="217"/>
      <c r="C1831" s="219"/>
      <c r="D1831" s="221"/>
      <c r="E1831" s="217"/>
      <c r="F1831" s="217"/>
      <c r="G1831" s="102" t="s">
        <v>174</v>
      </c>
      <c r="H1831" s="57" t="s">
        <v>168</v>
      </c>
      <c r="I1831" s="50">
        <f>22681+9600</f>
        <v>32281</v>
      </c>
      <c r="J1831" s="50">
        <f>I1831/D1830</f>
        <v>2.78</v>
      </c>
      <c r="K1831" s="50">
        <f>32281/D1830</f>
        <v>2.78</v>
      </c>
    </row>
    <row r="1832" spans="1:11" ht="47.25" customHeight="1" x14ac:dyDescent="0.25">
      <c r="A1832" s="217"/>
      <c r="B1832" s="217"/>
      <c r="C1832" s="219"/>
      <c r="D1832" s="221"/>
      <c r="E1832" s="217"/>
      <c r="F1832" s="217"/>
      <c r="G1832" s="102" t="s">
        <v>175</v>
      </c>
      <c r="H1832" s="57" t="s">
        <v>168</v>
      </c>
      <c r="I1832" s="50">
        <f>22681+9600</f>
        <v>32281</v>
      </c>
      <c r="J1832" s="50">
        <f>I1832/D1830+0.01</f>
        <v>2.79</v>
      </c>
      <c r="K1832" s="50">
        <f>32281/D1830+0.01</f>
        <v>2.79</v>
      </c>
    </row>
    <row r="1833" spans="1:11" ht="47.25" customHeight="1" x14ac:dyDescent="0.25">
      <c r="A1833" s="217"/>
      <c r="B1833" s="217"/>
      <c r="C1833" s="219"/>
      <c r="D1833" s="221"/>
      <c r="E1833" s="217"/>
      <c r="F1833" s="217"/>
      <c r="G1833" s="102" t="s">
        <v>172</v>
      </c>
      <c r="H1833" s="57" t="s">
        <v>168</v>
      </c>
      <c r="I1833" s="50">
        <f>22681+9600</f>
        <v>32281</v>
      </c>
      <c r="J1833" s="50">
        <f>I1833/D1830</f>
        <v>2.78</v>
      </c>
      <c r="K1833" s="50">
        <f>32281/D1830</f>
        <v>2.78</v>
      </c>
    </row>
    <row r="1834" spans="1:11" ht="15.75" customHeight="1" x14ac:dyDescent="0.25">
      <c r="A1834" s="216">
        <f>A1830+1</f>
        <v>85</v>
      </c>
      <c r="B1834" s="216">
        <v>4376</v>
      </c>
      <c r="C1834" s="218" t="s">
        <v>662</v>
      </c>
      <c r="D1834" s="220">
        <v>3878.2</v>
      </c>
      <c r="E1834" s="216" t="s">
        <v>64</v>
      </c>
      <c r="F1834" s="216">
        <v>9</v>
      </c>
      <c r="G1834" s="105"/>
      <c r="H1834" s="57" t="s">
        <v>66</v>
      </c>
      <c r="I1834" s="50">
        <f>I1835+I1836</f>
        <v>64562</v>
      </c>
      <c r="J1834" s="50">
        <f>J1835+J1836</f>
        <v>16.649999999999999</v>
      </c>
      <c r="K1834" s="50">
        <f>K1835+K1836</f>
        <v>16.649999999999999</v>
      </c>
    </row>
    <row r="1835" spans="1:11" ht="47.25" customHeight="1" x14ac:dyDescent="0.25">
      <c r="A1835" s="217"/>
      <c r="B1835" s="217"/>
      <c r="C1835" s="219"/>
      <c r="D1835" s="221"/>
      <c r="E1835" s="217"/>
      <c r="F1835" s="217"/>
      <c r="G1835" s="102" t="s">
        <v>170</v>
      </c>
      <c r="H1835" s="57" t="s">
        <v>168</v>
      </c>
      <c r="I1835" s="50">
        <f>22681+9600</f>
        <v>32281</v>
      </c>
      <c r="J1835" s="50">
        <f>I1835/D1834+0.01</f>
        <v>8.33</v>
      </c>
      <c r="K1835" s="50">
        <f>32281/D1834+0.01</f>
        <v>8.33</v>
      </c>
    </row>
    <row r="1836" spans="1:11" ht="47.25" customHeight="1" x14ac:dyDescent="0.25">
      <c r="A1836" s="217"/>
      <c r="B1836" s="217"/>
      <c r="C1836" s="219"/>
      <c r="D1836" s="221"/>
      <c r="E1836" s="217"/>
      <c r="F1836" s="217"/>
      <c r="G1836" s="102" t="s">
        <v>173</v>
      </c>
      <c r="H1836" s="57" t="s">
        <v>168</v>
      </c>
      <c r="I1836" s="50">
        <f>22681+9600</f>
        <v>32281</v>
      </c>
      <c r="J1836" s="50">
        <f>I1836/D1834</f>
        <v>8.32</v>
      </c>
      <c r="K1836" s="50">
        <f>32281/D1834</f>
        <v>8.32</v>
      </c>
    </row>
    <row r="1837" spans="1:11" ht="15.75" customHeight="1" x14ac:dyDescent="0.25">
      <c r="A1837" s="216">
        <f>A1834+1</f>
        <v>86</v>
      </c>
      <c r="B1837" s="216">
        <v>4122</v>
      </c>
      <c r="C1837" s="218" t="s">
        <v>613</v>
      </c>
      <c r="D1837" s="220">
        <v>3489.9</v>
      </c>
      <c r="E1837" s="216" t="s">
        <v>64</v>
      </c>
      <c r="F1837" s="216">
        <v>10</v>
      </c>
      <c r="G1837" s="105"/>
      <c r="H1837" s="57" t="s">
        <v>66</v>
      </c>
      <c r="I1837" s="50">
        <f>I1838+I1839+I1840+I1841</f>
        <v>4579236</v>
      </c>
      <c r="J1837" s="50">
        <f>J1838+J1839+J1840+J1841</f>
        <v>1312.14</v>
      </c>
      <c r="K1837" s="50">
        <f>K1838+K1839+K1840+K1841</f>
        <v>1312.14</v>
      </c>
    </row>
    <row r="1838" spans="1:11" ht="15.75" customHeight="1" x14ac:dyDescent="0.25">
      <c r="A1838" s="217"/>
      <c r="B1838" s="217"/>
      <c r="C1838" s="219"/>
      <c r="D1838" s="221"/>
      <c r="E1838" s="217"/>
      <c r="F1838" s="217"/>
      <c r="G1838" s="216" t="s">
        <v>170</v>
      </c>
      <c r="H1838" s="57" t="s">
        <v>171</v>
      </c>
      <c r="I1838" s="50">
        <v>2241647</v>
      </c>
      <c r="J1838" s="50">
        <f>I1838/D1837</f>
        <v>642.32000000000005</v>
      </c>
      <c r="K1838" s="50">
        <f>2241647/D1837</f>
        <v>642.32000000000005</v>
      </c>
    </row>
    <row r="1839" spans="1:11" ht="15.75" customHeight="1" x14ac:dyDescent="0.25">
      <c r="A1839" s="217"/>
      <c r="B1839" s="217"/>
      <c r="C1839" s="219"/>
      <c r="D1839" s="221"/>
      <c r="E1839" s="217"/>
      <c r="F1839" s="217"/>
      <c r="G1839" s="222"/>
      <c r="H1839" s="57" t="s">
        <v>69</v>
      </c>
      <c r="I1839" s="50">
        <v>47971</v>
      </c>
      <c r="J1839" s="50">
        <f>I1839/D1837</f>
        <v>13.75</v>
      </c>
      <c r="K1839" s="50">
        <f>47971/D1837</f>
        <v>13.75</v>
      </c>
    </row>
    <row r="1840" spans="1:11" ht="15.75" customHeight="1" x14ac:dyDescent="0.25">
      <c r="A1840" s="217"/>
      <c r="B1840" s="217"/>
      <c r="C1840" s="219"/>
      <c r="D1840" s="221"/>
      <c r="E1840" s="217"/>
      <c r="F1840" s="217"/>
      <c r="G1840" s="216" t="s">
        <v>173</v>
      </c>
      <c r="H1840" s="57" t="s">
        <v>171</v>
      </c>
      <c r="I1840" s="50">
        <v>2241647</v>
      </c>
      <c r="J1840" s="50">
        <f>I1840/D1837</f>
        <v>642.32000000000005</v>
      </c>
      <c r="K1840" s="50">
        <f>2241647/D1837</f>
        <v>642.32000000000005</v>
      </c>
    </row>
    <row r="1841" spans="1:11" ht="15.75" customHeight="1" x14ac:dyDescent="0.25">
      <c r="A1841" s="217"/>
      <c r="B1841" s="217"/>
      <c r="C1841" s="219"/>
      <c r="D1841" s="221"/>
      <c r="E1841" s="217"/>
      <c r="F1841" s="217"/>
      <c r="G1841" s="222"/>
      <c r="H1841" s="57" t="s">
        <v>69</v>
      </c>
      <c r="I1841" s="50">
        <v>47971</v>
      </c>
      <c r="J1841" s="50">
        <f>I1841/D1837</f>
        <v>13.75</v>
      </c>
      <c r="K1841" s="50">
        <f>47971/D1837</f>
        <v>13.75</v>
      </c>
    </row>
    <row r="1842" spans="1:11" ht="15.75" customHeight="1" x14ac:dyDescent="0.25">
      <c r="A1842" s="215">
        <f>A1837+1</f>
        <v>87</v>
      </c>
      <c r="B1842" s="215">
        <v>3403</v>
      </c>
      <c r="C1842" s="223" t="s">
        <v>614</v>
      </c>
      <c r="D1842" s="224">
        <v>812.03</v>
      </c>
      <c r="E1842" s="224" t="s">
        <v>68</v>
      </c>
      <c r="F1842" s="225">
        <v>3</v>
      </c>
      <c r="G1842" s="215" t="s">
        <v>74</v>
      </c>
      <c r="H1842" s="57" t="s">
        <v>66</v>
      </c>
      <c r="I1842" s="50">
        <f>I1843+I1844</f>
        <v>293954.86</v>
      </c>
      <c r="J1842" s="50">
        <f>J1843+J1844</f>
        <v>362</v>
      </c>
      <c r="K1842" s="50">
        <f>K1843+K1844</f>
        <v>362</v>
      </c>
    </row>
    <row r="1843" spans="1:11" ht="15.75" customHeight="1" x14ac:dyDescent="0.25">
      <c r="A1843" s="215"/>
      <c r="B1843" s="215"/>
      <c r="C1843" s="223"/>
      <c r="D1843" s="224"/>
      <c r="E1843" s="224"/>
      <c r="F1843" s="225"/>
      <c r="G1843" s="215"/>
      <c r="H1843" s="57" t="s">
        <v>67</v>
      </c>
      <c r="I1843" s="50">
        <f>K1843*D1842</f>
        <v>287458.62</v>
      </c>
      <c r="J1843" s="50">
        <f>I1843/D1842</f>
        <v>354</v>
      </c>
      <c r="K1843" s="50">
        <v>354</v>
      </c>
    </row>
    <row r="1844" spans="1:11" ht="15.75" customHeight="1" x14ac:dyDescent="0.25">
      <c r="A1844" s="215"/>
      <c r="B1844" s="215"/>
      <c r="C1844" s="223"/>
      <c r="D1844" s="224"/>
      <c r="E1844" s="224"/>
      <c r="F1844" s="225"/>
      <c r="G1844" s="215"/>
      <c r="H1844" s="57" t="s">
        <v>69</v>
      </c>
      <c r="I1844" s="50">
        <f>D1842*K1844</f>
        <v>6496.24</v>
      </c>
      <c r="J1844" s="50">
        <f>I1844/D1842</f>
        <v>8</v>
      </c>
      <c r="K1844" s="50">
        <v>8</v>
      </c>
    </row>
    <row r="1845" spans="1:11" ht="15.75" customHeight="1" x14ac:dyDescent="0.25">
      <c r="A1845" s="215">
        <f>A1842+1</f>
        <v>88</v>
      </c>
      <c r="B1845" s="215">
        <v>3404</v>
      </c>
      <c r="C1845" s="223" t="s">
        <v>615</v>
      </c>
      <c r="D1845" s="224">
        <v>1165.78</v>
      </c>
      <c r="E1845" s="224" t="s">
        <v>73</v>
      </c>
      <c r="F1845" s="225">
        <v>3</v>
      </c>
      <c r="G1845" s="215" t="s">
        <v>74</v>
      </c>
      <c r="H1845" s="57" t="s">
        <v>66</v>
      </c>
      <c r="I1845" s="50">
        <f>I1846+I1847</f>
        <v>422012.36</v>
      </c>
      <c r="J1845" s="50">
        <f>J1846+J1847</f>
        <v>362</v>
      </c>
      <c r="K1845" s="50">
        <f>K1846+K1847</f>
        <v>362</v>
      </c>
    </row>
    <row r="1846" spans="1:11" ht="15.75" customHeight="1" x14ac:dyDescent="0.25">
      <c r="A1846" s="215"/>
      <c r="B1846" s="215"/>
      <c r="C1846" s="223"/>
      <c r="D1846" s="224"/>
      <c r="E1846" s="224"/>
      <c r="F1846" s="225"/>
      <c r="G1846" s="215"/>
      <c r="H1846" s="57" t="s">
        <v>67</v>
      </c>
      <c r="I1846" s="50">
        <f>K1846*D1845</f>
        <v>412686.12</v>
      </c>
      <c r="J1846" s="50">
        <f>I1846/D1845</f>
        <v>354</v>
      </c>
      <c r="K1846" s="50">
        <v>354</v>
      </c>
    </row>
    <row r="1847" spans="1:11" ht="15.75" customHeight="1" x14ac:dyDescent="0.25">
      <c r="A1847" s="215"/>
      <c r="B1847" s="215"/>
      <c r="C1847" s="223"/>
      <c r="D1847" s="224"/>
      <c r="E1847" s="224"/>
      <c r="F1847" s="225"/>
      <c r="G1847" s="215"/>
      <c r="H1847" s="57" t="s">
        <v>69</v>
      </c>
      <c r="I1847" s="50">
        <f>D1845*K1847</f>
        <v>9326.24</v>
      </c>
      <c r="J1847" s="50">
        <f>I1847/D1845</f>
        <v>8</v>
      </c>
      <c r="K1847" s="50">
        <v>8</v>
      </c>
    </row>
    <row r="1848" spans="1:11" ht="15.75" customHeight="1" x14ac:dyDescent="0.25">
      <c r="A1848" s="215">
        <f>A1845+1</f>
        <v>89</v>
      </c>
      <c r="B1848" s="215">
        <v>3406</v>
      </c>
      <c r="C1848" s="223" t="s">
        <v>547</v>
      </c>
      <c r="D1848" s="224">
        <v>1229.96</v>
      </c>
      <c r="E1848" s="224" t="s">
        <v>73</v>
      </c>
      <c r="F1848" s="225">
        <v>3</v>
      </c>
      <c r="G1848" s="215" t="s">
        <v>74</v>
      </c>
      <c r="H1848" s="57" t="s">
        <v>66</v>
      </c>
      <c r="I1848" s="50">
        <f>I1849</f>
        <v>57808.12</v>
      </c>
      <c r="J1848" s="50">
        <f>J1849</f>
        <v>47</v>
      </c>
      <c r="K1848" s="50">
        <f>K1849</f>
        <v>47</v>
      </c>
    </row>
    <row r="1849" spans="1:11" ht="47.25" customHeight="1" x14ac:dyDescent="0.25">
      <c r="A1849" s="215"/>
      <c r="B1849" s="215"/>
      <c r="C1849" s="223"/>
      <c r="D1849" s="224"/>
      <c r="E1849" s="224"/>
      <c r="F1849" s="225"/>
      <c r="G1849" s="215"/>
      <c r="H1849" s="57" t="s">
        <v>168</v>
      </c>
      <c r="I1849" s="50">
        <f>D1848*K1849</f>
        <v>57808.12</v>
      </c>
      <c r="J1849" s="50">
        <f>I1849/D1848</f>
        <v>47</v>
      </c>
      <c r="K1849" s="50">
        <f>34+13</f>
        <v>47</v>
      </c>
    </row>
    <row r="1850" spans="1:11" ht="15.75" customHeight="1" x14ac:dyDescent="0.25">
      <c r="A1850" s="215">
        <f>A1848+1</f>
        <v>90</v>
      </c>
      <c r="B1850" s="215">
        <v>3407</v>
      </c>
      <c r="C1850" s="223" t="s">
        <v>663</v>
      </c>
      <c r="D1850" s="224">
        <v>2004.12</v>
      </c>
      <c r="E1850" s="224" t="s">
        <v>73</v>
      </c>
      <c r="F1850" s="225">
        <v>3</v>
      </c>
      <c r="G1850" s="215" t="s">
        <v>74</v>
      </c>
      <c r="H1850" s="57" t="s">
        <v>66</v>
      </c>
      <c r="I1850" s="50">
        <f>I1851</f>
        <v>94193.64</v>
      </c>
      <c r="J1850" s="50">
        <f>J1851</f>
        <v>47</v>
      </c>
      <c r="K1850" s="50">
        <f>K1851</f>
        <v>47</v>
      </c>
    </row>
    <row r="1851" spans="1:11" ht="47.25" customHeight="1" x14ac:dyDescent="0.25">
      <c r="A1851" s="215"/>
      <c r="B1851" s="215"/>
      <c r="C1851" s="223"/>
      <c r="D1851" s="224"/>
      <c r="E1851" s="224"/>
      <c r="F1851" s="225"/>
      <c r="G1851" s="215"/>
      <c r="H1851" s="57" t="s">
        <v>168</v>
      </c>
      <c r="I1851" s="50">
        <f>D1850*K1851</f>
        <v>94193.64</v>
      </c>
      <c r="J1851" s="50">
        <f>I1851/D1850</f>
        <v>47</v>
      </c>
      <c r="K1851" s="50">
        <f>34+13</f>
        <v>47</v>
      </c>
    </row>
    <row r="1852" spans="1:11" ht="15.75" customHeight="1" x14ac:dyDescent="0.25">
      <c r="A1852" s="215">
        <f>A1850+1</f>
        <v>91</v>
      </c>
      <c r="B1852" s="215">
        <v>3408</v>
      </c>
      <c r="C1852" s="223" t="s">
        <v>664</v>
      </c>
      <c r="D1852" s="224">
        <v>3143.51</v>
      </c>
      <c r="E1852" s="224" t="s">
        <v>68</v>
      </c>
      <c r="F1852" s="225">
        <v>5</v>
      </c>
      <c r="G1852" s="215" t="s">
        <v>74</v>
      </c>
      <c r="H1852" s="57" t="s">
        <v>66</v>
      </c>
      <c r="I1852" s="50">
        <f>I1853</f>
        <v>75444.240000000005</v>
      </c>
      <c r="J1852" s="50">
        <f>J1853</f>
        <v>24</v>
      </c>
      <c r="K1852" s="50">
        <f>K1853</f>
        <v>24</v>
      </c>
    </row>
    <row r="1853" spans="1:11" ht="47.25" customHeight="1" x14ac:dyDescent="0.25">
      <c r="A1853" s="215"/>
      <c r="B1853" s="215"/>
      <c r="C1853" s="223"/>
      <c r="D1853" s="224"/>
      <c r="E1853" s="224"/>
      <c r="F1853" s="225"/>
      <c r="G1853" s="215"/>
      <c r="H1853" s="57" t="s">
        <v>168</v>
      </c>
      <c r="I1853" s="50">
        <f>D1852*K1853</f>
        <v>75444.240000000005</v>
      </c>
      <c r="J1853" s="50">
        <f>I1853/D1852</f>
        <v>24</v>
      </c>
      <c r="K1853" s="50">
        <f>22+2</f>
        <v>24</v>
      </c>
    </row>
    <row r="1854" spans="1:11" ht="15.75" customHeight="1" x14ac:dyDescent="0.25">
      <c r="A1854" s="215">
        <f>A1852+1</f>
        <v>92</v>
      </c>
      <c r="B1854" s="215">
        <v>3409</v>
      </c>
      <c r="C1854" s="223" t="s">
        <v>616</v>
      </c>
      <c r="D1854" s="224">
        <v>1702.64</v>
      </c>
      <c r="E1854" s="224" t="s">
        <v>68</v>
      </c>
      <c r="F1854" s="225">
        <v>4</v>
      </c>
      <c r="G1854" s="215" t="s">
        <v>74</v>
      </c>
      <c r="H1854" s="57" t="s">
        <v>66</v>
      </c>
      <c r="I1854" s="50">
        <f>I1855+I1856</f>
        <v>616355.68000000005</v>
      </c>
      <c r="J1854" s="50">
        <f>J1855+J1856</f>
        <v>362</v>
      </c>
      <c r="K1854" s="50">
        <f>K1855+K1856</f>
        <v>362</v>
      </c>
    </row>
    <row r="1855" spans="1:11" ht="15.75" customHeight="1" x14ac:dyDescent="0.25">
      <c r="A1855" s="215"/>
      <c r="B1855" s="215"/>
      <c r="C1855" s="223"/>
      <c r="D1855" s="224"/>
      <c r="E1855" s="224"/>
      <c r="F1855" s="225"/>
      <c r="G1855" s="215"/>
      <c r="H1855" s="57" t="s">
        <v>67</v>
      </c>
      <c r="I1855" s="50">
        <f>K1855*D1854</f>
        <v>602734.56000000006</v>
      </c>
      <c r="J1855" s="50">
        <f>I1855/D1854</f>
        <v>354</v>
      </c>
      <c r="K1855" s="50">
        <v>354</v>
      </c>
    </row>
    <row r="1856" spans="1:11" ht="15.75" customHeight="1" x14ac:dyDescent="0.25">
      <c r="A1856" s="215"/>
      <c r="B1856" s="215"/>
      <c r="C1856" s="223"/>
      <c r="D1856" s="224"/>
      <c r="E1856" s="224"/>
      <c r="F1856" s="225"/>
      <c r="G1856" s="215"/>
      <c r="H1856" s="57" t="s">
        <v>69</v>
      </c>
      <c r="I1856" s="50">
        <f>D1854*K1856</f>
        <v>13621.12</v>
      </c>
      <c r="J1856" s="50">
        <f>I1856/D1854</f>
        <v>8</v>
      </c>
      <c r="K1856" s="50">
        <v>8</v>
      </c>
    </row>
    <row r="1857" spans="1:11" ht="15.75" customHeight="1" x14ac:dyDescent="0.25">
      <c r="A1857" s="215">
        <f>A1854+1</f>
        <v>93</v>
      </c>
      <c r="B1857" s="215">
        <v>3410</v>
      </c>
      <c r="C1857" s="223" t="s">
        <v>665</v>
      </c>
      <c r="D1857" s="224">
        <v>3172.61</v>
      </c>
      <c r="E1857" s="224" t="s">
        <v>68</v>
      </c>
      <c r="F1857" s="225">
        <v>5</v>
      </c>
      <c r="G1857" s="215" t="s">
        <v>74</v>
      </c>
      <c r="H1857" s="57" t="s">
        <v>66</v>
      </c>
      <c r="I1857" s="50">
        <f>I1858</f>
        <v>76142.64</v>
      </c>
      <c r="J1857" s="50">
        <f>J1858</f>
        <v>24</v>
      </c>
      <c r="K1857" s="50">
        <f>K1858</f>
        <v>24</v>
      </c>
    </row>
    <row r="1858" spans="1:11" ht="47.25" customHeight="1" x14ac:dyDescent="0.25">
      <c r="A1858" s="215"/>
      <c r="B1858" s="215"/>
      <c r="C1858" s="223"/>
      <c r="D1858" s="224"/>
      <c r="E1858" s="224"/>
      <c r="F1858" s="225"/>
      <c r="G1858" s="215"/>
      <c r="H1858" s="57" t="s">
        <v>168</v>
      </c>
      <c r="I1858" s="50">
        <f>D1857*K1858</f>
        <v>76142.64</v>
      </c>
      <c r="J1858" s="50">
        <f>I1858/D1857</f>
        <v>24</v>
      </c>
      <c r="K1858" s="50">
        <f>22+2</f>
        <v>24</v>
      </c>
    </row>
    <row r="1859" spans="1:11" ht="15.75" customHeight="1" x14ac:dyDescent="0.25">
      <c r="A1859" s="215">
        <f>A1857+1</f>
        <v>94</v>
      </c>
      <c r="B1859" s="215">
        <v>3411</v>
      </c>
      <c r="C1859" s="223" t="s">
        <v>617</v>
      </c>
      <c r="D1859" s="224">
        <v>1642.49</v>
      </c>
      <c r="E1859" s="224" t="s">
        <v>68</v>
      </c>
      <c r="F1859" s="225">
        <v>4</v>
      </c>
      <c r="G1859" s="215" t="s">
        <v>74</v>
      </c>
      <c r="H1859" s="57" t="s">
        <v>66</v>
      </c>
      <c r="I1859" s="50">
        <f>I1860+I1861</f>
        <v>594581.38</v>
      </c>
      <c r="J1859" s="50">
        <f>J1860+J1861</f>
        <v>362</v>
      </c>
      <c r="K1859" s="50">
        <f>K1860+K1861</f>
        <v>362</v>
      </c>
    </row>
    <row r="1860" spans="1:11" ht="15.75" customHeight="1" x14ac:dyDescent="0.25">
      <c r="A1860" s="215"/>
      <c r="B1860" s="215"/>
      <c r="C1860" s="223"/>
      <c r="D1860" s="224"/>
      <c r="E1860" s="224"/>
      <c r="F1860" s="225"/>
      <c r="G1860" s="215"/>
      <c r="H1860" s="57" t="s">
        <v>67</v>
      </c>
      <c r="I1860" s="50">
        <f>K1860*D1859</f>
        <v>581441.46</v>
      </c>
      <c r="J1860" s="50">
        <f>I1860/D1859</f>
        <v>354</v>
      </c>
      <c r="K1860" s="50">
        <v>354</v>
      </c>
    </row>
    <row r="1861" spans="1:11" ht="15.75" customHeight="1" x14ac:dyDescent="0.25">
      <c r="A1861" s="215"/>
      <c r="B1861" s="215"/>
      <c r="C1861" s="223"/>
      <c r="D1861" s="224"/>
      <c r="E1861" s="224"/>
      <c r="F1861" s="225"/>
      <c r="G1861" s="215"/>
      <c r="H1861" s="57" t="s">
        <v>69</v>
      </c>
      <c r="I1861" s="50">
        <f>D1859*K1861</f>
        <v>13139.92</v>
      </c>
      <c r="J1861" s="50">
        <f>I1861/D1859</f>
        <v>8</v>
      </c>
      <c r="K1861" s="50">
        <v>8</v>
      </c>
    </row>
    <row r="1862" spans="1:11" ht="15.75" customHeight="1" x14ac:dyDescent="0.25">
      <c r="A1862" s="215">
        <f>A1859+1</f>
        <v>95</v>
      </c>
      <c r="B1862" s="215">
        <v>3413</v>
      </c>
      <c r="C1862" s="223" t="s">
        <v>666</v>
      </c>
      <c r="D1862" s="224">
        <v>1249.18</v>
      </c>
      <c r="E1862" s="224" t="s">
        <v>68</v>
      </c>
      <c r="F1862" s="225">
        <v>3</v>
      </c>
      <c r="G1862" s="215" t="s">
        <v>74</v>
      </c>
      <c r="H1862" s="57" t="s">
        <v>66</v>
      </c>
      <c r="I1862" s="50">
        <f>I1863</f>
        <v>58711.46</v>
      </c>
      <c r="J1862" s="50">
        <f>J1863</f>
        <v>47</v>
      </c>
      <c r="K1862" s="50">
        <f>K1863</f>
        <v>47</v>
      </c>
    </row>
    <row r="1863" spans="1:11" ht="47.25" customHeight="1" x14ac:dyDescent="0.25">
      <c r="A1863" s="215"/>
      <c r="B1863" s="215"/>
      <c r="C1863" s="223"/>
      <c r="D1863" s="224"/>
      <c r="E1863" s="224"/>
      <c r="F1863" s="225"/>
      <c r="G1863" s="215"/>
      <c r="H1863" s="57" t="s">
        <v>168</v>
      </c>
      <c r="I1863" s="50">
        <f>D1862*K1863</f>
        <v>58711.46</v>
      </c>
      <c r="J1863" s="50">
        <f>I1863/D1862</f>
        <v>47</v>
      </c>
      <c r="K1863" s="50">
        <f>34+13</f>
        <v>47</v>
      </c>
    </row>
    <row r="1864" spans="1:11" ht="15.75" customHeight="1" x14ac:dyDescent="0.25">
      <c r="A1864" s="215">
        <f>A1862+1</f>
        <v>96</v>
      </c>
      <c r="B1864" s="215">
        <v>4365</v>
      </c>
      <c r="C1864" s="223" t="s">
        <v>667</v>
      </c>
      <c r="D1864" s="224">
        <v>1319.4</v>
      </c>
      <c r="E1864" s="224" t="s">
        <v>68</v>
      </c>
      <c r="F1864" s="225">
        <v>3</v>
      </c>
      <c r="G1864" s="215" t="s">
        <v>74</v>
      </c>
      <c r="H1864" s="57" t="s">
        <v>66</v>
      </c>
      <c r="I1864" s="50">
        <f>I1865</f>
        <v>62011.8</v>
      </c>
      <c r="J1864" s="50">
        <f>J1865</f>
        <v>47</v>
      </c>
      <c r="K1864" s="50">
        <f>K1865</f>
        <v>47</v>
      </c>
    </row>
    <row r="1865" spans="1:11" ht="47.25" customHeight="1" x14ac:dyDescent="0.25">
      <c r="A1865" s="215"/>
      <c r="B1865" s="215"/>
      <c r="C1865" s="223"/>
      <c r="D1865" s="224"/>
      <c r="E1865" s="224"/>
      <c r="F1865" s="225"/>
      <c r="G1865" s="215"/>
      <c r="H1865" s="57" t="s">
        <v>168</v>
      </c>
      <c r="I1865" s="50">
        <f>D1864*K1865</f>
        <v>62011.8</v>
      </c>
      <c r="J1865" s="50">
        <f>I1865/D1864</f>
        <v>47</v>
      </c>
      <c r="K1865" s="50">
        <f>34+13</f>
        <v>47</v>
      </c>
    </row>
    <row r="1866" spans="1:11" ht="15.75" customHeight="1" x14ac:dyDescent="0.25">
      <c r="A1866" s="215">
        <f>A1864+1</f>
        <v>97</v>
      </c>
      <c r="B1866" s="215">
        <v>3414</v>
      </c>
      <c r="C1866" s="223" t="s">
        <v>668</v>
      </c>
      <c r="D1866" s="224">
        <v>905.11</v>
      </c>
      <c r="E1866" s="224" t="s">
        <v>68</v>
      </c>
      <c r="F1866" s="225">
        <v>3</v>
      </c>
      <c r="G1866" s="215" t="s">
        <v>74</v>
      </c>
      <c r="H1866" s="57" t="s">
        <v>66</v>
      </c>
      <c r="I1866" s="50">
        <f>I1867</f>
        <v>66073.03</v>
      </c>
      <c r="J1866" s="50">
        <f>J1867</f>
        <v>73</v>
      </c>
      <c r="K1866" s="50">
        <f>K1867</f>
        <v>73</v>
      </c>
    </row>
    <row r="1867" spans="1:11" ht="47.25" customHeight="1" x14ac:dyDescent="0.25">
      <c r="A1867" s="215"/>
      <c r="B1867" s="215"/>
      <c r="C1867" s="223"/>
      <c r="D1867" s="224"/>
      <c r="E1867" s="224"/>
      <c r="F1867" s="225"/>
      <c r="G1867" s="215"/>
      <c r="H1867" s="57" t="s">
        <v>168</v>
      </c>
      <c r="I1867" s="50">
        <f>D1866*K1867</f>
        <v>66073.03</v>
      </c>
      <c r="J1867" s="50">
        <f>I1867/D1866</f>
        <v>73</v>
      </c>
      <c r="K1867" s="50">
        <f>60+13</f>
        <v>73</v>
      </c>
    </row>
    <row r="1868" spans="1:11" ht="15.75" customHeight="1" x14ac:dyDescent="0.25">
      <c r="A1868" s="215">
        <f>A1866+1</f>
        <v>98</v>
      </c>
      <c r="B1868" s="215">
        <v>3415</v>
      </c>
      <c r="C1868" s="223" t="s">
        <v>669</v>
      </c>
      <c r="D1868" s="224">
        <v>667.9</v>
      </c>
      <c r="E1868" s="224" t="s">
        <v>68</v>
      </c>
      <c r="F1868" s="225">
        <v>3</v>
      </c>
      <c r="G1868" s="215" t="s">
        <v>74</v>
      </c>
      <c r="H1868" s="57" t="s">
        <v>66</v>
      </c>
      <c r="I1868" s="50">
        <f>I1869</f>
        <v>48756.7</v>
      </c>
      <c r="J1868" s="50">
        <f>J1869</f>
        <v>73</v>
      </c>
      <c r="K1868" s="50">
        <f>K1869</f>
        <v>73</v>
      </c>
    </row>
    <row r="1869" spans="1:11" ht="47.25" customHeight="1" x14ac:dyDescent="0.25">
      <c r="A1869" s="215"/>
      <c r="B1869" s="215"/>
      <c r="C1869" s="223"/>
      <c r="D1869" s="224"/>
      <c r="E1869" s="224"/>
      <c r="F1869" s="225"/>
      <c r="G1869" s="215"/>
      <c r="H1869" s="57" t="s">
        <v>168</v>
      </c>
      <c r="I1869" s="50">
        <f>D1868*K1869</f>
        <v>48756.7</v>
      </c>
      <c r="J1869" s="50">
        <f>I1869/D1868</f>
        <v>73</v>
      </c>
      <c r="K1869" s="50">
        <f>60+13</f>
        <v>73</v>
      </c>
    </row>
    <row r="1870" spans="1:11" ht="15.75" customHeight="1" x14ac:dyDescent="0.25">
      <c r="A1870" s="215">
        <f>A1868+1</f>
        <v>99</v>
      </c>
      <c r="B1870" s="215">
        <v>3416</v>
      </c>
      <c r="C1870" s="223" t="s">
        <v>497</v>
      </c>
      <c r="D1870" s="224">
        <v>887</v>
      </c>
      <c r="E1870" s="224" t="s">
        <v>68</v>
      </c>
      <c r="F1870" s="225">
        <v>3</v>
      </c>
      <c r="G1870" s="215" t="s">
        <v>74</v>
      </c>
      <c r="H1870" s="57" t="s">
        <v>66</v>
      </c>
      <c r="I1870" s="50">
        <f>I1871</f>
        <v>64751</v>
      </c>
      <c r="J1870" s="50">
        <f>J1871</f>
        <v>73</v>
      </c>
      <c r="K1870" s="50">
        <f>K1871</f>
        <v>73</v>
      </c>
    </row>
    <row r="1871" spans="1:11" ht="47.25" customHeight="1" x14ac:dyDescent="0.25">
      <c r="A1871" s="215"/>
      <c r="B1871" s="215"/>
      <c r="C1871" s="223"/>
      <c r="D1871" s="224"/>
      <c r="E1871" s="224"/>
      <c r="F1871" s="225"/>
      <c r="G1871" s="215"/>
      <c r="H1871" s="57" t="s">
        <v>168</v>
      </c>
      <c r="I1871" s="50">
        <f>D1870*K1871</f>
        <v>64751</v>
      </c>
      <c r="J1871" s="50">
        <f>I1871/D1870</f>
        <v>73</v>
      </c>
      <c r="K1871" s="50">
        <f>60+13</f>
        <v>73</v>
      </c>
    </row>
    <row r="1872" spans="1:11" ht="15.75" customHeight="1" x14ac:dyDescent="0.25">
      <c r="A1872" s="215">
        <f>A1870+1</f>
        <v>100</v>
      </c>
      <c r="B1872" s="215">
        <v>3417</v>
      </c>
      <c r="C1872" s="223" t="s">
        <v>498</v>
      </c>
      <c r="D1872" s="224">
        <v>921.5</v>
      </c>
      <c r="E1872" s="224" t="s">
        <v>68</v>
      </c>
      <c r="F1872" s="225">
        <v>3</v>
      </c>
      <c r="G1872" s="215" t="s">
        <v>74</v>
      </c>
      <c r="H1872" s="57" t="s">
        <v>66</v>
      </c>
      <c r="I1872" s="50">
        <f>I1873</f>
        <v>67269.5</v>
      </c>
      <c r="J1872" s="50">
        <f>J1873</f>
        <v>73</v>
      </c>
      <c r="K1872" s="50">
        <f>K1873</f>
        <v>73</v>
      </c>
    </row>
    <row r="1873" spans="1:11" ht="47.25" customHeight="1" x14ac:dyDescent="0.25">
      <c r="A1873" s="215"/>
      <c r="B1873" s="215"/>
      <c r="C1873" s="223"/>
      <c r="D1873" s="224"/>
      <c r="E1873" s="224"/>
      <c r="F1873" s="225"/>
      <c r="G1873" s="215"/>
      <c r="H1873" s="57" t="s">
        <v>168</v>
      </c>
      <c r="I1873" s="50">
        <f>D1872*K1873</f>
        <v>67269.5</v>
      </c>
      <c r="J1873" s="50">
        <f>I1873/D1872</f>
        <v>73</v>
      </c>
      <c r="K1873" s="50">
        <f>60+13</f>
        <v>73</v>
      </c>
    </row>
    <row r="1874" spans="1:11" ht="15.75" customHeight="1" x14ac:dyDescent="0.25">
      <c r="A1874" s="216">
        <f>A1872+1</f>
        <v>101</v>
      </c>
      <c r="B1874" s="216">
        <v>4314</v>
      </c>
      <c r="C1874" s="218" t="s">
        <v>618</v>
      </c>
      <c r="D1874" s="220">
        <v>4047.51</v>
      </c>
      <c r="E1874" s="216" t="s">
        <v>68</v>
      </c>
      <c r="F1874" s="216">
        <v>9</v>
      </c>
      <c r="G1874" s="105"/>
      <c r="H1874" s="57" t="s">
        <v>66</v>
      </c>
      <c r="I1874" s="50">
        <f>I1875+I1876</f>
        <v>2289618</v>
      </c>
      <c r="J1874" s="50">
        <f>J1875+J1876</f>
        <v>565.69000000000005</v>
      </c>
      <c r="K1874" s="50">
        <f>K1875+K1876</f>
        <v>565.67999999999995</v>
      </c>
    </row>
    <row r="1875" spans="1:11" ht="15.75" customHeight="1" x14ac:dyDescent="0.25">
      <c r="A1875" s="217"/>
      <c r="B1875" s="217"/>
      <c r="C1875" s="219"/>
      <c r="D1875" s="221"/>
      <c r="E1875" s="217"/>
      <c r="F1875" s="217"/>
      <c r="G1875" s="216" t="s">
        <v>170</v>
      </c>
      <c r="H1875" s="57" t="s">
        <v>171</v>
      </c>
      <c r="I1875" s="50">
        <f>2241647</f>
        <v>2241647</v>
      </c>
      <c r="J1875" s="50">
        <f>I1875/D1874+0.01</f>
        <v>553.84</v>
      </c>
      <c r="K1875" s="50">
        <f>2241647/D1874</f>
        <v>553.83000000000004</v>
      </c>
    </row>
    <row r="1876" spans="1:11" ht="15.75" customHeight="1" x14ac:dyDescent="0.25">
      <c r="A1876" s="217"/>
      <c r="B1876" s="217"/>
      <c r="C1876" s="219"/>
      <c r="D1876" s="221"/>
      <c r="E1876" s="217"/>
      <c r="F1876" s="217"/>
      <c r="G1876" s="222"/>
      <c r="H1876" s="57" t="s">
        <v>69</v>
      </c>
      <c r="I1876" s="50">
        <v>47971</v>
      </c>
      <c r="J1876" s="50">
        <f>I1876/D1874</f>
        <v>11.85</v>
      </c>
      <c r="K1876" s="50">
        <f>47971/D1874</f>
        <v>11.85</v>
      </c>
    </row>
    <row r="1877" spans="1:11" ht="15.75" customHeight="1" x14ac:dyDescent="0.25">
      <c r="A1877" s="216">
        <f>A1874+1</f>
        <v>102</v>
      </c>
      <c r="B1877" s="216">
        <v>4105</v>
      </c>
      <c r="C1877" s="218" t="s">
        <v>619</v>
      </c>
      <c r="D1877" s="220">
        <v>4424.8999999999996</v>
      </c>
      <c r="E1877" s="216" t="s">
        <v>68</v>
      </c>
      <c r="F1877" s="216">
        <v>10</v>
      </c>
      <c r="G1877" s="105"/>
      <c r="H1877" s="57" t="s">
        <v>66</v>
      </c>
      <c r="I1877" s="50">
        <f>I1878+I1879</f>
        <v>2511373</v>
      </c>
      <c r="J1877" s="50">
        <f>J1878+J1879</f>
        <v>567.54999999999995</v>
      </c>
      <c r="K1877" s="50">
        <f>K1878+K1879</f>
        <v>567.54999999999995</v>
      </c>
    </row>
    <row r="1878" spans="1:11" ht="15.75" customHeight="1" x14ac:dyDescent="0.25">
      <c r="A1878" s="217"/>
      <c r="B1878" s="217"/>
      <c r="C1878" s="219"/>
      <c r="D1878" s="221"/>
      <c r="E1878" s="217"/>
      <c r="F1878" s="217"/>
      <c r="G1878" s="216" t="s">
        <v>170</v>
      </c>
      <c r="H1878" s="57" t="s">
        <v>171</v>
      </c>
      <c r="I1878" s="50">
        <v>2458756</v>
      </c>
      <c r="J1878" s="50">
        <f>I1878/D1877</f>
        <v>555.66</v>
      </c>
      <c r="K1878" s="50">
        <f>2458756/D1877</f>
        <v>555.66</v>
      </c>
    </row>
    <row r="1879" spans="1:11" ht="15.75" customHeight="1" x14ac:dyDescent="0.25">
      <c r="A1879" s="217"/>
      <c r="B1879" s="217"/>
      <c r="C1879" s="219"/>
      <c r="D1879" s="221"/>
      <c r="E1879" s="217"/>
      <c r="F1879" s="217"/>
      <c r="G1879" s="222"/>
      <c r="H1879" s="57" t="s">
        <v>69</v>
      </c>
      <c r="I1879" s="50">
        <v>52617</v>
      </c>
      <c r="J1879" s="50">
        <f>I1879/D1877</f>
        <v>11.89</v>
      </c>
      <c r="K1879" s="50">
        <f>52617/D1877</f>
        <v>11.89</v>
      </c>
    </row>
    <row r="1880" spans="1:11" x14ac:dyDescent="0.25">
      <c r="A1880" s="215">
        <f>A1877+1</f>
        <v>103</v>
      </c>
      <c r="B1880" s="215">
        <v>8156</v>
      </c>
      <c r="C1880" s="223" t="s">
        <v>215</v>
      </c>
      <c r="D1880" s="224">
        <v>3902.7</v>
      </c>
      <c r="E1880" s="224" t="s">
        <v>64</v>
      </c>
      <c r="F1880" s="225">
        <v>5</v>
      </c>
      <c r="G1880" s="215" t="s">
        <v>65</v>
      </c>
      <c r="H1880" s="57" t="s">
        <v>66</v>
      </c>
      <c r="I1880" s="50">
        <f>I1881+I1882</f>
        <v>11610964.23</v>
      </c>
      <c r="J1880" s="50">
        <f>J1881+J1882</f>
        <v>2975.11</v>
      </c>
      <c r="K1880" s="50">
        <f>K1881+K1882</f>
        <v>3878</v>
      </c>
    </row>
    <row r="1881" spans="1:11" x14ac:dyDescent="0.25">
      <c r="A1881" s="215">
        <v>76</v>
      </c>
      <c r="B1881" s="215"/>
      <c r="C1881" s="223"/>
      <c r="D1881" s="215"/>
      <c r="E1881" s="224"/>
      <c r="F1881" s="225"/>
      <c r="G1881" s="215"/>
      <c r="H1881" s="57" t="s">
        <v>67</v>
      </c>
      <c r="I1881" s="50">
        <v>11367695.550000001</v>
      </c>
      <c r="J1881" s="50">
        <f>I1881/D1880</f>
        <v>2912.78</v>
      </c>
      <c r="K1881" s="50">
        <v>3797</v>
      </c>
    </row>
    <row r="1882" spans="1:11" x14ac:dyDescent="0.25">
      <c r="A1882" s="215"/>
      <c r="B1882" s="215"/>
      <c r="C1882" s="223"/>
      <c r="D1882" s="215"/>
      <c r="E1882" s="224"/>
      <c r="F1882" s="225"/>
      <c r="G1882" s="215"/>
      <c r="H1882" s="57" t="s">
        <v>69</v>
      </c>
      <c r="I1882" s="50">
        <f>I1881*0.0214</f>
        <v>243268.68</v>
      </c>
      <c r="J1882" s="50">
        <f>I1882/D1880</f>
        <v>62.33</v>
      </c>
      <c r="K1882" s="50">
        <v>81</v>
      </c>
    </row>
    <row r="1883" spans="1:11" x14ac:dyDescent="0.25">
      <c r="A1883" s="215">
        <f>A1880+1</f>
        <v>104</v>
      </c>
      <c r="B1883" s="215">
        <v>3438</v>
      </c>
      <c r="C1883" s="223" t="s">
        <v>216</v>
      </c>
      <c r="D1883" s="224">
        <v>10071.02</v>
      </c>
      <c r="E1883" s="224" t="s">
        <v>64</v>
      </c>
      <c r="F1883" s="225">
        <v>9</v>
      </c>
      <c r="G1883" s="215" t="s">
        <v>65</v>
      </c>
      <c r="H1883" s="57" t="s">
        <v>66</v>
      </c>
      <c r="I1883" s="50">
        <f>I1884+I1885</f>
        <v>18517782.129999999</v>
      </c>
      <c r="J1883" s="50">
        <f>J1884+J1885</f>
        <v>1838.72</v>
      </c>
      <c r="K1883" s="50">
        <f>K1884+K1885</f>
        <v>2492</v>
      </c>
    </row>
    <row r="1884" spans="1:11" x14ac:dyDescent="0.25">
      <c r="A1884" s="215">
        <v>77</v>
      </c>
      <c r="B1884" s="215"/>
      <c r="C1884" s="223"/>
      <c r="D1884" s="215"/>
      <c r="E1884" s="224"/>
      <c r="F1884" s="225"/>
      <c r="G1884" s="215"/>
      <c r="H1884" s="57" t="s">
        <v>67</v>
      </c>
      <c r="I1884" s="50">
        <v>18129804.32</v>
      </c>
      <c r="J1884" s="50">
        <f>I1884/D1883</f>
        <v>1800.2</v>
      </c>
      <c r="K1884" s="50">
        <v>2440</v>
      </c>
    </row>
    <row r="1885" spans="1:11" x14ac:dyDescent="0.25">
      <c r="A1885" s="215"/>
      <c r="B1885" s="215"/>
      <c r="C1885" s="223"/>
      <c r="D1885" s="215"/>
      <c r="E1885" s="224"/>
      <c r="F1885" s="225"/>
      <c r="G1885" s="215"/>
      <c r="H1885" s="57" t="s">
        <v>69</v>
      </c>
      <c r="I1885" s="50">
        <f>I1884*0.0214</f>
        <v>387977.81</v>
      </c>
      <c r="J1885" s="50">
        <f>I1885/D1883</f>
        <v>38.520000000000003</v>
      </c>
      <c r="K1885" s="50">
        <v>52</v>
      </c>
    </row>
    <row r="1886" spans="1:11" ht="15.75" customHeight="1" x14ac:dyDescent="0.25">
      <c r="A1886" s="216">
        <f>A1883+1</f>
        <v>105</v>
      </c>
      <c r="B1886" s="216">
        <v>4256</v>
      </c>
      <c r="C1886" s="218" t="s">
        <v>670</v>
      </c>
      <c r="D1886" s="220">
        <v>5120</v>
      </c>
      <c r="E1886" s="216" t="s">
        <v>68</v>
      </c>
      <c r="F1886" s="216">
        <v>9</v>
      </c>
      <c r="G1886" s="105"/>
      <c r="H1886" s="57" t="s">
        <v>66</v>
      </c>
      <c r="I1886" s="50">
        <f>I1887</f>
        <v>32281</v>
      </c>
      <c r="J1886" s="50">
        <f>J1887</f>
        <v>6.3</v>
      </c>
      <c r="K1886" s="50">
        <f>K1887</f>
        <v>6.3</v>
      </c>
    </row>
    <row r="1887" spans="1:11" ht="47.25" customHeight="1" x14ac:dyDescent="0.25">
      <c r="A1887" s="217"/>
      <c r="B1887" s="217"/>
      <c r="C1887" s="219"/>
      <c r="D1887" s="221"/>
      <c r="E1887" s="217"/>
      <c r="F1887" s="217"/>
      <c r="G1887" s="102" t="s">
        <v>170</v>
      </c>
      <c r="H1887" s="57" t="s">
        <v>168</v>
      </c>
      <c r="I1887" s="50">
        <f>22681+9600</f>
        <v>32281</v>
      </c>
      <c r="J1887" s="50">
        <f>I1887/D1886</f>
        <v>6.3</v>
      </c>
      <c r="K1887" s="50">
        <f>32281/D1886</f>
        <v>6.3</v>
      </c>
    </row>
    <row r="1888" spans="1:11" x14ac:dyDescent="0.25">
      <c r="A1888" s="215">
        <f>A1886+1</f>
        <v>106</v>
      </c>
      <c r="B1888" s="215">
        <v>3423</v>
      </c>
      <c r="C1888" s="223" t="s">
        <v>378</v>
      </c>
      <c r="D1888" s="224">
        <v>3421.41</v>
      </c>
      <c r="E1888" s="224" t="s">
        <v>68</v>
      </c>
      <c r="F1888" s="225">
        <v>7</v>
      </c>
      <c r="G1888" s="215" t="s">
        <v>65</v>
      </c>
      <c r="H1888" s="57" t="s">
        <v>66</v>
      </c>
      <c r="I1888" s="50">
        <f>I1889</f>
        <v>522363.77</v>
      </c>
      <c r="J1888" s="50">
        <f>J1889</f>
        <v>152.66999999999999</v>
      </c>
      <c r="K1888" s="50">
        <f>K1889</f>
        <v>164</v>
      </c>
    </row>
    <row r="1889" spans="1:11" ht="63" x14ac:dyDescent="0.25">
      <c r="A1889" s="215"/>
      <c r="B1889" s="215"/>
      <c r="C1889" s="223"/>
      <c r="D1889" s="224"/>
      <c r="E1889" s="224"/>
      <c r="F1889" s="225"/>
      <c r="G1889" s="215"/>
      <c r="H1889" s="57" t="s">
        <v>168</v>
      </c>
      <c r="I1889" s="50">
        <v>522363.77</v>
      </c>
      <c r="J1889" s="50">
        <f>I1889/D1888</f>
        <v>152.66999999999999</v>
      </c>
      <c r="K1889" s="50">
        <f>151+13</f>
        <v>164</v>
      </c>
    </row>
    <row r="1890" spans="1:11" ht="15.75" customHeight="1" x14ac:dyDescent="0.25">
      <c r="A1890" s="215">
        <f>A1888+1</f>
        <v>107</v>
      </c>
      <c r="B1890" s="215">
        <v>2292</v>
      </c>
      <c r="C1890" s="223" t="s">
        <v>671</v>
      </c>
      <c r="D1890" s="224">
        <v>2567.1999999999998</v>
      </c>
      <c r="E1890" s="224" t="s">
        <v>68</v>
      </c>
      <c r="F1890" s="225">
        <v>6</v>
      </c>
      <c r="G1890" s="215" t="s">
        <v>65</v>
      </c>
      <c r="H1890" s="57" t="s">
        <v>66</v>
      </c>
      <c r="I1890" s="50">
        <f>I1891</f>
        <v>433856.8</v>
      </c>
      <c r="J1890" s="50">
        <f>J1891</f>
        <v>169</v>
      </c>
      <c r="K1890" s="50">
        <f>K1891</f>
        <v>169</v>
      </c>
    </row>
    <row r="1891" spans="1:11" ht="47.25" customHeight="1" x14ac:dyDescent="0.25">
      <c r="A1891" s="215"/>
      <c r="B1891" s="215"/>
      <c r="C1891" s="223"/>
      <c r="D1891" s="224"/>
      <c r="E1891" s="224"/>
      <c r="F1891" s="225"/>
      <c r="G1891" s="215"/>
      <c r="H1891" s="57" t="s">
        <v>178</v>
      </c>
      <c r="I1891" s="50">
        <f>D1890*K1891</f>
        <v>433856.8</v>
      </c>
      <c r="J1891" s="50">
        <f>I1891/D1890</f>
        <v>169</v>
      </c>
      <c r="K1891" s="50">
        <f>151+18</f>
        <v>169</v>
      </c>
    </row>
    <row r="1892" spans="1:11" x14ac:dyDescent="0.25">
      <c r="A1892" s="215">
        <f>A1890+1</f>
        <v>108</v>
      </c>
      <c r="B1892" s="215">
        <v>2466</v>
      </c>
      <c r="C1892" s="223" t="s">
        <v>557</v>
      </c>
      <c r="D1892" s="224">
        <v>2570.9</v>
      </c>
      <c r="E1892" s="224" t="s">
        <v>64</v>
      </c>
      <c r="F1892" s="225">
        <v>5</v>
      </c>
      <c r="G1892" s="215" t="s">
        <v>74</v>
      </c>
      <c r="H1892" s="57" t="s">
        <v>66</v>
      </c>
      <c r="I1892" s="50">
        <f>I1893+I1894</f>
        <v>930665.8</v>
      </c>
      <c r="J1892" s="50">
        <f>J1893+J1894</f>
        <v>362</v>
      </c>
      <c r="K1892" s="50">
        <f>K1893+K1894</f>
        <v>362</v>
      </c>
    </row>
    <row r="1893" spans="1:11" x14ac:dyDescent="0.25">
      <c r="A1893" s="215"/>
      <c r="B1893" s="215"/>
      <c r="C1893" s="223"/>
      <c r="D1893" s="224"/>
      <c r="E1893" s="224"/>
      <c r="F1893" s="225"/>
      <c r="G1893" s="215"/>
      <c r="H1893" s="57" t="s">
        <v>67</v>
      </c>
      <c r="I1893" s="50">
        <f>D1892*K1893</f>
        <v>910098.6</v>
      </c>
      <c r="J1893" s="50">
        <f>I1893/D1892</f>
        <v>354</v>
      </c>
      <c r="K1893" s="50">
        <v>354</v>
      </c>
    </row>
    <row r="1894" spans="1:11" x14ac:dyDescent="0.25">
      <c r="A1894" s="215"/>
      <c r="B1894" s="215"/>
      <c r="C1894" s="223"/>
      <c r="D1894" s="224"/>
      <c r="E1894" s="224"/>
      <c r="F1894" s="225"/>
      <c r="G1894" s="215"/>
      <c r="H1894" s="57" t="s">
        <v>69</v>
      </c>
      <c r="I1894" s="50">
        <f>K1894*D1892</f>
        <v>20567.2</v>
      </c>
      <c r="J1894" s="50">
        <f>I1894/D1892</f>
        <v>8</v>
      </c>
      <c r="K1894" s="50">
        <v>8</v>
      </c>
    </row>
    <row r="1895" spans="1:11" ht="15.75" customHeight="1" x14ac:dyDescent="0.25">
      <c r="A1895" s="216">
        <f>A1892+1</f>
        <v>109</v>
      </c>
      <c r="B1895" s="216">
        <v>2255</v>
      </c>
      <c r="C1895" s="218" t="s">
        <v>620</v>
      </c>
      <c r="D1895" s="220">
        <v>4870</v>
      </c>
      <c r="E1895" s="216" t="s">
        <v>64</v>
      </c>
      <c r="F1895" s="216">
        <v>10</v>
      </c>
      <c r="G1895" s="105"/>
      <c r="H1895" s="57" t="s">
        <v>66</v>
      </c>
      <c r="I1895" s="50">
        <f>I1896+I1897+I1898+I1899</f>
        <v>4579236</v>
      </c>
      <c r="J1895" s="50">
        <f>J1896+J1897+J1898+J1899</f>
        <v>940.29</v>
      </c>
      <c r="K1895" s="50">
        <f>K1896+K1897+K1898+K1899</f>
        <v>940.29</v>
      </c>
    </row>
    <row r="1896" spans="1:11" ht="15.75" customHeight="1" x14ac:dyDescent="0.25">
      <c r="A1896" s="217"/>
      <c r="B1896" s="217"/>
      <c r="C1896" s="219"/>
      <c r="D1896" s="221"/>
      <c r="E1896" s="217"/>
      <c r="F1896" s="217"/>
      <c r="G1896" s="216" t="s">
        <v>170</v>
      </c>
      <c r="H1896" s="57" t="s">
        <v>171</v>
      </c>
      <c r="I1896" s="50">
        <v>2241647</v>
      </c>
      <c r="J1896" s="50">
        <f>I1896/D1895-0.01</f>
        <v>460.29</v>
      </c>
      <c r="K1896" s="50">
        <f>2241647/D1895-0.01</f>
        <v>460.29</v>
      </c>
    </row>
    <row r="1897" spans="1:11" ht="15.75" customHeight="1" x14ac:dyDescent="0.25">
      <c r="A1897" s="217"/>
      <c r="B1897" s="217"/>
      <c r="C1897" s="219"/>
      <c r="D1897" s="221"/>
      <c r="E1897" s="217"/>
      <c r="F1897" s="217"/>
      <c r="G1897" s="222"/>
      <c r="H1897" s="57" t="s">
        <v>69</v>
      </c>
      <c r="I1897" s="50">
        <v>47971</v>
      </c>
      <c r="J1897" s="50">
        <f>I1897/D1895</f>
        <v>9.85</v>
      </c>
      <c r="K1897" s="50">
        <f>47971/D1895</f>
        <v>9.85</v>
      </c>
    </row>
    <row r="1898" spans="1:11" ht="15.75" customHeight="1" x14ac:dyDescent="0.25">
      <c r="A1898" s="217"/>
      <c r="B1898" s="217"/>
      <c r="C1898" s="219"/>
      <c r="D1898" s="221"/>
      <c r="E1898" s="217"/>
      <c r="F1898" s="217"/>
      <c r="G1898" s="216" t="s">
        <v>173</v>
      </c>
      <c r="H1898" s="57" t="s">
        <v>171</v>
      </c>
      <c r="I1898" s="50">
        <v>2241647</v>
      </c>
      <c r="J1898" s="50">
        <f>I1898/D1895</f>
        <v>460.3</v>
      </c>
      <c r="K1898" s="50">
        <f>2241647/D1895</f>
        <v>460.3</v>
      </c>
    </row>
    <row r="1899" spans="1:11" ht="15.75" customHeight="1" x14ac:dyDescent="0.25">
      <c r="A1899" s="217"/>
      <c r="B1899" s="217"/>
      <c r="C1899" s="219"/>
      <c r="D1899" s="221"/>
      <c r="E1899" s="217"/>
      <c r="F1899" s="217"/>
      <c r="G1899" s="222"/>
      <c r="H1899" s="57" t="s">
        <v>69</v>
      </c>
      <c r="I1899" s="50">
        <v>47971</v>
      </c>
      <c r="J1899" s="50">
        <f>I1899/D1895</f>
        <v>9.85</v>
      </c>
      <c r="K1899" s="50">
        <f>47971/D1895</f>
        <v>9.85</v>
      </c>
    </row>
    <row r="1900" spans="1:11" ht="15.75" customHeight="1" x14ac:dyDescent="0.25">
      <c r="A1900" s="216">
        <f>A1895+1</f>
        <v>110</v>
      </c>
      <c r="B1900" s="216">
        <v>2475</v>
      </c>
      <c r="C1900" s="218" t="s">
        <v>672</v>
      </c>
      <c r="D1900" s="220">
        <v>16349</v>
      </c>
      <c r="E1900" s="216" t="s">
        <v>64</v>
      </c>
      <c r="F1900" s="216">
        <v>10</v>
      </c>
      <c r="G1900" s="105"/>
      <c r="H1900" s="57" t="s">
        <v>66</v>
      </c>
      <c r="I1900" s="50">
        <f>I1901+I1902+I1903</f>
        <v>96843</v>
      </c>
      <c r="J1900" s="50">
        <f>J1901+J1902+J1903</f>
        <v>5.92</v>
      </c>
      <c r="K1900" s="50">
        <f>K1901+K1902+K1903</f>
        <v>5.92</v>
      </c>
    </row>
    <row r="1901" spans="1:11" ht="47.25" customHeight="1" x14ac:dyDescent="0.25">
      <c r="A1901" s="217"/>
      <c r="B1901" s="217"/>
      <c r="C1901" s="219"/>
      <c r="D1901" s="221"/>
      <c r="E1901" s="217"/>
      <c r="F1901" s="217"/>
      <c r="G1901" s="102" t="s">
        <v>174</v>
      </c>
      <c r="H1901" s="57" t="s">
        <v>168</v>
      </c>
      <c r="I1901" s="50">
        <f>22681+9600</f>
        <v>32281</v>
      </c>
      <c r="J1901" s="50">
        <f>I1901/D1900</f>
        <v>1.97</v>
      </c>
      <c r="K1901" s="50">
        <f>32281/D1900</f>
        <v>1.97</v>
      </c>
    </row>
    <row r="1902" spans="1:11" ht="47.25" customHeight="1" x14ac:dyDescent="0.25">
      <c r="A1902" s="217"/>
      <c r="B1902" s="217"/>
      <c r="C1902" s="219"/>
      <c r="D1902" s="221"/>
      <c r="E1902" s="217"/>
      <c r="F1902" s="217"/>
      <c r="G1902" s="102" t="s">
        <v>175</v>
      </c>
      <c r="H1902" s="57" t="s">
        <v>168</v>
      </c>
      <c r="I1902" s="50">
        <f>22681+9600</f>
        <v>32281</v>
      </c>
      <c r="J1902" s="50">
        <f>I1902/D1900+0.01</f>
        <v>1.98</v>
      </c>
      <c r="K1902" s="50">
        <f>32281/D1900+0.01</f>
        <v>1.98</v>
      </c>
    </row>
    <row r="1903" spans="1:11" ht="47.25" customHeight="1" x14ac:dyDescent="0.25">
      <c r="A1903" s="217"/>
      <c r="B1903" s="217"/>
      <c r="C1903" s="219"/>
      <c r="D1903" s="221"/>
      <c r="E1903" s="217"/>
      <c r="F1903" s="217"/>
      <c r="G1903" s="102" t="s">
        <v>172</v>
      </c>
      <c r="H1903" s="57" t="s">
        <v>168</v>
      </c>
      <c r="I1903" s="50">
        <f>22681+9600</f>
        <v>32281</v>
      </c>
      <c r="J1903" s="50">
        <f>I1903/D1900</f>
        <v>1.97</v>
      </c>
      <c r="K1903" s="50">
        <f>32281/D1900</f>
        <v>1.97</v>
      </c>
    </row>
    <row r="1904" spans="1:11" ht="15.75" customHeight="1" x14ac:dyDescent="0.25">
      <c r="A1904" s="216">
        <f>A1900+1</f>
        <v>111</v>
      </c>
      <c r="B1904" s="216">
        <v>3048</v>
      </c>
      <c r="C1904" s="218" t="s">
        <v>621</v>
      </c>
      <c r="D1904" s="220">
        <v>11324.3</v>
      </c>
      <c r="E1904" s="216" t="s">
        <v>64</v>
      </c>
      <c r="F1904" s="216">
        <v>10</v>
      </c>
      <c r="G1904" s="105"/>
      <c r="H1904" s="57" t="s">
        <v>66</v>
      </c>
      <c r="I1904" s="50">
        <f>I1905+I1906+I1907+I1908</f>
        <v>4579236</v>
      </c>
      <c r="J1904" s="50">
        <f>J1905+J1906+J1907+J1908</f>
        <v>404.37</v>
      </c>
      <c r="K1904" s="50">
        <f>K1905+K1906+K1907+K1908</f>
        <v>404.37</v>
      </c>
    </row>
    <row r="1905" spans="1:11" ht="15.75" customHeight="1" x14ac:dyDescent="0.25">
      <c r="A1905" s="217"/>
      <c r="B1905" s="217"/>
      <c r="C1905" s="219"/>
      <c r="D1905" s="221"/>
      <c r="E1905" s="217"/>
      <c r="F1905" s="217"/>
      <c r="G1905" s="217" t="s">
        <v>175</v>
      </c>
      <c r="H1905" s="57" t="s">
        <v>171</v>
      </c>
      <c r="I1905" s="50">
        <v>2241647</v>
      </c>
      <c r="J1905" s="50">
        <f>I1905/D1904</f>
        <v>197.95</v>
      </c>
      <c r="K1905" s="50">
        <f>2241647/D1904</f>
        <v>197.95</v>
      </c>
    </row>
    <row r="1906" spans="1:11" ht="15.75" customHeight="1" x14ac:dyDescent="0.25">
      <c r="A1906" s="217"/>
      <c r="B1906" s="217"/>
      <c r="C1906" s="219"/>
      <c r="D1906" s="221"/>
      <c r="E1906" s="217"/>
      <c r="F1906" s="217"/>
      <c r="G1906" s="222"/>
      <c r="H1906" s="57" t="s">
        <v>69</v>
      </c>
      <c r="I1906" s="50">
        <v>47971</v>
      </c>
      <c r="J1906" s="50">
        <f>I1906/D1904</f>
        <v>4.24</v>
      </c>
      <c r="K1906" s="50">
        <f>47971/D1904</f>
        <v>4.24</v>
      </c>
    </row>
    <row r="1907" spans="1:11" ht="15.75" customHeight="1" x14ac:dyDescent="0.25">
      <c r="A1907" s="217"/>
      <c r="B1907" s="217"/>
      <c r="C1907" s="219"/>
      <c r="D1907" s="221"/>
      <c r="E1907" s="217"/>
      <c r="F1907" s="217"/>
      <c r="G1907" s="217" t="s">
        <v>172</v>
      </c>
      <c r="H1907" s="57" t="s">
        <v>171</v>
      </c>
      <c r="I1907" s="50">
        <v>2241647</v>
      </c>
      <c r="J1907" s="50">
        <f>I1907/D1904-0.01</f>
        <v>197.94</v>
      </c>
      <c r="K1907" s="50">
        <f>2241647/D1904-0.01</f>
        <v>197.94</v>
      </c>
    </row>
    <row r="1908" spans="1:11" ht="15.75" customHeight="1" x14ac:dyDescent="0.25">
      <c r="A1908" s="217"/>
      <c r="B1908" s="217"/>
      <c r="C1908" s="219"/>
      <c r="D1908" s="221"/>
      <c r="E1908" s="217"/>
      <c r="F1908" s="217"/>
      <c r="G1908" s="222"/>
      <c r="H1908" s="57" t="s">
        <v>69</v>
      </c>
      <c r="I1908" s="50">
        <v>47971</v>
      </c>
      <c r="J1908" s="50">
        <f>I1908/D1904</f>
        <v>4.24</v>
      </c>
      <c r="K1908" s="50">
        <f>47971/D1904</f>
        <v>4.24</v>
      </c>
    </row>
    <row r="1909" spans="1:11" ht="15.75" customHeight="1" x14ac:dyDescent="0.25">
      <c r="A1909" s="216">
        <f>A1904+1</f>
        <v>112</v>
      </c>
      <c r="B1909" s="216">
        <v>2406</v>
      </c>
      <c r="C1909" s="218" t="s">
        <v>622</v>
      </c>
      <c r="D1909" s="220">
        <v>2388.21</v>
      </c>
      <c r="E1909" s="216" t="s">
        <v>68</v>
      </c>
      <c r="F1909" s="216">
        <v>7</v>
      </c>
      <c r="G1909" s="105"/>
      <c r="H1909" s="57" t="s">
        <v>66</v>
      </c>
      <c r="I1909" s="50">
        <f>I1910+I1911</f>
        <v>2289618</v>
      </c>
      <c r="J1909" s="50">
        <f>J1910+J1911</f>
        <v>958.72</v>
      </c>
      <c r="K1909" s="50">
        <f>K1910+K1911</f>
        <v>958.72</v>
      </c>
    </row>
    <row r="1910" spans="1:11" ht="15.75" customHeight="1" x14ac:dyDescent="0.25">
      <c r="A1910" s="217"/>
      <c r="B1910" s="217"/>
      <c r="C1910" s="219"/>
      <c r="D1910" s="221"/>
      <c r="E1910" s="217"/>
      <c r="F1910" s="217"/>
      <c r="G1910" s="216" t="s">
        <v>174</v>
      </c>
      <c r="H1910" s="57" t="s">
        <v>171</v>
      </c>
      <c r="I1910" s="50">
        <f>2241647</f>
        <v>2241647</v>
      </c>
      <c r="J1910" s="50">
        <f>I1910/D1909</f>
        <v>938.63</v>
      </c>
      <c r="K1910" s="50">
        <f>2241647/D1909</f>
        <v>938.63</v>
      </c>
    </row>
    <row r="1911" spans="1:11" ht="15.75" customHeight="1" x14ac:dyDescent="0.25">
      <c r="A1911" s="217"/>
      <c r="B1911" s="217"/>
      <c r="C1911" s="219"/>
      <c r="D1911" s="221"/>
      <c r="E1911" s="217"/>
      <c r="F1911" s="217"/>
      <c r="G1911" s="222"/>
      <c r="H1911" s="57" t="s">
        <v>69</v>
      </c>
      <c r="I1911" s="50">
        <v>47971</v>
      </c>
      <c r="J1911" s="50">
        <f>I1911/D1909</f>
        <v>20.09</v>
      </c>
      <c r="K1911" s="50">
        <f>47971/D1909</f>
        <v>20.09</v>
      </c>
    </row>
    <row r="1912" spans="1:11" x14ac:dyDescent="0.25">
      <c r="A1912" s="216">
        <f>A1909+1</f>
        <v>113</v>
      </c>
      <c r="B1912" s="216">
        <v>2235</v>
      </c>
      <c r="C1912" s="218" t="s">
        <v>80</v>
      </c>
      <c r="D1912" s="220">
        <v>4058.1</v>
      </c>
      <c r="E1912" s="220" t="s">
        <v>68</v>
      </c>
      <c r="F1912" s="228">
        <v>10</v>
      </c>
      <c r="G1912" s="216" t="s">
        <v>75</v>
      </c>
      <c r="H1912" s="57" t="s">
        <v>66</v>
      </c>
      <c r="I1912" s="50">
        <f>I1913+I1914+I1915+I1916</f>
        <v>23889155.219999999</v>
      </c>
      <c r="J1912" s="50">
        <f>J1913+J1914+J1915+J1916</f>
        <v>5886.78</v>
      </c>
      <c r="K1912" s="50">
        <f>K1913+K1914+K1915+K1916</f>
        <v>7631</v>
      </c>
    </row>
    <row r="1913" spans="1:11" x14ac:dyDescent="0.25">
      <c r="A1913" s="217"/>
      <c r="B1913" s="217"/>
      <c r="C1913" s="219"/>
      <c r="D1913" s="217"/>
      <c r="E1913" s="221"/>
      <c r="F1913" s="229"/>
      <c r="G1913" s="217"/>
      <c r="H1913" s="57" t="s">
        <v>67</v>
      </c>
      <c r="I1913" s="50">
        <v>5474083.4299999997</v>
      </c>
      <c r="J1913" s="50">
        <f>I1913/D1912</f>
        <v>1348.93</v>
      </c>
      <c r="K1913" s="50">
        <v>1733</v>
      </c>
    </row>
    <row r="1914" spans="1:11" x14ac:dyDescent="0.25">
      <c r="A1914" s="217"/>
      <c r="B1914" s="217"/>
      <c r="C1914" s="219"/>
      <c r="D1914" s="217"/>
      <c r="E1914" s="221"/>
      <c r="F1914" s="229"/>
      <c r="G1914" s="217"/>
      <c r="H1914" s="57" t="s">
        <v>69</v>
      </c>
      <c r="I1914" s="50">
        <f>I1913*0.0214</f>
        <v>117145.39</v>
      </c>
      <c r="J1914" s="50">
        <f>I1914/D1912</f>
        <v>28.87</v>
      </c>
      <c r="K1914" s="50">
        <v>37</v>
      </c>
    </row>
    <row r="1915" spans="1:11" x14ac:dyDescent="0.25">
      <c r="A1915" s="217"/>
      <c r="B1915" s="217"/>
      <c r="C1915" s="219"/>
      <c r="D1915" s="217"/>
      <c r="E1915" s="221"/>
      <c r="F1915" s="229"/>
      <c r="G1915" s="217"/>
      <c r="H1915" s="57" t="s">
        <v>179</v>
      </c>
      <c r="I1915" s="50">
        <v>17914554.920000002</v>
      </c>
      <c r="J1915" s="50">
        <f>I1915/D1912-0.01</f>
        <v>4414.51</v>
      </c>
      <c r="K1915" s="50">
        <v>5738</v>
      </c>
    </row>
    <row r="1916" spans="1:11" x14ac:dyDescent="0.25">
      <c r="A1916" s="222"/>
      <c r="B1916" s="222"/>
      <c r="C1916" s="226"/>
      <c r="D1916" s="222"/>
      <c r="E1916" s="227"/>
      <c r="F1916" s="230"/>
      <c r="G1916" s="222"/>
      <c r="H1916" s="57" t="s">
        <v>69</v>
      </c>
      <c r="I1916" s="50">
        <f>I1915*0.0214</f>
        <v>383371.48</v>
      </c>
      <c r="J1916" s="50">
        <f>I1916/D1912</f>
        <v>94.47</v>
      </c>
      <c r="K1916" s="50">
        <v>123</v>
      </c>
    </row>
    <row r="1917" spans="1:11" x14ac:dyDescent="0.25">
      <c r="A1917" s="215">
        <f>A1912+1</f>
        <v>114</v>
      </c>
      <c r="B1917" s="215">
        <v>2411</v>
      </c>
      <c r="C1917" s="304" t="s">
        <v>549</v>
      </c>
      <c r="D1917" s="224">
        <v>812.8</v>
      </c>
      <c r="E1917" s="288" t="s">
        <v>68</v>
      </c>
      <c r="F1917" s="288">
        <v>3</v>
      </c>
      <c r="G1917" s="215" t="s">
        <v>478</v>
      </c>
      <c r="H1917" s="57" t="s">
        <v>66</v>
      </c>
      <c r="I1917" s="50">
        <f>I1918+I1919</f>
        <v>4606950.4000000004</v>
      </c>
      <c r="J1917" s="50">
        <f>J1918+J1919</f>
        <v>5668</v>
      </c>
      <c r="K1917" s="50">
        <f>K1918+K1919</f>
        <v>5668</v>
      </c>
    </row>
    <row r="1918" spans="1:11" x14ac:dyDescent="0.25">
      <c r="A1918" s="215">
        <v>75</v>
      </c>
      <c r="B1918" s="215"/>
      <c r="C1918" s="304"/>
      <c r="D1918" s="224"/>
      <c r="E1918" s="288"/>
      <c r="F1918" s="288"/>
      <c r="G1918" s="215"/>
      <c r="H1918" s="57" t="s">
        <v>67</v>
      </c>
      <c r="I1918" s="50">
        <f>D1917*K1918</f>
        <v>4510227.2</v>
      </c>
      <c r="J1918" s="50">
        <f>I1918/D1917</f>
        <v>5549</v>
      </c>
      <c r="K1918" s="50">
        <v>5549</v>
      </c>
    </row>
    <row r="1919" spans="1:11" x14ac:dyDescent="0.25">
      <c r="A1919" s="215">
        <v>76</v>
      </c>
      <c r="B1919" s="215"/>
      <c r="C1919" s="304"/>
      <c r="D1919" s="224"/>
      <c r="E1919" s="288"/>
      <c r="F1919" s="288"/>
      <c r="G1919" s="215"/>
      <c r="H1919" s="57" t="s">
        <v>69</v>
      </c>
      <c r="I1919" s="50">
        <f>D1917*K1919</f>
        <v>96723.199999999997</v>
      </c>
      <c r="J1919" s="50">
        <f>I1919/D1917</f>
        <v>119</v>
      </c>
      <c r="K1919" s="50">
        <v>119</v>
      </c>
    </row>
    <row r="1920" spans="1:11" x14ac:dyDescent="0.25">
      <c r="A1920" s="215">
        <f>A1917+1</f>
        <v>115</v>
      </c>
      <c r="B1920" s="215">
        <v>2237</v>
      </c>
      <c r="C1920" s="223" t="s">
        <v>561</v>
      </c>
      <c r="D1920" s="224">
        <v>3373.3</v>
      </c>
      <c r="E1920" s="224" t="s">
        <v>68</v>
      </c>
      <c r="F1920" s="225">
        <v>5</v>
      </c>
      <c r="G1920" s="215" t="s">
        <v>74</v>
      </c>
      <c r="H1920" s="57" t="s">
        <v>66</v>
      </c>
      <c r="I1920" s="50">
        <f>I1921+I1922</f>
        <v>1372933.1</v>
      </c>
      <c r="J1920" s="50">
        <f>J1921+J1922</f>
        <v>407</v>
      </c>
      <c r="K1920" s="50">
        <f>K1921+K1922</f>
        <v>407</v>
      </c>
    </row>
    <row r="1921" spans="1:11" x14ac:dyDescent="0.25">
      <c r="A1921" s="215"/>
      <c r="B1921" s="215"/>
      <c r="C1921" s="223"/>
      <c r="D1921" s="224"/>
      <c r="E1921" s="224"/>
      <c r="F1921" s="225"/>
      <c r="G1921" s="215"/>
      <c r="H1921" s="57" t="s">
        <v>67</v>
      </c>
      <c r="I1921" s="50">
        <f>D1920*K1921</f>
        <v>1342573.4</v>
      </c>
      <c r="J1921" s="50">
        <f>I1921/D1920</f>
        <v>398</v>
      </c>
      <c r="K1921" s="50">
        <v>398</v>
      </c>
    </row>
    <row r="1922" spans="1:11" x14ac:dyDescent="0.25">
      <c r="A1922" s="215"/>
      <c r="B1922" s="215"/>
      <c r="C1922" s="223"/>
      <c r="D1922" s="224"/>
      <c r="E1922" s="224"/>
      <c r="F1922" s="225"/>
      <c r="G1922" s="215"/>
      <c r="H1922" s="57" t="s">
        <v>69</v>
      </c>
      <c r="I1922" s="50">
        <f>K1922*D1920</f>
        <v>30359.7</v>
      </c>
      <c r="J1922" s="50">
        <f>I1922/D1920</f>
        <v>9</v>
      </c>
      <c r="K1922" s="50">
        <v>9</v>
      </c>
    </row>
    <row r="1923" spans="1:11" x14ac:dyDescent="0.25">
      <c r="A1923" s="215">
        <f>A1920+1</f>
        <v>116</v>
      </c>
      <c r="B1923" s="215">
        <v>2414</v>
      </c>
      <c r="C1923" s="223" t="s">
        <v>551</v>
      </c>
      <c r="D1923" s="224">
        <v>3168.9</v>
      </c>
      <c r="E1923" s="224" t="s">
        <v>68</v>
      </c>
      <c r="F1923" s="225">
        <v>5</v>
      </c>
      <c r="G1923" s="215" t="s">
        <v>74</v>
      </c>
      <c r="H1923" s="57" t="s">
        <v>66</v>
      </c>
      <c r="I1923" s="50">
        <f>I1924+I1925</f>
        <v>1147141.8</v>
      </c>
      <c r="J1923" s="50">
        <f>J1924+J1925</f>
        <v>362</v>
      </c>
      <c r="K1923" s="50">
        <f>K1924+K1925</f>
        <v>362</v>
      </c>
    </row>
    <row r="1924" spans="1:11" x14ac:dyDescent="0.25">
      <c r="A1924" s="215"/>
      <c r="B1924" s="215"/>
      <c r="C1924" s="223"/>
      <c r="D1924" s="224"/>
      <c r="E1924" s="224"/>
      <c r="F1924" s="225"/>
      <c r="G1924" s="215"/>
      <c r="H1924" s="57" t="s">
        <v>67</v>
      </c>
      <c r="I1924" s="50">
        <f>D1923*K1924</f>
        <v>1121790.6000000001</v>
      </c>
      <c r="J1924" s="50">
        <f>I1924/D1923</f>
        <v>354</v>
      </c>
      <c r="K1924" s="50">
        <v>354</v>
      </c>
    </row>
    <row r="1925" spans="1:11" x14ac:dyDescent="0.25">
      <c r="A1925" s="215"/>
      <c r="B1925" s="215"/>
      <c r="C1925" s="223"/>
      <c r="D1925" s="224"/>
      <c r="E1925" s="224"/>
      <c r="F1925" s="225"/>
      <c r="G1925" s="215"/>
      <c r="H1925" s="57" t="s">
        <v>69</v>
      </c>
      <c r="I1925" s="50">
        <f>K1925*D1923</f>
        <v>25351.200000000001</v>
      </c>
      <c r="J1925" s="50">
        <f>I1925/D1923</f>
        <v>8</v>
      </c>
      <c r="K1925" s="50">
        <v>8</v>
      </c>
    </row>
    <row r="1926" spans="1:11" x14ac:dyDescent="0.25">
      <c r="A1926" s="215">
        <f>A1923+1</f>
        <v>117</v>
      </c>
      <c r="B1926" s="215">
        <v>2489</v>
      </c>
      <c r="C1926" s="223" t="s">
        <v>217</v>
      </c>
      <c r="D1926" s="224">
        <v>4049.2</v>
      </c>
      <c r="E1926" s="224" t="s">
        <v>68</v>
      </c>
      <c r="F1926" s="225">
        <v>9</v>
      </c>
      <c r="G1926" s="215" t="s">
        <v>65</v>
      </c>
      <c r="H1926" s="57" t="s">
        <v>66</v>
      </c>
      <c r="I1926" s="50">
        <f>I1927+I1928</f>
        <v>9017733.9499999993</v>
      </c>
      <c r="J1926" s="50">
        <f>J1927+J1928</f>
        <v>2227.04</v>
      </c>
      <c r="K1926" s="50">
        <f>K1927+K1928</f>
        <v>2492</v>
      </c>
    </row>
    <row r="1927" spans="1:11" x14ac:dyDescent="0.25">
      <c r="A1927" s="215">
        <v>77</v>
      </c>
      <c r="B1927" s="215"/>
      <c r="C1927" s="223"/>
      <c r="D1927" s="215"/>
      <c r="E1927" s="224"/>
      <c r="F1927" s="225"/>
      <c r="G1927" s="215"/>
      <c r="H1927" s="57" t="s">
        <v>67</v>
      </c>
      <c r="I1927" s="50">
        <f>(7070.59+142.48)*1000*1.02*1.2</f>
        <v>8828797.6799999997</v>
      </c>
      <c r="J1927" s="50">
        <f>I1927/D1926</f>
        <v>2180.38</v>
      </c>
      <c r="K1927" s="50">
        <v>2440</v>
      </c>
    </row>
    <row r="1928" spans="1:11" x14ac:dyDescent="0.25">
      <c r="A1928" s="215"/>
      <c r="B1928" s="215"/>
      <c r="C1928" s="223"/>
      <c r="D1928" s="215"/>
      <c r="E1928" s="224"/>
      <c r="F1928" s="225"/>
      <c r="G1928" s="215"/>
      <c r="H1928" s="57" t="s">
        <v>69</v>
      </c>
      <c r="I1928" s="50">
        <f>I1927*0.0214</f>
        <v>188936.27</v>
      </c>
      <c r="J1928" s="50">
        <f>I1928/D1926</f>
        <v>46.66</v>
      </c>
      <c r="K1928" s="50">
        <v>52</v>
      </c>
    </row>
    <row r="1929" spans="1:11" x14ac:dyDescent="0.25">
      <c r="A1929" s="216">
        <f>A1926+1</f>
        <v>118</v>
      </c>
      <c r="B1929" s="216">
        <v>2239</v>
      </c>
      <c r="C1929" s="218" t="s">
        <v>218</v>
      </c>
      <c r="D1929" s="220">
        <v>4698.6000000000004</v>
      </c>
      <c r="E1929" s="220" t="s">
        <v>64</v>
      </c>
      <c r="F1929" s="228">
        <v>5</v>
      </c>
      <c r="G1929" s="108"/>
      <c r="H1929" s="57" t="s">
        <v>66</v>
      </c>
      <c r="I1929" s="50">
        <f>I1930+I1931+I1932+I1933+I1934+I1935</f>
        <v>38222905.960000001</v>
      </c>
      <c r="J1929" s="50">
        <f>J1930+J1931+J1932+J1933+J1934+J1935</f>
        <v>8134.96</v>
      </c>
      <c r="K1929" s="50">
        <f>K1930+K1931+K1932+K1933+K1934+K1935</f>
        <v>11509</v>
      </c>
    </row>
    <row r="1930" spans="1:11" x14ac:dyDescent="0.25">
      <c r="A1930" s="217"/>
      <c r="B1930" s="217"/>
      <c r="C1930" s="219"/>
      <c r="D1930" s="217"/>
      <c r="E1930" s="221"/>
      <c r="F1930" s="229"/>
      <c r="G1930" s="216" t="s">
        <v>65</v>
      </c>
      <c r="H1930" s="57" t="s">
        <v>67</v>
      </c>
      <c r="I1930" s="50">
        <v>14616602.470000001</v>
      </c>
      <c r="J1930" s="50">
        <f>I1930/D1929</f>
        <v>3110.84</v>
      </c>
      <c r="K1930" s="50">
        <v>3797</v>
      </c>
    </row>
    <row r="1931" spans="1:11" x14ac:dyDescent="0.25">
      <c r="A1931" s="217"/>
      <c r="B1931" s="217"/>
      <c r="C1931" s="219"/>
      <c r="D1931" s="217"/>
      <c r="E1931" s="221"/>
      <c r="F1931" s="229"/>
      <c r="G1931" s="222"/>
      <c r="H1931" s="57" t="s">
        <v>69</v>
      </c>
      <c r="I1931" s="50">
        <f>I1930*0.0214</f>
        <v>312795.28999999998</v>
      </c>
      <c r="J1931" s="50">
        <f>I1931/D1929</f>
        <v>66.569999999999993</v>
      </c>
      <c r="K1931" s="50">
        <v>81</v>
      </c>
    </row>
    <row r="1932" spans="1:11" x14ac:dyDescent="0.25">
      <c r="A1932" s="217"/>
      <c r="B1932" s="217"/>
      <c r="C1932" s="219"/>
      <c r="D1932" s="217"/>
      <c r="E1932" s="221"/>
      <c r="F1932" s="229"/>
      <c r="G1932" s="216" t="s">
        <v>75</v>
      </c>
      <c r="H1932" s="57" t="s">
        <v>67</v>
      </c>
      <c r="I1932" s="50">
        <v>3542697.94</v>
      </c>
      <c r="J1932" s="50">
        <f>I1932/D1929</f>
        <v>753.99</v>
      </c>
      <c r="K1932" s="50">
        <v>1733</v>
      </c>
    </row>
    <row r="1933" spans="1:11" x14ac:dyDescent="0.25">
      <c r="A1933" s="217"/>
      <c r="B1933" s="217"/>
      <c r="C1933" s="219"/>
      <c r="D1933" s="217"/>
      <c r="E1933" s="221"/>
      <c r="F1933" s="229"/>
      <c r="G1933" s="217"/>
      <c r="H1933" s="57" t="s">
        <v>69</v>
      </c>
      <c r="I1933" s="50">
        <f>I1932*0.0214</f>
        <v>75813.740000000005</v>
      </c>
      <c r="J1933" s="50">
        <f>I1933/D1929</f>
        <v>16.14</v>
      </c>
      <c r="K1933" s="50">
        <v>37</v>
      </c>
    </row>
    <row r="1934" spans="1:11" x14ac:dyDescent="0.25">
      <c r="A1934" s="217"/>
      <c r="B1934" s="217"/>
      <c r="C1934" s="219"/>
      <c r="D1934" s="217"/>
      <c r="E1934" s="221"/>
      <c r="F1934" s="229"/>
      <c r="G1934" s="217"/>
      <c r="H1934" s="57" t="s">
        <v>179</v>
      </c>
      <c r="I1934" s="50">
        <v>19262773.170000002</v>
      </c>
      <c r="J1934" s="50">
        <f>I1934/D1929+0.01</f>
        <v>4099.6899999999996</v>
      </c>
      <c r="K1934" s="50">
        <v>5738</v>
      </c>
    </row>
    <row r="1935" spans="1:11" x14ac:dyDescent="0.25">
      <c r="A1935" s="222"/>
      <c r="B1935" s="222"/>
      <c r="C1935" s="226"/>
      <c r="D1935" s="222"/>
      <c r="E1935" s="227"/>
      <c r="F1935" s="230"/>
      <c r="G1935" s="222"/>
      <c r="H1935" s="57" t="s">
        <v>69</v>
      </c>
      <c r="I1935" s="50">
        <f>I1934*0.0214</f>
        <v>412223.35</v>
      </c>
      <c r="J1935" s="50">
        <f>I1935/D1929</f>
        <v>87.73</v>
      </c>
      <c r="K1935" s="50">
        <v>123</v>
      </c>
    </row>
    <row r="1936" spans="1:11" x14ac:dyDescent="0.25">
      <c r="A1936" s="215">
        <f>A1929+1</f>
        <v>119</v>
      </c>
      <c r="B1936" s="215">
        <v>2422</v>
      </c>
      <c r="C1936" s="223" t="s">
        <v>219</v>
      </c>
      <c r="D1936" s="224">
        <v>6937.3</v>
      </c>
      <c r="E1936" s="224" t="s">
        <v>64</v>
      </c>
      <c r="F1936" s="225">
        <v>10</v>
      </c>
      <c r="G1936" s="215" t="s">
        <v>70</v>
      </c>
      <c r="H1936" s="57" t="s">
        <v>66</v>
      </c>
      <c r="I1936" s="50">
        <f>I1937+I1938</f>
        <v>14106089.42</v>
      </c>
      <c r="J1936" s="50">
        <f>J1937+J1938</f>
        <v>2033.37</v>
      </c>
      <c r="K1936" s="50">
        <f>K1937+K1938</f>
        <v>2341</v>
      </c>
    </row>
    <row r="1937" spans="1:11" x14ac:dyDescent="0.25">
      <c r="A1937" s="215">
        <v>78</v>
      </c>
      <c r="B1937" s="215"/>
      <c r="C1937" s="223"/>
      <c r="D1937" s="215"/>
      <c r="E1937" s="224"/>
      <c r="F1937" s="225"/>
      <c r="G1937" s="215"/>
      <c r="H1937" s="57" t="s">
        <v>67</v>
      </c>
      <c r="I1937" s="50">
        <f>(11232499+50625)*1.02*1.2</f>
        <v>13810543.779999999</v>
      </c>
      <c r="J1937" s="50">
        <f>I1937/D1936</f>
        <v>1990.77</v>
      </c>
      <c r="K1937" s="50">
        <v>2292</v>
      </c>
    </row>
    <row r="1938" spans="1:11" x14ac:dyDescent="0.25">
      <c r="A1938" s="215"/>
      <c r="B1938" s="215"/>
      <c r="C1938" s="223"/>
      <c r="D1938" s="215"/>
      <c r="E1938" s="224"/>
      <c r="F1938" s="225"/>
      <c r="G1938" s="215"/>
      <c r="H1938" s="57" t="s">
        <v>69</v>
      </c>
      <c r="I1938" s="50">
        <f>I1937*0.0214</f>
        <v>295545.64</v>
      </c>
      <c r="J1938" s="50">
        <f>I1938/D1936</f>
        <v>42.6</v>
      </c>
      <c r="K1938" s="50">
        <v>49</v>
      </c>
    </row>
    <row r="1939" spans="1:11" ht="15.75" customHeight="1" x14ac:dyDescent="0.25">
      <c r="A1939" s="216">
        <f>A1936+1</f>
        <v>120</v>
      </c>
      <c r="B1939" s="216">
        <v>2243</v>
      </c>
      <c r="C1939" s="218" t="s">
        <v>673</v>
      </c>
      <c r="D1939" s="220">
        <v>13145.2</v>
      </c>
      <c r="E1939" s="216" t="s">
        <v>64</v>
      </c>
      <c r="F1939" s="216">
        <v>10</v>
      </c>
      <c r="G1939" s="105"/>
      <c r="H1939" s="57" t="s">
        <v>66</v>
      </c>
      <c r="I1939" s="50">
        <f>I1940+I1941+I1942+I1943+I1944+I1945</f>
        <v>193686</v>
      </c>
      <c r="J1939" s="50">
        <f>J1940+J1941+J1942+J1943+J1944+J1945</f>
        <v>14.73</v>
      </c>
      <c r="K1939" s="50">
        <f>K1940+K1941+K1942+K1943+K1944+K1945</f>
        <v>14.73</v>
      </c>
    </row>
    <row r="1940" spans="1:11" ht="47.25" customHeight="1" x14ac:dyDescent="0.25">
      <c r="A1940" s="217"/>
      <c r="B1940" s="217"/>
      <c r="C1940" s="219"/>
      <c r="D1940" s="221"/>
      <c r="E1940" s="217"/>
      <c r="F1940" s="217"/>
      <c r="G1940" s="102" t="s">
        <v>170</v>
      </c>
      <c r="H1940" s="57" t="s">
        <v>168</v>
      </c>
      <c r="I1940" s="50">
        <f t="shared" ref="I1940:I1945" si="61">22681+9600</f>
        <v>32281</v>
      </c>
      <c r="J1940" s="50">
        <f>I1940/D1939</f>
        <v>2.46</v>
      </c>
      <c r="K1940" s="50">
        <f>32281/D1939</f>
        <v>2.46</v>
      </c>
    </row>
    <row r="1941" spans="1:11" ht="47.25" customHeight="1" x14ac:dyDescent="0.25">
      <c r="A1941" s="217"/>
      <c r="B1941" s="217"/>
      <c r="C1941" s="219"/>
      <c r="D1941" s="221"/>
      <c r="E1941" s="217"/>
      <c r="F1941" s="217"/>
      <c r="G1941" s="102" t="s">
        <v>173</v>
      </c>
      <c r="H1941" s="57" t="s">
        <v>168</v>
      </c>
      <c r="I1941" s="50">
        <f t="shared" si="61"/>
        <v>32281</v>
      </c>
      <c r="J1941" s="50">
        <f>I1941/D1939-0.01</f>
        <v>2.4500000000000002</v>
      </c>
      <c r="K1941" s="50">
        <f>32281/D1939-0.01</f>
        <v>2.4500000000000002</v>
      </c>
    </row>
    <row r="1942" spans="1:11" ht="47.25" customHeight="1" x14ac:dyDescent="0.25">
      <c r="A1942" s="217"/>
      <c r="B1942" s="217"/>
      <c r="C1942" s="219"/>
      <c r="D1942" s="221"/>
      <c r="E1942" s="217"/>
      <c r="F1942" s="217"/>
      <c r="G1942" s="102" t="s">
        <v>174</v>
      </c>
      <c r="H1942" s="57" t="s">
        <v>168</v>
      </c>
      <c r="I1942" s="50">
        <f t="shared" si="61"/>
        <v>32281</v>
      </c>
      <c r="J1942" s="50">
        <f>I1942/D1939</f>
        <v>2.46</v>
      </c>
      <c r="K1942" s="50">
        <f>32281/D1939</f>
        <v>2.46</v>
      </c>
    </row>
    <row r="1943" spans="1:11" ht="47.25" customHeight="1" x14ac:dyDescent="0.25">
      <c r="A1943" s="217"/>
      <c r="B1943" s="217"/>
      <c r="C1943" s="219"/>
      <c r="D1943" s="221"/>
      <c r="E1943" s="217"/>
      <c r="F1943" s="217"/>
      <c r="G1943" s="102" t="s">
        <v>175</v>
      </c>
      <c r="H1943" s="57" t="s">
        <v>168</v>
      </c>
      <c r="I1943" s="50">
        <f t="shared" si="61"/>
        <v>32281</v>
      </c>
      <c r="J1943" s="50">
        <f>I1943/D1939-0.01</f>
        <v>2.4500000000000002</v>
      </c>
      <c r="K1943" s="50">
        <f>32281/D1939-0.01</f>
        <v>2.4500000000000002</v>
      </c>
    </row>
    <row r="1944" spans="1:11" ht="47.25" customHeight="1" x14ac:dyDescent="0.25">
      <c r="A1944" s="217"/>
      <c r="B1944" s="217"/>
      <c r="C1944" s="219"/>
      <c r="D1944" s="221"/>
      <c r="E1944" s="217"/>
      <c r="F1944" s="217"/>
      <c r="G1944" s="102" t="s">
        <v>172</v>
      </c>
      <c r="H1944" s="57" t="s">
        <v>168</v>
      </c>
      <c r="I1944" s="50">
        <f t="shared" si="61"/>
        <v>32281</v>
      </c>
      <c r="J1944" s="50">
        <f>I1944/D1939</f>
        <v>2.46</v>
      </c>
      <c r="K1944" s="50">
        <f>32281/D1939</f>
        <v>2.46</v>
      </c>
    </row>
    <row r="1945" spans="1:11" ht="47.25" customHeight="1" x14ac:dyDescent="0.25">
      <c r="A1945" s="217"/>
      <c r="B1945" s="217"/>
      <c r="C1945" s="219"/>
      <c r="D1945" s="221"/>
      <c r="E1945" s="217"/>
      <c r="F1945" s="217"/>
      <c r="G1945" s="102" t="s">
        <v>444</v>
      </c>
      <c r="H1945" s="57" t="s">
        <v>168</v>
      </c>
      <c r="I1945" s="50">
        <f t="shared" si="61"/>
        <v>32281</v>
      </c>
      <c r="J1945" s="50">
        <f>I1945/D1939-0.01</f>
        <v>2.4500000000000002</v>
      </c>
      <c r="K1945" s="50">
        <f>32281/D1939-0.01</f>
        <v>2.4500000000000002</v>
      </c>
    </row>
    <row r="1946" spans="1:11" ht="15.75" customHeight="1" x14ac:dyDescent="0.25">
      <c r="A1946" s="216">
        <f>A1939+1</f>
        <v>121</v>
      </c>
      <c r="B1946" s="216">
        <v>2245</v>
      </c>
      <c r="C1946" s="218" t="s">
        <v>623</v>
      </c>
      <c r="D1946" s="220">
        <v>7261.8</v>
      </c>
      <c r="E1946" s="216" t="s">
        <v>64</v>
      </c>
      <c r="F1946" s="216">
        <v>10</v>
      </c>
      <c r="G1946" s="105"/>
      <c r="H1946" s="57" t="s">
        <v>66</v>
      </c>
      <c r="I1946" s="50">
        <f>I1947+I1948+I1949+I1950+I1951+I1952</f>
        <v>6786464.5199999996</v>
      </c>
      <c r="J1946" s="50">
        <f t="shared" ref="J1946:K1946" si="62">J1947+J1948+J1949+J1950+J1951+J1952</f>
        <v>934.54</v>
      </c>
      <c r="K1946" s="50">
        <f t="shared" si="62"/>
        <v>945.9</v>
      </c>
    </row>
    <row r="1947" spans="1:11" ht="15.75" customHeight="1" x14ac:dyDescent="0.25">
      <c r="A1947" s="217"/>
      <c r="B1947" s="217"/>
      <c r="C1947" s="219"/>
      <c r="D1947" s="221"/>
      <c r="E1947" s="217"/>
      <c r="F1947" s="217"/>
      <c r="G1947" s="216" t="s">
        <v>170</v>
      </c>
      <c r="H1947" s="57" t="s">
        <v>171</v>
      </c>
      <c r="I1947" s="50">
        <v>2214759</v>
      </c>
      <c r="J1947" s="50">
        <f>I1947/D1946-0.01</f>
        <v>304.98</v>
      </c>
      <c r="K1947" s="50">
        <f>2241647/D1946</f>
        <v>308.69</v>
      </c>
    </row>
    <row r="1948" spans="1:11" ht="15.75" customHeight="1" x14ac:dyDescent="0.25">
      <c r="A1948" s="217"/>
      <c r="B1948" s="217"/>
      <c r="C1948" s="219"/>
      <c r="D1948" s="221"/>
      <c r="E1948" s="217"/>
      <c r="F1948" s="217"/>
      <c r="G1948" s="222"/>
      <c r="H1948" s="57" t="s">
        <v>69</v>
      </c>
      <c r="I1948" s="50">
        <f>I1947*0.0214</f>
        <v>47395.839999999997</v>
      </c>
      <c r="J1948" s="50">
        <f>I1948/D1946</f>
        <v>6.53</v>
      </c>
      <c r="K1948" s="50">
        <f>47971/D1946</f>
        <v>6.61</v>
      </c>
    </row>
    <row r="1949" spans="1:11" ht="15.75" customHeight="1" x14ac:dyDescent="0.25">
      <c r="A1949" s="217"/>
      <c r="B1949" s="217"/>
      <c r="C1949" s="219"/>
      <c r="D1949" s="221"/>
      <c r="E1949" s="217"/>
      <c r="F1949" s="217"/>
      <c r="G1949" s="216" t="s">
        <v>173</v>
      </c>
      <c r="H1949" s="57" t="s">
        <v>171</v>
      </c>
      <c r="I1949" s="50">
        <v>2214759</v>
      </c>
      <c r="J1949" s="50">
        <f>I1949/D1946</f>
        <v>304.99</v>
      </c>
      <c r="K1949" s="50">
        <f>2241647/D1946</f>
        <v>308.69</v>
      </c>
    </row>
    <row r="1950" spans="1:11" ht="15.75" customHeight="1" x14ac:dyDescent="0.25">
      <c r="A1950" s="217"/>
      <c r="B1950" s="217"/>
      <c r="C1950" s="219"/>
      <c r="D1950" s="221"/>
      <c r="E1950" s="217"/>
      <c r="F1950" s="217"/>
      <c r="G1950" s="222"/>
      <c r="H1950" s="57" t="s">
        <v>69</v>
      </c>
      <c r="I1950" s="50">
        <f>I1949*0.0214</f>
        <v>47395.839999999997</v>
      </c>
      <c r="J1950" s="50">
        <f>I1950/D1946</f>
        <v>6.53</v>
      </c>
      <c r="K1950" s="50">
        <f>47971/D1946</f>
        <v>6.61</v>
      </c>
    </row>
    <row r="1951" spans="1:11" ht="15.75" customHeight="1" x14ac:dyDescent="0.25">
      <c r="A1951" s="217"/>
      <c r="B1951" s="217"/>
      <c r="C1951" s="219"/>
      <c r="D1951" s="221"/>
      <c r="E1951" s="217"/>
      <c r="F1951" s="217"/>
      <c r="G1951" s="216" t="s">
        <v>174</v>
      </c>
      <c r="H1951" s="57" t="s">
        <v>171</v>
      </c>
      <c r="I1951" s="50">
        <v>2214759</v>
      </c>
      <c r="J1951" s="50">
        <f>I1951/D1946-0.01</f>
        <v>304.98</v>
      </c>
      <c r="K1951" s="50">
        <f>2241647/D1946</f>
        <v>308.69</v>
      </c>
    </row>
    <row r="1952" spans="1:11" ht="15.75" customHeight="1" x14ac:dyDescent="0.25">
      <c r="A1952" s="217"/>
      <c r="B1952" s="217"/>
      <c r="C1952" s="219"/>
      <c r="D1952" s="221"/>
      <c r="E1952" s="217"/>
      <c r="F1952" s="217"/>
      <c r="G1952" s="222"/>
      <c r="H1952" s="57" t="s">
        <v>69</v>
      </c>
      <c r="I1952" s="50">
        <f>I1951*0.0214</f>
        <v>47395.839999999997</v>
      </c>
      <c r="J1952" s="50">
        <f>I1952/D1946</f>
        <v>6.53</v>
      </c>
      <c r="K1952" s="50">
        <f>47971/D1946</f>
        <v>6.61</v>
      </c>
    </row>
    <row r="1953" spans="1:11" ht="15.75" customHeight="1" x14ac:dyDescent="0.25">
      <c r="A1953" s="216">
        <f>A1946+1</f>
        <v>122</v>
      </c>
      <c r="B1953" s="216">
        <v>2289</v>
      </c>
      <c r="C1953" s="218" t="s">
        <v>624</v>
      </c>
      <c r="D1953" s="220">
        <v>3975.9</v>
      </c>
      <c r="E1953" s="216" t="s">
        <v>68</v>
      </c>
      <c r="F1953" s="216">
        <v>9</v>
      </c>
      <c r="G1953" s="105"/>
      <c r="H1953" s="57" t="s">
        <v>66</v>
      </c>
      <c r="I1953" s="50">
        <f>I1954+I1955+I1956+I1957</f>
        <v>4579236</v>
      </c>
      <c r="J1953" s="50">
        <f>J1954+J1955+J1956+J1957</f>
        <v>1151.75</v>
      </c>
      <c r="K1953" s="50">
        <f>K1954+K1955+K1956+K1957</f>
        <v>1151.76</v>
      </c>
    </row>
    <row r="1954" spans="1:11" ht="15.75" customHeight="1" x14ac:dyDescent="0.25">
      <c r="A1954" s="217"/>
      <c r="B1954" s="217"/>
      <c r="C1954" s="219"/>
      <c r="D1954" s="221"/>
      <c r="E1954" s="217"/>
      <c r="F1954" s="217"/>
      <c r="G1954" s="216" t="s">
        <v>170</v>
      </c>
      <c r="H1954" s="57" t="s">
        <v>171</v>
      </c>
      <c r="I1954" s="50">
        <f>2241647</f>
        <v>2241647</v>
      </c>
      <c r="J1954" s="50">
        <f>I1954/D1953</f>
        <v>563.80999999999995</v>
      </c>
      <c r="K1954" s="50">
        <f>2241647/D1953</f>
        <v>563.80999999999995</v>
      </c>
    </row>
    <row r="1955" spans="1:11" ht="15.75" customHeight="1" x14ac:dyDescent="0.25">
      <c r="A1955" s="217"/>
      <c r="B1955" s="217"/>
      <c r="C1955" s="219"/>
      <c r="D1955" s="221"/>
      <c r="E1955" s="217"/>
      <c r="F1955" s="217"/>
      <c r="G1955" s="222"/>
      <c r="H1955" s="57" t="s">
        <v>69</v>
      </c>
      <c r="I1955" s="50">
        <v>47971</v>
      </c>
      <c r="J1955" s="50">
        <f>I1955/D1953</f>
        <v>12.07</v>
      </c>
      <c r="K1955" s="50">
        <f>47971/D1953</f>
        <v>12.07</v>
      </c>
    </row>
    <row r="1956" spans="1:11" ht="15.75" customHeight="1" x14ac:dyDescent="0.25">
      <c r="A1956" s="217"/>
      <c r="B1956" s="217"/>
      <c r="C1956" s="219"/>
      <c r="D1956" s="221"/>
      <c r="E1956" s="217"/>
      <c r="F1956" s="217"/>
      <c r="G1956" s="216" t="s">
        <v>173</v>
      </c>
      <c r="H1956" s="57" t="s">
        <v>171</v>
      </c>
      <c r="I1956" s="50">
        <f>2241647</f>
        <v>2241647</v>
      </c>
      <c r="J1956" s="50">
        <f>I1956/D1953-0.01</f>
        <v>563.79999999999995</v>
      </c>
      <c r="K1956" s="50">
        <f>2241647/D1953</f>
        <v>563.80999999999995</v>
      </c>
    </row>
    <row r="1957" spans="1:11" ht="15.75" customHeight="1" x14ac:dyDescent="0.25">
      <c r="A1957" s="217"/>
      <c r="B1957" s="217"/>
      <c r="C1957" s="219"/>
      <c r="D1957" s="221"/>
      <c r="E1957" s="217"/>
      <c r="F1957" s="217"/>
      <c r="G1957" s="222"/>
      <c r="H1957" s="57" t="s">
        <v>69</v>
      </c>
      <c r="I1957" s="50">
        <v>47971</v>
      </c>
      <c r="J1957" s="50">
        <f>I1957/D1953</f>
        <v>12.07</v>
      </c>
      <c r="K1957" s="50">
        <f>47971/D1953</f>
        <v>12.07</v>
      </c>
    </row>
    <row r="1958" spans="1:11" ht="15.75" customHeight="1" x14ac:dyDescent="0.25">
      <c r="A1958" s="215">
        <f>A1953+1</f>
        <v>123</v>
      </c>
      <c r="B1958" s="215">
        <v>2163</v>
      </c>
      <c r="C1958" s="223" t="s">
        <v>221</v>
      </c>
      <c r="D1958" s="224">
        <v>13205.4</v>
      </c>
      <c r="E1958" s="224" t="s">
        <v>68</v>
      </c>
      <c r="F1958" s="225">
        <v>10</v>
      </c>
      <c r="G1958" s="105"/>
      <c r="H1958" s="57" t="s">
        <v>66</v>
      </c>
      <c r="I1958" s="50">
        <f>I1959+I1960+I1961+I1962+I1963+I1964</f>
        <v>20080940.350000001</v>
      </c>
      <c r="J1958" s="50">
        <f t="shared" ref="J1958:K1958" si="63">J1959+J1960+J1961+J1962+J1963+J1964</f>
        <v>1520.66</v>
      </c>
      <c r="K1958" s="50">
        <f t="shared" si="63"/>
        <v>2008.35</v>
      </c>
    </row>
    <row r="1959" spans="1:11" ht="15.75" customHeight="1" x14ac:dyDescent="0.25">
      <c r="A1959" s="215"/>
      <c r="B1959" s="215"/>
      <c r="C1959" s="223"/>
      <c r="D1959" s="224"/>
      <c r="E1959" s="224"/>
      <c r="F1959" s="225"/>
      <c r="G1959" s="216" t="s">
        <v>174</v>
      </c>
      <c r="H1959" s="57" t="s">
        <v>171</v>
      </c>
      <c r="I1959" s="50">
        <f>2458756</f>
        <v>2458756</v>
      </c>
      <c r="J1959" s="50">
        <f>I1959/D1958</f>
        <v>186.19</v>
      </c>
      <c r="K1959" s="50">
        <f>2458756/D1958</f>
        <v>186.19</v>
      </c>
    </row>
    <row r="1960" spans="1:11" ht="15.75" customHeight="1" x14ac:dyDescent="0.25">
      <c r="A1960" s="215"/>
      <c r="B1960" s="215"/>
      <c r="C1960" s="223"/>
      <c r="D1960" s="224"/>
      <c r="E1960" s="224"/>
      <c r="F1960" s="225"/>
      <c r="G1960" s="222"/>
      <c r="H1960" s="57" t="s">
        <v>69</v>
      </c>
      <c r="I1960" s="50">
        <v>52617</v>
      </c>
      <c r="J1960" s="50">
        <f>I1960/D1958</f>
        <v>3.98</v>
      </c>
      <c r="K1960" s="50">
        <f>52617/D1958</f>
        <v>3.98</v>
      </c>
    </row>
    <row r="1961" spans="1:11" ht="15.75" customHeight="1" x14ac:dyDescent="0.25">
      <c r="A1961" s="215"/>
      <c r="B1961" s="215"/>
      <c r="C1961" s="223"/>
      <c r="D1961" s="224"/>
      <c r="E1961" s="224"/>
      <c r="F1961" s="225"/>
      <c r="G1961" s="216" t="s">
        <v>175</v>
      </c>
      <c r="H1961" s="57" t="s">
        <v>171</v>
      </c>
      <c r="I1961" s="50">
        <f>2458756</f>
        <v>2458756</v>
      </c>
      <c r="J1961" s="50">
        <f>I1961/D1958+0.01</f>
        <v>186.2</v>
      </c>
      <c r="K1961" s="50">
        <f>2458756/D1958+0.01</f>
        <v>186.2</v>
      </c>
    </row>
    <row r="1962" spans="1:11" ht="15.75" customHeight="1" x14ac:dyDescent="0.25">
      <c r="A1962" s="215"/>
      <c r="B1962" s="215"/>
      <c r="C1962" s="223"/>
      <c r="D1962" s="224"/>
      <c r="E1962" s="224"/>
      <c r="F1962" s="225"/>
      <c r="G1962" s="222"/>
      <c r="H1962" s="57" t="s">
        <v>69</v>
      </c>
      <c r="I1962" s="50">
        <v>52617</v>
      </c>
      <c r="J1962" s="50">
        <f>I1962/D1958</f>
        <v>3.98</v>
      </c>
      <c r="K1962" s="50">
        <f>52617/D1958</f>
        <v>3.98</v>
      </c>
    </row>
    <row r="1963" spans="1:11" x14ac:dyDescent="0.25">
      <c r="A1963" s="215">
        <v>75</v>
      </c>
      <c r="B1963" s="215"/>
      <c r="C1963" s="223"/>
      <c r="D1963" s="215"/>
      <c r="E1963" s="224"/>
      <c r="F1963" s="225"/>
      <c r="G1963" s="216" t="s">
        <v>70</v>
      </c>
      <c r="H1963" s="57" t="s">
        <v>67</v>
      </c>
      <c r="I1963" s="50">
        <f>(11964.43+79.63+0.63)*1000*1.02*1.2</f>
        <v>14742700.560000001</v>
      </c>
      <c r="J1963" s="50">
        <f>I1963/D1958+0.01</f>
        <v>1116.42</v>
      </c>
      <c r="K1963" s="50">
        <v>1594</v>
      </c>
    </row>
    <row r="1964" spans="1:11" x14ac:dyDescent="0.25">
      <c r="A1964" s="215"/>
      <c r="B1964" s="215"/>
      <c r="C1964" s="223"/>
      <c r="D1964" s="215"/>
      <c r="E1964" s="224"/>
      <c r="F1964" s="225"/>
      <c r="G1964" s="222"/>
      <c r="H1964" s="57" t="s">
        <v>69</v>
      </c>
      <c r="I1964" s="50">
        <f>I1963*0.0214</f>
        <v>315493.78999999998</v>
      </c>
      <c r="J1964" s="50">
        <f>I1964/D1958</f>
        <v>23.89</v>
      </c>
      <c r="K1964" s="50">
        <v>34</v>
      </c>
    </row>
    <row r="1965" spans="1:11" x14ac:dyDescent="0.25">
      <c r="A1965" s="215">
        <f>A1958+1</f>
        <v>124</v>
      </c>
      <c r="B1965" s="215">
        <v>2438</v>
      </c>
      <c r="C1965" s="223" t="s">
        <v>222</v>
      </c>
      <c r="D1965" s="224">
        <v>2393.4699999999998</v>
      </c>
      <c r="E1965" s="224" t="s">
        <v>64</v>
      </c>
      <c r="F1965" s="225">
        <v>5</v>
      </c>
      <c r="G1965" s="215" t="s">
        <v>65</v>
      </c>
      <c r="H1965" s="57" t="s">
        <v>66</v>
      </c>
      <c r="I1965" s="50">
        <f>I1966+I1967</f>
        <v>7016449.5199999996</v>
      </c>
      <c r="J1965" s="50">
        <f>J1966+J1967</f>
        <v>2931.5</v>
      </c>
      <c r="K1965" s="50">
        <f>K1966+K1967</f>
        <v>3749</v>
      </c>
    </row>
    <row r="1966" spans="1:11" ht="31.5" x14ac:dyDescent="0.25">
      <c r="A1966" s="215">
        <v>77</v>
      </c>
      <c r="B1966" s="215"/>
      <c r="C1966" s="223"/>
      <c r="D1966" s="215"/>
      <c r="E1966" s="224"/>
      <c r="F1966" s="225"/>
      <c r="G1966" s="215"/>
      <c r="H1966" s="57" t="s">
        <v>76</v>
      </c>
      <c r="I1966" s="50">
        <v>6869443.4299999997</v>
      </c>
      <c r="J1966" s="50">
        <f>I1966/D1965</f>
        <v>2870.08</v>
      </c>
      <c r="K1966" s="50">
        <v>3670</v>
      </c>
    </row>
    <row r="1967" spans="1:11" x14ac:dyDescent="0.25">
      <c r="A1967" s="215"/>
      <c r="B1967" s="215"/>
      <c r="C1967" s="223"/>
      <c r="D1967" s="215"/>
      <c r="E1967" s="224"/>
      <c r="F1967" s="225"/>
      <c r="G1967" s="215"/>
      <c r="H1967" s="57" t="s">
        <v>69</v>
      </c>
      <c r="I1967" s="50">
        <f>I1966*0.0214</f>
        <v>147006.09</v>
      </c>
      <c r="J1967" s="50">
        <f>I1967/D1965</f>
        <v>61.42</v>
      </c>
      <c r="K1967" s="50">
        <v>79</v>
      </c>
    </row>
    <row r="1968" spans="1:11" ht="15.75" customHeight="1" x14ac:dyDescent="0.25">
      <c r="A1968" s="216">
        <f>A1965+1</f>
        <v>125</v>
      </c>
      <c r="B1968" s="216">
        <v>2297</v>
      </c>
      <c r="C1968" s="218" t="s">
        <v>625</v>
      </c>
      <c r="D1968" s="220">
        <v>6000.5</v>
      </c>
      <c r="E1968" s="216" t="s">
        <v>68</v>
      </c>
      <c r="F1968" s="216">
        <v>8</v>
      </c>
      <c r="G1968" s="105"/>
      <c r="H1968" s="57" t="s">
        <v>66</v>
      </c>
      <c r="I1968" s="50">
        <f>I1969+I1970+I1971+I1972</f>
        <v>4579236</v>
      </c>
      <c r="J1968" s="50">
        <f>J1969+J1970+J1971+J1972</f>
        <v>763.14</v>
      </c>
      <c r="K1968" s="50">
        <f>K1969+K1970+K1971+K1972</f>
        <v>763.14</v>
      </c>
    </row>
    <row r="1969" spans="1:11" ht="15.75" customHeight="1" x14ac:dyDescent="0.25">
      <c r="A1969" s="217"/>
      <c r="B1969" s="217"/>
      <c r="C1969" s="219"/>
      <c r="D1969" s="221"/>
      <c r="E1969" s="217"/>
      <c r="F1969" s="217"/>
      <c r="G1969" s="216" t="s">
        <v>170</v>
      </c>
      <c r="H1969" s="57" t="s">
        <v>171</v>
      </c>
      <c r="I1969" s="50">
        <v>2241647</v>
      </c>
      <c r="J1969" s="50">
        <f>I1969/D1968</f>
        <v>373.58</v>
      </c>
      <c r="K1969" s="50">
        <f>2241647/D1968</f>
        <v>373.58</v>
      </c>
    </row>
    <row r="1970" spans="1:11" ht="15.75" customHeight="1" x14ac:dyDescent="0.25">
      <c r="A1970" s="217"/>
      <c r="B1970" s="217"/>
      <c r="C1970" s="219"/>
      <c r="D1970" s="221"/>
      <c r="E1970" s="217"/>
      <c r="F1970" s="217"/>
      <c r="G1970" s="222"/>
      <c r="H1970" s="57" t="s">
        <v>69</v>
      </c>
      <c r="I1970" s="50">
        <v>47971</v>
      </c>
      <c r="J1970" s="50">
        <f>I1970/D1968</f>
        <v>7.99</v>
      </c>
      <c r="K1970" s="50">
        <f>47971/D1968</f>
        <v>7.99</v>
      </c>
    </row>
    <row r="1971" spans="1:11" ht="15.75" customHeight="1" x14ac:dyDescent="0.25">
      <c r="A1971" s="217"/>
      <c r="B1971" s="217"/>
      <c r="C1971" s="219"/>
      <c r="D1971" s="221"/>
      <c r="E1971" s="217"/>
      <c r="F1971" s="217"/>
      <c r="G1971" s="216" t="s">
        <v>173</v>
      </c>
      <c r="H1971" s="57" t="s">
        <v>171</v>
      </c>
      <c r="I1971" s="50">
        <v>2241647</v>
      </c>
      <c r="J1971" s="50">
        <f>I1971/D1968</f>
        <v>373.58</v>
      </c>
      <c r="K1971" s="50">
        <f>2241647/D1968</f>
        <v>373.58</v>
      </c>
    </row>
    <row r="1972" spans="1:11" ht="15.75" customHeight="1" x14ac:dyDescent="0.25">
      <c r="A1972" s="217"/>
      <c r="B1972" s="217"/>
      <c r="C1972" s="219"/>
      <c r="D1972" s="221"/>
      <c r="E1972" s="217"/>
      <c r="F1972" s="217"/>
      <c r="G1972" s="222"/>
      <c r="H1972" s="57" t="s">
        <v>69</v>
      </c>
      <c r="I1972" s="50">
        <v>47971</v>
      </c>
      <c r="J1972" s="50">
        <f>I1972/D1968</f>
        <v>7.99</v>
      </c>
      <c r="K1972" s="50">
        <f>47971/D1968</f>
        <v>7.99</v>
      </c>
    </row>
    <row r="1973" spans="1:11" x14ac:dyDescent="0.25">
      <c r="A1973" s="215">
        <f>A1968+1</f>
        <v>126</v>
      </c>
      <c r="B1973" s="215">
        <v>2454</v>
      </c>
      <c r="C1973" s="223" t="s">
        <v>153</v>
      </c>
      <c r="D1973" s="224">
        <v>3983</v>
      </c>
      <c r="E1973" s="224" t="s">
        <v>64</v>
      </c>
      <c r="F1973" s="225">
        <v>5</v>
      </c>
      <c r="G1973" s="215" t="s">
        <v>65</v>
      </c>
      <c r="H1973" s="57" t="s">
        <v>66</v>
      </c>
      <c r="I1973" s="50">
        <f>I1974+I1975</f>
        <v>10999507.01</v>
      </c>
      <c r="J1973" s="50">
        <f>J1974+J1975</f>
        <v>2761.61</v>
      </c>
      <c r="K1973" s="50">
        <f>K1974+K1975</f>
        <v>3878</v>
      </c>
    </row>
    <row r="1974" spans="1:11" x14ac:dyDescent="0.25">
      <c r="A1974" s="215">
        <v>76</v>
      </c>
      <c r="B1974" s="215"/>
      <c r="C1974" s="223"/>
      <c r="D1974" s="215"/>
      <c r="E1974" s="224"/>
      <c r="F1974" s="225"/>
      <c r="G1974" s="215"/>
      <c r="H1974" s="57" t="s">
        <v>67</v>
      </c>
      <c r="I1974" s="50">
        <v>10769049.35</v>
      </c>
      <c r="J1974" s="50">
        <f>I1974/D1973</f>
        <v>2703.75</v>
      </c>
      <c r="K1974" s="50">
        <v>3797</v>
      </c>
    </row>
    <row r="1975" spans="1:11" x14ac:dyDescent="0.25">
      <c r="A1975" s="215"/>
      <c r="B1975" s="215"/>
      <c r="C1975" s="223"/>
      <c r="D1975" s="215"/>
      <c r="E1975" s="224"/>
      <c r="F1975" s="225"/>
      <c r="G1975" s="215"/>
      <c r="H1975" s="57" t="s">
        <v>69</v>
      </c>
      <c r="I1975" s="50">
        <f>I1974*0.0214</f>
        <v>230457.66</v>
      </c>
      <c r="J1975" s="50">
        <f>I1975/D1973</f>
        <v>57.86</v>
      </c>
      <c r="K1975" s="50">
        <v>81</v>
      </c>
    </row>
    <row r="1976" spans="1:11" x14ac:dyDescent="0.25">
      <c r="A1976" s="215">
        <f>A1973+1</f>
        <v>127</v>
      </c>
      <c r="B1976" s="215">
        <v>2303</v>
      </c>
      <c r="C1976" s="223" t="s">
        <v>156</v>
      </c>
      <c r="D1976" s="224">
        <v>12308.1</v>
      </c>
      <c r="E1976" s="224" t="s">
        <v>64</v>
      </c>
      <c r="F1976" s="225">
        <v>9</v>
      </c>
      <c r="G1976" s="215" t="s">
        <v>65</v>
      </c>
      <c r="H1976" s="57" t="s">
        <v>66</v>
      </c>
      <c r="I1976" s="50">
        <f>I1977+I1978</f>
        <v>5412242.3799999999</v>
      </c>
      <c r="J1976" s="50">
        <f>J1977+J1978</f>
        <v>439.73</v>
      </c>
      <c r="K1976" s="50">
        <f>K1977+K1978</f>
        <v>2492</v>
      </c>
    </row>
    <row r="1977" spans="1:11" x14ac:dyDescent="0.25">
      <c r="A1977" s="215">
        <v>77</v>
      </c>
      <c r="B1977" s="215"/>
      <c r="C1977" s="223"/>
      <c r="D1977" s="215"/>
      <c r="E1977" s="224"/>
      <c r="F1977" s="225"/>
      <c r="G1977" s="215"/>
      <c r="H1977" s="57" t="s">
        <v>67</v>
      </c>
      <c r="I1977" s="50">
        <f>K1977*D1976-24732916.95</f>
        <v>5298847.05</v>
      </c>
      <c r="J1977" s="50">
        <f>I1977/D1976</f>
        <v>430.52</v>
      </c>
      <c r="K1977" s="50">
        <v>2440</v>
      </c>
    </row>
    <row r="1978" spans="1:11" x14ac:dyDescent="0.25">
      <c r="A1978" s="215"/>
      <c r="B1978" s="215"/>
      <c r="C1978" s="223"/>
      <c r="D1978" s="215"/>
      <c r="E1978" s="224"/>
      <c r="F1978" s="225"/>
      <c r="G1978" s="215"/>
      <c r="H1978" s="57" t="s">
        <v>69</v>
      </c>
      <c r="I1978" s="50">
        <f>I1977*0.0214</f>
        <v>113395.33</v>
      </c>
      <c r="J1978" s="50">
        <f>I1978/D1976</f>
        <v>9.2100000000000009</v>
      </c>
      <c r="K1978" s="50">
        <v>52</v>
      </c>
    </row>
    <row r="1979" spans="1:11" ht="15.75" customHeight="1" x14ac:dyDescent="0.25">
      <c r="A1979" s="215">
        <f>A1976+1</f>
        <v>128</v>
      </c>
      <c r="B1979" s="215">
        <v>2983</v>
      </c>
      <c r="C1979" s="223" t="s">
        <v>560</v>
      </c>
      <c r="D1979" s="224">
        <v>933.8</v>
      </c>
      <c r="E1979" s="224" t="s">
        <v>68</v>
      </c>
      <c r="F1979" s="225">
        <v>3</v>
      </c>
      <c r="G1979" s="215" t="s">
        <v>74</v>
      </c>
      <c r="H1979" s="57" t="s">
        <v>66</v>
      </c>
      <c r="I1979" s="50">
        <f>I1980+I1981</f>
        <v>338035.6</v>
      </c>
      <c r="J1979" s="50">
        <f>J1980+J1981</f>
        <v>362</v>
      </c>
      <c r="K1979" s="50">
        <f>K1980+K1981</f>
        <v>362</v>
      </c>
    </row>
    <row r="1980" spans="1:11" x14ac:dyDescent="0.25">
      <c r="A1980" s="215"/>
      <c r="B1980" s="215"/>
      <c r="C1980" s="223"/>
      <c r="D1980" s="224"/>
      <c r="E1980" s="224"/>
      <c r="F1980" s="225"/>
      <c r="G1980" s="215"/>
      <c r="H1980" s="57" t="s">
        <v>67</v>
      </c>
      <c r="I1980" s="50">
        <f>D1979*K1980</f>
        <v>330565.2</v>
      </c>
      <c r="J1980" s="50">
        <f>I1980/D1979</f>
        <v>354</v>
      </c>
      <c r="K1980" s="50">
        <v>354</v>
      </c>
    </row>
    <row r="1981" spans="1:11" x14ac:dyDescent="0.25">
      <c r="A1981" s="215"/>
      <c r="B1981" s="215"/>
      <c r="C1981" s="223"/>
      <c r="D1981" s="224"/>
      <c r="E1981" s="224"/>
      <c r="F1981" s="225"/>
      <c r="G1981" s="215"/>
      <c r="H1981" s="57" t="s">
        <v>69</v>
      </c>
      <c r="I1981" s="50">
        <f>K1981*D1979</f>
        <v>7470.4</v>
      </c>
      <c r="J1981" s="50">
        <f>I1981/D1979</f>
        <v>8</v>
      </c>
      <c r="K1981" s="50">
        <v>8</v>
      </c>
    </row>
    <row r="1982" spans="1:11" ht="15.75" customHeight="1" x14ac:dyDescent="0.25">
      <c r="A1982" s="216">
        <f>A1979+1</f>
        <v>129</v>
      </c>
      <c r="B1982" s="216">
        <v>2374</v>
      </c>
      <c r="C1982" s="218" t="s">
        <v>627</v>
      </c>
      <c r="D1982" s="220">
        <v>16028.7</v>
      </c>
      <c r="E1982" s="216" t="s">
        <v>64</v>
      </c>
      <c r="F1982" s="216">
        <v>10</v>
      </c>
      <c r="G1982" s="105"/>
      <c r="H1982" s="57" t="s">
        <v>66</v>
      </c>
      <c r="I1982" s="50">
        <f>I1983+I1984+I1985+I1986+I1987+I1988+I1989+I1990+I1991+I1992+I1993+I1994+I1995+I1996</f>
        <v>16027326</v>
      </c>
      <c r="J1982" s="50">
        <f>J1983+J1984+J1985+J1986+J1987+J1988+J1989+J1990+J1991+J1992+J1993+J1994+J1995+J1996</f>
        <v>999.91</v>
      </c>
      <c r="K1982" s="50">
        <f>K1983+K1984+K1985+K1986+K1987+K1988+K1989+K1990+K1991+K1992+K1993+K1994+K1995+K1996</f>
        <v>999.91</v>
      </c>
    </row>
    <row r="1983" spans="1:11" ht="15.75" customHeight="1" x14ac:dyDescent="0.25">
      <c r="A1983" s="217"/>
      <c r="B1983" s="217"/>
      <c r="C1983" s="219"/>
      <c r="D1983" s="221"/>
      <c r="E1983" s="217"/>
      <c r="F1983" s="217"/>
      <c r="G1983" s="217" t="s">
        <v>170</v>
      </c>
      <c r="H1983" s="57" t="s">
        <v>171</v>
      </c>
      <c r="I1983" s="50">
        <v>2241647</v>
      </c>
      <c r="J1983" s="50">
        <f>I1983/D1982+0.01</f>
        <v>139.86000000000001</v>
      </c>
      <c r="K1983" s="50">
        <f>2241647/D1982+0.01</f>
        <v>139.86000000000001</v>
      </c>
    </row>
    <row r="1984" spans="1:11" ht="15.75" customHeight="1" x14ac:dyDescent="0.25">
      <c r="A1984" s="217"/>
      <c r="B1984" s="217"/>
      <c r="C1984" s="219"/>
      <c r="D1984" s="221"/>
      <c r="E1984" s="217"/>
      <c r="F1984" s="217"/>
      <c r="G1984" s="222"/>
      <c r="H1984" s="57" t="s">
        <v>69</v>
      </c>
      <c r="I1984" s="50">
        <v>47971</v>
      </c>
      <c r="J1984" s="50">
        <f>I1984/D1982</f>
        <v>2.99</v>
      </c>
      <c r="K1984" s="50">
        <f>47971/D1982</f>
        <v>2.99</v>
      </c>
    </row>
    <row r="1985" spans="1:11" ht="15.75" customHeight="1" x14ac:dyDescent="0.25">
      <c r="A1985" s="217"/>
      <c r="B1985" s="217"/>
      <c r="C1985" s="219"/>
      <c r="D1985" s="221"/>
      <c r="E1985" s="217"/>
      <c r="F1985" s="217"/>
      <c r="G1985" s="217" t="s">
        <v>173</v>
      </c>
      <c r="H1985" s="57" t="s">
        <v>171</v>
      </c>
      <c r="I1985" s="50">
        <v>2241647</v>
      </c>
      <c r="J1985" s="50">
        <f>I1985/D1982</f>
        <v>139.85</v>
      </c>
      <c r="K1985" s="50">
        <f>2241647/D1982</f>
        <v>139.85</v>
      </c>
    </row>
    <row r="1986" spans="1:11" ht="15.75" customHeight="1" x14ac:dyDescent="0.25">
      <c r="A1986" s="217"/>
      <c r="B1986" s="217"/>
      <c r="C1986" s="219"/>
      <c r="D1986" s="221"/>
      <c r="E1986" s="217"/>
      <c r="F1986" s="217"/>
      <c r="G1986" s="222"/>
      <c r="H1986" s="57" t="s">
        <v>69</v>
      </c>
      <c r="I1986" s="50">
        <v>47971</v>
      </c>
      <c r="J1986" s="50">
        <f>I1986/D1982</f>
        <v>2.99</v>
      </c>
      <c r="K1986" s="50">
        <f>47971/D1982</f>
        <v>2.99</v>
      </c>
    </row>
    <row r="1987" spans="1:11" ht="15.75" customHeight="1" x14ac:dyDescent="0.25">
      <c r="A1987" s="217"/>
      <c r="B1987" s="217"/>
      <c r="C1987" s="219"/>
      <c r="D1987" s="221"/>
      <c r="E1987" s="217"/>
      <c r="F1987" s="217"/>
      <c r="G1987" s="217" t="s">
        <v>174</v>
      </c>
      <c r="H1987" s="57" t="s">
        <v>171</v>
      </c>
      <c r="I1987" s="50">
        <v>2241647</v>
      </c>
      <c r="J1987" s="50">
        <f>I1987/D1982+0.01</f>
        <v>139.86000000000001</v>
      </c>
      <c r="K1987" s="50">
        <f>2241647/D1982+0.01</f>
        <v>139.86000000000001</v>
      </c>
    </row>
    <row r="1988" spans="1:11" ht="15.75" customHeight="1" x14ac:dyDescent="0.25">
      <c r="A1988" s="217"/>
      <c r="B1988" s="217"/>
      <c r="C1988" s="219"/>
      <c r="D1988" s="221"/>
      <c r="E1988" s="217"/>
      <c r="F1988" s="217"/>
      <c r="G1988" s="222"/>
      <c r="H1988" s="57" t="s">
        <v>69</v>
      </c>
      <c r="I1988" s="50">
        <v>47971</v>
      </c>
      <c r="J1988" s="50">
        <f>I1988/D1982</f>
        <v>2.99</v>
      </c>
      <c r="K1988" s="50">
        <f>47971/D1982</f>
        <v>2.99</v>
      </c>
    </row>
    <row r="1989" spans="1:11" ht="15.75" customHeight="1" x14ac:dyDescent="0.25">
      <c r="A1989" s="217"/>
      <c r="B1989" s="217"/>
      <c r="C1989" s="219"/>
      <c r="D1989" s="221"/>
      <c r="E1989" s="217"/>
      <c r="F1989" s="217"/>
      <c r="G1989" s="217" t="s">
        <v>175</v>
      </c>
      <c r="H1989" s="57" t="s">
        <v>171</v>
      </c>
      <c r="I1989" s="50">
        <v>2241647</v>
      </c>
      <c r="J1989" s="50">
        <f>I1989/D1982</f>
        <v>139.85</v>
      </c>
      <c r="K1989" s="50">
        <f>2241647/D1982</f>
        <v>139.85</v>
      </c>
    </row>
    <row r="1990" spans="1:11" ht="15.75" customHeight="1" x14ac:dyDescent="0.25">
      <c r="A1990" s="217"/>
      <c r="B1990" s="217"/>
      <c r="C1990" s="219"/>
      <c r="D1990" s="221"/>
      <c r="E1990" s="217"/>
      <c r="F1990" s="217"/>
      <c r="G1990" s="222"/>
      <c r="H1990" s="57" t="s">
        <v>69</v>
      </c>
      <c r="I1990" s="50">
        <v>47971</v>
      </c>
      <c r="J1990" s="50">
        <f>I1990/D1982</f>
        <v>2.99</v>
      </c>
      <c r="K1990" s="50">
        <f>47971/D1982</f>
        <v>2.99</v>
      </c>
    </row>
    <row r="1991" spans="1:11" ht="15.75" customHeight="1" x14ac:dyDescent="0.25">
      <c r="A1991" s="217"/>
      <c r="B1991" s="217"/>
      <c r="C1991" s="219"/>
      <c r="D1991" s="221"/>
      <c r="E1991" s="217"/>
      <c r="F1991" s="217"/>
      <c r="G1991" s="217" t="s">
        <v>172</v>
      </c>
      <c r="H1991" s="57" t="s">
        <v>171</v>
      </c>
      <c r="I1991" s="50">
        <v>2241647</v>
      </c>
      <c r="J1991" s="50">
        <f>I1991/D1982+0.01</f>
        <v>139.86000000000001</v>
      </c>
      <c r="K1991" s="50">
        <f>2241647/D1982+0.01</f>
        <v>139.86000000000001</v>
      </c>
    </row>
    <row r="1992" spans="1:11" ht="15.75" customHeight="1" x14ac:dyDescent="0.25">
      <c r="A1992" s="217"/>
      <c r="B1992" s="217"/>
      <c r="C1992" s="219"/>
      <c r="D1992" s="221"/>
      <c r="E1992" s="217"/>
      <c r="F1992" s="217"/>
      <c r="G1992" s="222"/>
      <c r="H1992" s="57" t="s">
        <v>69</v>
      </c>
      <c r="I1992" s="50">
        <v>47971</v>
      </c>
      <c r="J1992" s="50">
        <f>I1992/D1982</f>
        <v>2.99</v>
      </c>
      <c r="K1992" s="50">
        <f>47971/D1982</f>
        <v>2.99</v>
      </c>
    </row>
    <row r="1993" spans="1:11" ht="15.75" customHeight="1" x14ac:dyDescent="0.25">
      <c r="A1993" s="217"/>
      <c r="B1993" s="217"/>
      <c r="C1993" s="219"/>
      <c r="D1993" s="221"/>
      <c r="E1993" s="217"/>
      <c r="F1993" s="217"/>
      <c r="G1993" s="217" t="s">
        <v>444</v>
      </c>
      <c r="H1993" s="57" t="s">
        <v>171</v>
      </c>
      <c r="I1993" s="50">
        <v>2241647</v>
      </c>
      <c r="J1993" s="50">
        <f>I1993/D1982</f>
        <v>139.85</v>
      </c>
      <c r="K1993" s="50">
        <f>2241647/D1982</f>
        <v>139.85</v>
      </c>
    </row>
    <row r="1994" spans="1:11" ht="15.75" customHeight="1" x14ac:dyDescent="0.25">
      <c r="A1994" s="217"/>
      <c r="B1994" s="217"/>
      <c r="C1994" s="219"/>
      <c r="D1994" s="221"/>
      <c r="E1994" s="217"/>
      <c r="F1994" s="217"/>
      <c r="G1994" s="222"/>
      <c r="H1994" s="57" t="s">
        <v>69</v>
      </c>
      <c r="I1994" s="50">
        <v>47971</v>
      </c>
      <c r="J1994" s="50">
        <f>I1994/D1982</f>
        <v>2.99</v>
      </c>
      <c r="K1994" s="50">
        <f>47971/D1982</f>
        <v>2.99</v>
      </c>
    </row>
    <row r="1995" spans="1:11" ht="15.75" customHeight="1" x14ac:dyDescent="0.25">
      <c r="A1995" s="217"/>
      <c r="B1995" s="217"/>
      <c r="C1995" s="219"/>
      <c r="D1995" s="221"/>
      <c r="E1995" s="217"/>
      <c r="F1995" s="217"/>
      <c r="G1995" s="217" t="s">
        <v>453</v>
      </c>
      <c r="H1995" s="57" t="s">
        <v>171</v>
      </c>
      <c r="I1995" s="50">
        <v>2241647</v>
      </c>
      <c r="J1995" s="50">
        <f>I1995/D1982</f>
        <v>139.85</v>
      </c>
      <c r="K1995" s="50">
        <f>2241647/D1982</f>
        <v>139.85</v>
      </c>
    </row>
    <row r="1996" spans="1:11" ht="15.75" customHeight="1" x14ac:dyDescent="0.25">
      <c r="A1996" s="217"/>
      <c r="B1996" s="217"/>
      <c r="C1996" s="219"/>
      <c r="D1996" s="221"/>
      <c r="E1996" s="217"/>
      <c r="F1996" s="217"/>
      <c r="G1996" s="222"/>
      <c r="H1996" s="57" t="s">
        <v>69</v>
      </c>
      <c r="I1996" s="50">
        <v>47971</v>
      </c>
      <c r="J1996" s="50">
        <f>I1996/D1982</f>
        <v>2.99</v>
      </c>
      <c r="K1996" s="50">
        <f>47971/D1982</f>
        <v>2.99</v>
      </c>
    </row>
    <row r="1997" spans="1:11" ht="15.75" customHeight="1" x14ac:dyDescent="0.25">
      <c r="A1997" s="216">
        <f>A1982+1</f>
        <v>130</v>
      </c>
      <c r="B1997" s="216">
        <v>2389</v>
      </c>
      <c r="C1997" s="218" t="s">
        <v>628</v>
      </c>
      <c r="D1997" s="220">
        <v>11256.89</v>
      </c>
      <c r="E1997" s="216" t="s">
        <v>64</v>
      </c>
      <c r="F1997" s="216">
        <v>10</v>
      </c>
      <c r="G1997" s="105"/>
      <c r="H1997" s="57" t="s">
        <v>66</v>
      </c>
      <c r="I1997" s="50">
        <f>I1998+I1999+I2000+I2001+I2002+I2003+I2004+I2005+I2006+I2007</f>
        <v>11448090</v>
      </c>
      <c r="J1997" s="50">
        <f>J1998+J1999+J2000+J2001+J2002+J2003+J2004+J2005+J2006+J2007</f>
        <v>1016.99</v>
      </c>
      <c r="K1997" s="50">
        <f>K1998+K1999+K2000+K2001+K2002+K2003+K2004+K2005+K2006+K2007</f>
        <v>1016.99</v>
      </c>
    </row>
    <row r="1998" spans="1:11" ht="15.75" customHeight="1" x14ac:dyDescent="0.25">
      <c r="A1998" s="217"/>
      <c r="B1998" s="217"/>
      <c r="C1998" s="219"/>
      <c r="D1998" s="221"/>
      <c r="E1998" s="217"/>
      <c r="F1998" s="217"/>
      <c r="G1998" s="217" t="s">
        <v>170</v>
      </c>
      <c r="H1998" s="57" t="s">
        <v>171</v>
      </c>
      <c r="I1998" s="50">
        <v>2241647</v>
      </c>
      <c r="J1998" s="50">
        <f>I1998/D1997</f>
        <v>199.14</v>
      </c>
      <c r="K1998" s="50">
        <f>2241647/D1997</f>
        <v>199.14</v>
      </c>
    </row>
    <row r="1999" spans="1:11" ht="15.75" customHeight="1" x14ac:dyDescent="0.25">
      <c r="A1999" s="217"/>
      <c r="B1999" s="217"/>
      <c r="C1999" s="219"/>
      <c r="D1999" s="221"/>
      <c r="E1999" s="217"/>
      <c r="F1999" s="217"/>
      <c r="G1999" s="222"/>
      <c r="H1999" s="57" t="s">
        <v>69</v>
      </c>
      <c r="I1999" s="50">
        <v>47971</v>
      </c>
      <c r="J1999" s="50">
        <f>I1999/D1997</f>
        <v>4.26</v>
      </c>
      <c r="K1999" s="50">
        <f>47971/D1997</f>
        <v>4.26</v>
      </c>
    </row>
    <row r="2000" spans="1:11" ht="15.75" customHeight="1" x14ac:dyDescent="0.25">
      <c r="A2000" s="217"/>
      <c r="B2000" s="217"/>
      <c r="C2000" s="219"/>
      <c r="D2000" s="221"/>
      <c r="E2000" s="217"/>
      <c r="F2000" s="217"/>
      <c r="G2000" s="217" t="s">
        <v>173</v>
      </c>
      <c r="H2000" s="57" t="s">
        <v>171</v>
      </c>
      <c r="I2000" s="50">
        <v>2241647</v>
      </c>
      <c r="J2000" s="50">
        <f>I2000/D1997-0.01</f>
        <v>199.13</v>
      </c>
      <c r="K2000" s="50">
        <f>2241647/D1997-0.01</f>
        <v>199.13</v>
      </c>
    </row>
    <row r="2001" spans="1:11" ht="15.75" customHeight="1" x14ac:dyDescent="0.25">
      <c r="A2001" s="217"/>
      <c r="B2001" s="217"/>
      <c r="C2001" s="219"/>
      <c r="D2001" s="221"/>
      <c r="E2001" s="217"/>
      <c r="F2001" s="217"/>
      <c r="G2001" s="222"/>
      <c r="H2001" s="57" t="s">
        <v>69</v>
      </c>
      <c r="I2001" s="50">
        <v>47971</v>
      </c>
      <c r="J2001" s="50">
        <f>I2001/D1997</f>
        <v>4.26</v>
      </c>
      <c r="K2001" s="50">
        <f>47971/D1997</f>
        <v>4.26</v>
      </c>
    </row>
    <row r="2002" spans="1:11" ht="15.75" customHeight="1" x14ac:dyDescent="0.25">
      <c r="A2002" s="217"/>
      <c r="B2002" s="217"/>
      <c r="C2002" s="219"/>
      <c r="D2002" s="221"/>
      <c r="E2002" s="217"/>
      <c r="F2002" s="217"/>
      <c r="G2002" s="217" t="s">
        <v>174</v>
      </c>
      <c r="H2002" s="57" t="s">
        <v>171</v>
      </c>
      <c r="I2002" s="50">
        <v>2241647</v>
      </c>
      <c r="J2002" s="50">
        <f>I2002/D1997</f>
        <v>199.14</v>
      </c>
      <c r="K2002" s="50">
        <f>2241647/D1997</f>
        <v>199.14</v>
      </c>
    </row>
    <row r="2003" spans="1:11" ht="15.75" customHeight="1" x14ac:dyDescent="0.25">
      <c r="A2003" s="217"/>
      <c r="B2003" s="217"/>
      <c r="C2003" s="219"/>
      <c r="D2003" s="221"/>
      <c r="E2003" s="217"/>
      <c r="F2003" s="217"/>
      <c r="G2003" s="222"/>
      <c r="H2003" s="57" t="s">
        <v>69</v>
      </c>
      <c r="I2003" s="50">
        <v>47971</v>
      </c>
      <c r="J2003" s="50">
        <f>I2003/D1997</f>
        <v>4.26</v>
      </c>
      <c r="K2003" s="50">
        <f>47971/D1997</f>
        <v>4.26</v>
      </c>
    </row>
    <row r="2004" spans="1:11" ht="15.75" customHeight="1" x14ac:dyDescent="0.25">
      <c r="A2004" s="217"/>
      <c r="B2004" s="217"/>
      <c r="C2004" s="219"/>
      <c r="D2004" s="221"/>
      <c r="E2004" s="217"/>
      <c r="F2004" s="217"/>
      <c r="G2004" s="217" t="s">
        <v>175</v>
      </c>
      <c r="H2004" s="57" t="s">
        <v>171</v>
      </c>
      <c r="I2004" s="50">
        <v>2241647</v>
      </c>
      <c r="J2004" s="50">
        <f>I2004/D1997</f>
        <v>199.14</v>
      </c>
      <c r="K2004" s="50">
        <f>2241647/D1997</f>
        <v>199.14</v>
      </c>
    </row>
    <row r="2005" spans="1:11" ht="15.75" customHeight="1" x14ac:dyDescent="0.25">
      <c r="A2005" s="217"/>
      <c r="B2005" s="217"/>
      <c r="C2005" s="219"/>
      <c r="D2005" s="221"/>
      <c r="E2005" s="217"/>
      <c r="F2005" s="217"/>
      <c r="G2005" s="222"/>
      <c r="H2005" s="57" t="s">
        <v>69</v>
      </c>
      <c r="I2005" s="50">
        <v>47971</v>
      </c>
      <c r="J2005" s="50">
        <f>I2005/D1997</f>
        <v>4.26</v>
      </c>
      <c r="K2005" s="50">
        <f>47971/D1997</f>
        <v>4.26</v>
      </c>
    </row>
    <row r="2006" spans="1:11" ht="15.75" customHeight="1" x14ac:dyDescent="0.25">
      <c r="A2006" s="217"/>
      <c r="B2006" s="217"/>
      <c r="C2006" s="219"/>
      <c r="D2006" s="221"/>
      <c r="E2006" s="217"/>
      <c r="F2006" s="217"/>
      <c r="G2006" s="217" t="s">
        <v>172</v>
      </c>
      <c r="H2006" s="57" t="s">
        <v>171</v>
      </c>
      <c r="I2006" s="50">
        <v>2241647</v>
      </c>
      <c r="J2006" s="50">
        <f>I2006/D1997</f>
        <v>199.14</v>
      </c>
      <c r="K2006" s="50">
        <f>2241647/D1997</f>
        <v>199.14</v>
      </c>
    </row>
    <row r="2007" spans="1:11" ht="15.75" customHeight="1" x14ac:dyDescent="0.25">
      <c r="A2007" s="217"/>
      <c r="B2007" s="217"/>
      <c r="C2007" s="219"/>
      <c r="D2007" s="221"/>
      <c r="E2007" s="217"/>
      <c r="F2007" s="217"/>
      <c r="G2007" s="222"/>
      <c r="H2007" s="57" t="s">
        <v>69</v>
      </c>
      <c r="I2007" s="50">
        <v>47971</v>
      </c>
      <c r="J2007" s="50">
        <f>I2007/D1997</f>
        <v>4.26</v>
      </c>
      <c r="K2007" s="50">
        <f>47971/D1997</f>
        <v>4.26</v>
      </c>
    </row>
    <row r="2008" spans="1:11" ht="15.75" customHeight="1" x14ac:dyDescent="0.25">
      <c r="A2008" s="216">
        <f>A1997+1</f>
        <v>131</v>
      </c>
      <c r="B2008" s="216">
        <v>2392</v>
      </c>
      <c r="C2008" s="218" t="s">
        <v>629</v>
      </c>
      <c r="D2008" s="220">
        <v>14133.9</v>
      </c>
      <c r="E2008" s="216" t="s">
        <v>64</v>
      </c>
      <c r="F2008" s="216">
        <v>10</v>
      </c>
      <c r="G2008" s="105"/>
      <c r="H2008" s="57" t="s">
        <v>66</v>
      </c>
      <c r="I2008" s="50">
        <f>I2009+I2010+I2011+I2012+I2013+I2014+I2015+I2016+I2017+I2018+I2019+I2020+I2021+I2022+I2023+I2024+I2025+I2026+I2027+I2028+I2029+I2030</f>
        <v>25185798</v>
      </c>
      <c r="J2008" s="50">
        <f>J2009+J2010+J2011+J2012+J2013+J2014+J2015+J2016+J2017+J2018+J2019+J2020+J2021+J2022+J2023+J2024+J2025+J2026+J2027+J2028+J2029+J2030</f>
        <v>1781.94</v>
      </c>
      <c r="K2008" s="50">
        <f>K2009+K2010+K2011+K2012+K2013+K2014+K2015+K2016+K2017+K2018+K2019+K2020+K2021+K2022+K2023+K2024+K2025+K2026+K2027+K2028+K2029+K2030</f>
        <v>1781.94</v>
      </c>
    </row>
    <row r="2009" spans="1:11" ht="15.75" customHeight="1" x14ac:dyDescent="0.25">
      <c r="A2009" s="217"/>
      <c r="B2009" s="217"/>
      <c r="C2009" s="219"/>
      <c r="D2009" s="221"/>
      <c r="E2009" s="217"/>
      <c r="F2009" s="217"/>
      <c r="G2009" s="217" t="s">
        <v>170</v>
      </c>
      <c r="H2009" s="57" t="s">
        <v>171</v>
      </c>
      <c r="I2009" s="50">
        <v>2241647</v>
      </c>
      <c r="J2009" s="50">
        <f>I2009/D2008</f>
        <v>158.6</v>
      </c>
      <c r="K2009" s="50">
        <f>2241647/D2008</f>
        <v>158.6</v>
      </c>
    </row>
    <row r="2010" spans="1:11" ht="15.75" customHeight="1" x14ac:dyDescent="0.25">
      <c r="A2010" s="217"/>
      <c r="B2010" s="217"/>
      <c r="C2010" s="219"/>
      <c r="D2010" s="221"/>
      <c r="E2010" s="217"/>
      <c r="F2010" s="217"/>
      <c r="G2010" s="222"/>
      <c r="H2010" s="57" t="s">
        <v>69</v>
      </c>
      <c r="I2010" s="50">
        <v>47971</v>
      </c>
      <c r="J2010" s="50">
        <f>I2010/D2008</f>
        <v>3.39</v>
      </c>
      <c r="K2010" s="50">
        <f>47971/D2008</f>
        <v>3.39</v>
      </c>
    </row>
    <row r="2011" spans="1:11" ht="15.75" customHeight="1" x14ac:dyDescent="0.25">
      <c r="A2011" s="217"/>
      <c r="B2011" s="217"/>
      <c r="C2011" s="219"/>
      <c r="D2011" s="221"/>
      <c r="E2011" s="217"/>
      <c r="F2011" s="217"/>
      <c r="G2011" s="217" t="s">
        <v>173</v>
      </c>
      <c r="H2011" s="57" t="s">
        <v>171</v>
      </c>
      <c r="I2011" s="50">
        <v>2241647</v>
      </c>
      <c r="J2011" s="50">
        <f>I2011/D2008+0.01</f>
        <v>158.61000000000001</v>
      </c>
      <c r="K2011" s="50">
        <f>2241647/D2008+0.01</f>
        <v>158.61000000000001</v>
      </c>
    </row>
    <row r="2012" spans="1:11" ht="15.75" customHeight="1" x14ac:dyDescent="0.25">
      <c r="A2012" s="217"/>
      <c r="B2012" s="217"/>
      <c r="C2012" s="219"/>
      <c r="D2012" s="221"/>
      <c r="E2012" s="217"/>
      <c r="F2012" s="217"/>
      <c r="G2012" s="222"/>
      <c r="H2012" s="57" t="s">
        <v>69</v>
      </c>
      <c r="I2012" s="50">
        <v>47971</v>
      </c>
      <c r="J2012" s="50">
        <f>I2012/D2008</f>
        <v>3.39</v>
      </c>
      <c r="K2012" s="50">
        <f>47971/D2008</f>
        <v>3.39</v>
      </c>
    </row>
    <row r="2013" spans="1:11" ht="15.75" customHeight="1" x14ac:dyDescent="0.25">
      <c r="A2013" s="217"/>
      <c r="B2013" s="217"/>
      <c r="C2013" s="219"/>
      <c r="D2013" s="221"/>
      <c r="E2013" s="217"/>
      <c r="F2013" s="217"/>
      <c r="G2013" s="217" t="s">
        <v>174</v>
      </c>
      <c r="H2013" s="57" t="s">
        <v>171</v>
      </c>
      <c r="I2013" s="50">
        <v>2241647</v>
      </c>
      <c r="J2013" s="50">
        <f>I2013/D2008</f>
        <v>158.6</v>
      </c>
      <c r="K2013" s="50">
        <f>2241647/D2008</f>
        <v>158.6</v>
      </c>
    </row>
    <row r="2014" spans="1:11" ht="15.75" customHeight="1" x14ac:dyDescent="0.25">
      <c r="A2014" s="217"/>
      <c r="B2014" s="217"/>
      <c r="C2014" s="219"/>
      <c r="D2014" s="221"/>
      <c r="E2014" s="217"/>
      <c r="F2014" s="217"/>
      <c r="G2014" s="222"/>
      <c r="H2014" s="57" t="s">
        <v>69</v>
      </c>
      <c r="I2014" s="50">
        <v>47971</v>
      </c>
      <c r="J2014" s="50">
        <f>I2014/D2008</f>
        <v>3.39</v>
      </c>
      <c r="K2014" s="50">
        <f>47971/D2008</f>
        <v>3.39</v>
      </c>
    </row>
    <row r="2015" spans="1:11" ht="15.75" customHeight="1" x14ac:dyDescent="0.25">
      <c r="A2015" s="217"/>
      <c r="B2015" s="217"/>
      <c r="C2015" s="219"/>
      <c r="D2015" s="221"/>
      <c r="E2015" s="217"/>
      <c r="F2015" s="217"/>
      <c r="G2015" s="217" t="s">
        <v>175</v>
      </c>
      <c r="H2015" s="57" t="s">
        <v>171</v>
      </c>
      <c r="I2015" s="50">
        <v>2241647</v>
      </c>
      <c r="J2015" s="50">
        <f>I2015/D2008+0.01</f>
        <v>158.61000000000001</v>
      </c>
      <c r="K2015" s="50">
        <f>2241647/D2008+0.01</f>
        <v>158.61000000000001</v>
      </c>
    </row>
    <row r="2016" spans="1:11" ht="15.75" customHeight="1" x14ac:dyDescent="0.25">
      <c r="A2016" s="217"/>
      <c r="B2016" s="217"/>
      <c r="C2016" s="219"/>
      <c r="D2016" s="221"/>
      <c r="E2016" s="217"/>
      <c r="F2016" s="217"/>
      <c r="G2016" s="222"/>
      <c r="H2016" s="57" t="s">
        <v>69</v>
      </c>
      <c r="I2016" s="50">
        <v>47971</v>
      </c>
      <c r="J2016" s="50">
        <f>I2016/D2008</f>
        <v>3.39</v>
      </c>
      <c r="K2016" s="50">
        <f>47971/D2008</f>
        <v>3.39</v>
      </c>
    </row>
    <row r="2017" spans="1:11" ht="15.75" customHeight="1" x14ac:dyDescent="0.25">
      <c r="A2017" s="217"/>
      <c r="B2017" s="217"/>
      <c r="C2017" s="219"/>
      <c r="D2017" s="221"/>
      <c r="E2017" s="217"/>
      <c r="F2017" s="217"/>
      <c r="G2017" s="217" t="s">
        <v>172</v>
      </c>
      <c r="H2017" s="57" t="s">
        <v>171</v>
      </c>
      <c r="I2017" s="50">
        <v>2241647</v>
      </c>
      <c r="J2017" s="50">
        <f>I2017/D2008</f>
        <v>158.6</v>
      </c>
      <c r="K2017" s="50">
        <f>2241647/D2008</f>
        <v>158.6</v>
      </c>
    </row>
    <row r="2018" spans="1:11" ht="15.75" customHeight="1" x14ac:dyDescent="0.25">
      <c r="A2018" s="217"/>
      <c r="B2018" s="217"/>
      <c r="C2018" s="219"/>
      <c r="D2018" s="221"/>
      <c r="E2018" s="217"/>
      <c r="F2018" s="217"/>
      <c r="G2018" s="222"/>
      <c r="H2018" s="57" t="s">
        <v>69</v>
      </c>
      <c r="I2018" s="50">
        <v>47971</v>
      </c>
      <c r="J2018" s="50">
        <f>I2018/D2008</f>
        <v>3.39</v>
      </c>
      <c r="K2018" s="50">
        <f>47971/D2008</f>
        <v>3.39</v>
      </c>
    </row>
    <row r="2019" spans="1:11" ht="15.75" customHeight="1" x14ac:dyDescent="0.25">
      <c r="A2019" s="217"/>
      <c r="B2019" s="217"/>
      <c r="C2019" s="219"/>
      <c r="D2019" s="221"/>
      <c r="E2019" s="217"/>
      <c r="F2019" s="217"/>
      <c r="G2019" s="217" t="s">
        <v>444</v>
      </c>
      <c r="H2019" s="57" t="s">
        <v>171</v>
      </c>
      <c r="I2019" s="50">
        <v>2241647</v>
      </c>
      <c r="J2019" s="50">
        <f>I2019/D2008+0.01</f>
        <v>158.61000000000001</v>
      </c>
      <c r="K2019" s="50">
        <f>2241647/D2008+0.01</f>
        <v>158.61000000000001</v>
      </c>
    </row>
    <row r="2020" spans="1:11" ht="15.75" customHeight="1" x14ac:dyDescent="0.25">
      <c r="A2020" s="217"/>
      <c r="B2020" s="217"/>
      <c r="C2020" s="219"/>
      <c r="D2020" s="221"/>
      <c r="E2020" s="217"/>
      <c r="F2020" s="217"/>
      <c r="G2020" s="222"/>
      <c r="H2020" s="57" t="s">
        <v>69</v>
      </c>
      <c r="I2020" s="50">
        <v>47971</v>
      </c>
      <c r="J2020" s="50">
        <f>I2020/D2008</f>
        <v>3.39</v>
      </c>
      <c r="K2020" s="50">
        <f>47971/D2008</f>
        <v>3.39</v>
      </c>
    </row>
    <row r="2021" spans="1:11" ht="15.75" customHeight="1" x14ac:dyDescent="0.25">
      <c r="A2021" s="217"/>
      <c r="B2021" s="217"/>
      <c r="C2021" s="219"/>
      <c r="D2021" s="221"/>
      <c r="E2021" s="217"/>
      <c r="F2021" s="217"/>
      <c r="G2021" s="217" t="s">
        <v>453</v>
      </c>
      <c r="H2021" s="57" t="s">
        <v>171</v>
      </c>
      <c r="I2021" s="50">
        <v>2241647</v>
      </c>
      <c r="J2021" s="50">
        <f>I2021/D2008</f>
        <v>158.6</v>
      </c>
      <c r="K2021" s="50">
        <f>2241647/D2008</f>
        <v>158.6</v>
      </c>
    </row>
    <row r="2022" spans="1:11" ht="15.75" customHeight="1" x14ac:dyDescent="0.25">
      <c r="A2022" s="217"/>
      <c r="B2022" s="217"/>
      <c r="C2022" s="219"/>
      <c r="D2022" s="221"/>
      <c r="E2022" s="217"/>
      <c r="F2022" s="217"/>
      <c r="G2022" s="222"/>
      <c r="H2022" s="57" t="s">
        <v>69</v>
      </c>
      <c r="I2022" s="50">
        <v>47971</v>
      </c>
      <c r="J2022" s="50">
        <f>I2022/D2008</f>
        <v>3.39</v>
      </c>
      <c r="K2022" s="50">
        <f>47971/D2008</f>
        <v>3.39</v>
      </c>
    </row>
    <row r="2023" spans="1:11" ht="15.75" customHeight="1" x14ac:dyDescent="0.25">
      <c r="A2023" s="217"/>
      <c r="B2023" s="217"/>
      <c r="C2023" s="219"/>
      <c r="D2023" s="221"/>
      <c r="E2023" s="217"/>
      <c r="F2023" s="217"/>
      <c r="G2023" s="217" t="s">
        <v>461</v>
      </c>
      <c r="H2023" s="57" t="s">
        <v>171</v>
      </c>
      <c r="I2023" s="50">
        <v>2241647</v>
      </c>
      <c r="J2023" s="50">
        <f>I2023/D2008+0.01</f>
        <v>158.61000000000001</v>
      </c>
      <c r="K2023" s="50">
        <f>2241647/D2008+0.01</f>
        <v>158.61000000000001</v>
      </c>
    </row>
    <row r="2024" spans="1:11" ht="15.75" customHeight="1" x14ac:dyDescent="0.25">
      <c r="A2024" s="217"/>
      <c r="B2024" s="217"/>
      <c r="C2024" s="219"/>
      <c r="D2024" s="221"/>
      <c r="E2024" s="217"/>
      <c r="F2024" s="217"/>
      <c r="G2024" s="222"/>
      <c r="H2024" s="57" t="s">
        <v>69</v>
      </c>
      <c r="I2024" s="50">
        <v>47971</v>
      </c>
      <c r="J2024" s="50">
        <f>I2024/D2008</f>
        <v>3.39</v>
      </c>
      <c r="K2024" s="50">
        <f>47971/D2008</f>
        <v>3.39</v>
      </c>
    </row>
    <row r="2025" spans="1:11" ht="15.75" customHeight="1" x14ac:dyDescent="0.25">
      <c r="A2025" s="217"/>
      <c r="B2025" s="217"/>
      <c r="C2025" s="219"/>
      <c r="D2025" s="221"/>
      <c r="E2025" s="217"/>
      <c r="F2025" s="217"/>
      <c r="G2025" s="217" t="s">
        <v>571</v>
      </c>
      <c r="H2025" s="57" t="s">
        <v>171</v>
      </c>
      <c r="I2025" s="50">
        <v>2241647</v>
      </c>
      <c r="J2025" s="50">
        <f>I2025/D2008</f>
        <v>158.6</v>
      </c>
      <c r="K2025" s="50">
        <f>2241647/D2008</f>
        <v>158.6</v>
      </c>
    </row>
    <row r="2026" spans="1:11" ht="15.75" customHeight="1" x14ac:dyDescent="0.25">
      <c r="A2026" s="217"/>
      <c r="B2026" s="217"/>
      <c r="C2026" s="219"/>
      <c r="D2026" s="221"/>
      <c r="E2026" s="217"/>
      <c r="F2026" s="217"/>
      <c r="G2026" s="222"/>
      <c r="H2026" s="57" t="s">
        <v>69</v>
      </c>
      <c r="I2026" s="50">
        <v>47971</v>
      </c>
      <c r="J2026" s="50">
        <f>I2026/D2008</f>
        <v>3.39</v>
      </c>
      <c r="K2026" s="50">
        <f>47971/D2008</f>
        <v>3.39</v>
      </c>
    </row>
    <row r="2027" spans="1:11" ht="15.75" customHeight="1" x14ac:dyDescent="0.25">
      <c r="A2027" s="217"/>
      <c r="B2027" s="217"/>
      <c r="C2027" s="219"/>
      <c r="D2027" s="221"/>
      <c r="E2027" s="217"/>
      <c r="F2027" s="217"/>
      <c r="G2027" s="217" t="s">
        <v>630</v>
      </c>
      <c r="H2027" s="57" t="s">
        <v>171</v>
      </c>
      <c r="I2027" s="50">
        <v>2241647</v>
      </c>
      <c r="J2027" s="50">
        <f>I2027/D2008+0.01</f>
        <v>158.61000000000001</v>
      </c>
      <c r="K2027" s="50">
        <f>2241647/D2008+0.01</f>
        <v>158.61000000000001</v>
      </c>
    </row>
    <row r="2028" spans="1:11" ht="15.75" customHeight="1" x14ac:dyDescent="0.25">
      <c r="A2028" s="217"/>
      <c r="B2028" s="217"/>
      <c r="C2028" s="219"/>
      <c r="D2028" s="221"/>
      <c r="E2028" s="217"/>
      <c r="F2028" s="217"/>
      <c r="G2028" s="222"/>
      <c r="H2028" s="57" t="s">
        <v>69</v>
      </c>
      <c r="I2028" s="50">
        <v>47971</v>
      </c>
      <c r="J2028" s="50">
        <f>I2028/D2008</f>
        <v>3.39</v>
      </c>
      <c r="K2028" s="50">
        <f>47971/D2008</f>
        <v>3.39</v>
      </c>
    </row>
    <row r="2029" spans="1:11" ht="15.75" customHeight="1" x14ac:dyDescent="0.25">
      <c r="A2029" s="217"/>
      <c r="B2029" s="217"/>
      <c r="C2029" s="219"/>
      <c r="D2029" s="221"/>
      <c r="E2029" s="217"/>
      <c r="F2029" s="217"/>
      <c r="G2029" s="217" t="s">
        <v>631</v>
      </c>
      <c r="H2029" s="57" t="s">
        <v>171</v>
      </c>
      <c r="I2029" s="50">
        <v>2241647</v>
      </c>
      <c r="J2029" s="50">
        <f>I2029/D2008</f>
        <v>158.6</v>
      </c>
      <c r="K2029" s="50">
        <f>2241647/D2008</f>
        <v>158.6</v>
      </c>
    </row>
    <row r="2030" spans="1:11" ht="15.75" customHeight="1" x14ac:dyDescent="0.25">
      <c r="A2030" s="217"/>
      <c r="B2030" s="217"/>
      <c r="C2030" s="219"/>
      <c r="D2030" s="221"/>
      <c r="E2030" s="217"/>
      <c r="F2030" s="217"/>
      <c r="G2030" s="222"/>
      <c r="H2030" s="57" t="s">
        <v>69</v>
      </c>
      <c r="I2030" s="50">
        <v>47971</v>
      </c>
      <c r="J2030" s="50">
        <f>I2030/D2008</f>
        <v>3.39</v>
      </c>
      <c r="K2030" s="50">
        <f>47971/D2008</f>
        <v>3.39</v>
      </c>
    </row>
    <row r="2031" spans="1:11" ht="15.75" customHeight="1" x14ac:dyDescent="0.25">
      <c r="A2031" s="216">
        <f>A2008+1</f>
        <v>132</v>
      </c>
      <c r="B2031" s="216">
        <v>2394</v>
      </c>
      <c r="C2031" s="218" t="s">
        <v>633</v>
      </c>
      <c r="D2031" s="220">
        <v>2686.6</v>
      </c>
      <c r="E2031" s="216" t="s">
        <v>64</v>
      </c>
      <c r="F2031" s="216">
        <v>10</v>
      </c>
      <c r="G2031" s="105"/>
      <c r="H2031" s="57" t="s">
        <v>66</v>
      </c>
      <c r="I2031" s="50">
        <f>I2032+I2033+I2034+I2035</f>
        <v>4579236</v>
      </c>
      <c r="J2031" s="50">
        <f>J2032+J2033+J2034+J2035</f>
        <v>1704.47</v>
      </c>
      <c r="K2031" s="50">
        <f>K2032+K2033+K2034+K2035</f>
        <v>1704.47</v>
      </c>
    </row>
    <row r="2032" spans="1:11" ht="15.75" customHeight="1" x14ac:dyDescent="0.25">
      <c r="A2032" s="217"/>
      <c r="B2032" s="217"/>
      <c r="C2032" s="219"/>
      <c r="D2032" s="221"/>
      <c r="E2032" s="217"/>
      <c r="F2032" s="217"/>
      <c r="G2032" s="217" t="s">
        <v>170</v>
      </c>
      <c r="H2032" s="57" t="s">
        <v>171</v>
      </c>
      <c r="I2032" s="50">
        <v>2241647</v>
      </c>
      <c r="J2032" s="50">
        <f>I2032/D2031</f>
        <v>834.38</v>
      </c>
      <c r="K2032" s="50">
        <f>2241647/D2031</f>
        <v>834.38</v>
      </c>
    </row>
    <row r="2033" spans="1:11" ht="15.75" customHeight="1" x14ac:dyDescent="0.25">
      <c r="A2033" s="217"/>
      <c r="B2033" s="217"/>
      <c r="C2033" s="219"/>
      <c r="D2033" s="221"/>
      <c r="E2033" s="217"/>
      <c r="F2033" s="217"/>
      <c r="G2033" s="222"/>
      <c r="H2033" s="57" t="s">
        <v>69</v>
      </c>
      <c r="I2033" s="50">
        <v>47971</v>
      </c>
      <c r="J2033" s="50">
        <f>I2033/D2031</f>
        <v>17.86</v>
      </c>
      <c r="K2033" s="50">
        <f>47971/D2031</f>
        <v>17.86</v>
      </c>
    </row>
    <row r="2034" spans="1:11" ht="15.75" customHeight="1" x14ac:dyDescent="0.25">
      <c r="A2034" s="217"/>
      <c r="B2034" s="217"/>
      <c r="C2034" s="219"/>
      <c r="D2034" s="221"/>
      <c r="E2034" s="217"/>
      <c r="F2034" s="217"/>
      <c r="G2034" s="217" t="s">
        <v>173</v>
      </c>
      <c r="H2034" s="57" t="s">
        <v>171</v>
      </c>
      <c r="I2034" s="50">
        <v>2241647</v>
      </c>
      <c r="J2034" s="50">
        <f>I2034/D2031-0.01</f>
        <v>834.37</v>
      </c>
      <c r="K2034" s="50">
        <f>2241647/D2031-0.01</f>
        <v>834.37</v>
      </c>
    </row>
    <row r="2035" spans="1:11" ht="15.75" customHeight="1" x14ac:dyDescent="0.25">
      <c r="A2035" s="217"/>
      <c r="B2035" s="217"/>
      <c r="C2035" s="219"/>
      <c r="D2035" s="221"/>
      <c r="E2035" s="217"/>
      <c r="F2035" s="217"/>
      <c r="G2035" s="222"/>
      <c r="H2035" s="57" t="s">
        <v>69</v>
      </c>
      <c r="I2035" s="50">
        <v>47971</v>
      </c>
      <c r="J2035" s="50">
        <f>I2035/D2031</f>
        <v>17.86</v>
      </c>
      <c r="K2035" s="50">
        <f>47971/D2031</f>
        <v>17.86</v>
      </c>
    </row>
    <row r="2036" spans="1:11" ht="15.75" customHeight="1" x14ac:dyDescent="0.25">
      <c r="A2036" s="216">
        <f>A2031+1</f>
        <v>133</v>
      </c>
      <c r="B2036" s="216">
        <v>2395</v>
      </c>
      <c r="C2036" s="218" t="s">
        <v>634</v>
      </c>
      <c r="D2036" s="220">
        <v>2878.2</v>
      </c>
      <c r="E2036" s="216" t="s">
        <v>64</v>
      </c>
      <c r="F2036" s="216">
        <v>10</v>
      </c>
      <c r="G2036" s="105"/>
      <c r="H2036" s="57" t="s">
        <v>66</v>
      </c>
      <c r="I2036" s="50">
        <f>I2037+I2038+I2039+I2040</f>
        <v>4579236</v>
      </c>
      <c r="J2036" s="50">
        <f>J2037+J2038+J2039+J2040</f>
        <v>1591.01</v>
      </c>
      <c r="K2036" s="50">
        <f>K2037+K2038+K2039+K2040</f>
        <v>1591.01</v>
      </c>
    </row>
    <row r="2037" spans="1:11" ht="15.75" customHeight="1" x14ac:dyDescent="0.25">
      <c r="A2037" s="217"/>
      <c r="B2037" s="217"/>
      <c r="C2037" s="219"/>
      <c r="D2037" s="221"/>
      <c r="E2037" s="217"/>
      <c r="F2037" s="217"/>
      <c r="G2037" s="217" t="s">
        <v>170</v>
      </c>
      <c r="H2037" s="57" t="s">
        <v>171</v>
      </c>
      <c r="I2037" s="50">
        <v>2241647</v>
      </c>
      <c r="J2037" s="50">
        <f>I2037/D2036</f>
        <v>778.84</v>
      </c>
      <c r="K2037" s="50">
        <f>2241647/D2036</f>
        <v>778.84</v>
      </c>
    </row>
    <row r="2038" spans="1:11" ht="15.75" customHeight="1" x14ac:dyDescent="0.25">
      <c r="A2038" s="217"/>
      <c r="B2038" s="217"/>
      <c r="C2038" s="219"/>
      <c r="D2038" s="221"/>
      <c r="E2038" s="217"/>
      <c r="F2038" s="217"/>
      <c r="G2038" s="222"/>
      <c r="H2038" s="57" t="s">
        <v>69</v>
      </c>
      <c r="I2038" s="50">
        <v>47971</v>
      </c>
      <c r="J2038" s="50">
        <f>I2038/D2036</f>
        <v>16.670000000000002</v>
      </c>
      <c r="K2038" s="50">
        <f>47971/D2036</f>
        <v>16.670000000000002</v>
      </c>
    </row>
    <row r="2039" spans="1:11" ht="15.75" customHeight="1" x14ac:dyDescent="0.25">
      <c r="A2039" s="217"/>
      <c r="B2039" s="217"/>
      <c r="C2039" s="219"/>
      <c r="D2039" s="221"/>
      <c r="E2039" s="217"/>
      <c r="F2039" s="217"/>
      <c r="G2039" s="217" t="s">
        <v>173</v>
      </c>
      <c r="H2039" s="57" t="s">
        <v>171</v>
      </c>
      <c r="I2039" s="50">
        <v>2241647</v>
      </c>
      <c r="J2039" s="50">
        <f>I2039/D2036-0.01</f>
        <v>778.83</v>
      </c>
      <c r="K2039" s="50">
        <f>2241647/D2036-0.01</f>
        <v>778.83</v>
      </c>
    </row>
    <row r="2040" spans="1:11" ht="15.75" customHeight="1" x14ac:dyDescent="0.25">
      <c r="A2040" s="217"/>
      <c r="B2040" s="217"/>
      <c r="C2040" s="219"/>
      <c r="D2040" s="221"/>
      <c r="E2040" s="217"/>
      <c r="F2040" s="217"/>
      <c r="G2040" s="222"/>
      <c r="H2040" s="57" t="s">
        <v>69</v>
      </c>
      <c r="I2040" s="50">
        <v>47971</v>
      </c>
      <c r="J2040" s="50">
        <f>I2040/D2036</f>
        <v>16.670000000000002</v>
      </c>
      <c r="K2040" s="50">
        <f>47971/D2036</f>
        <v>16.670000000000002</v>
      </c>
    </row>
    <row r="2041" spans="1:11" ht="15.75" customHeight="1" x14ac:dyDescent="0.25">
      <c r="A2041" s="216">
        <f>A2036+1</f>
        <v>134</v>
      </c>
      <c r="B2041" s="216">
        <v>2397</v>
      </c>
      <c r="C2041" s="218" t="s">
        <v>674</v>
      </c>
      <c r="D2041" s="220">
        <v>2703.3</v>
      </c>
      <c r="E2041" s="216" t="s">
        <v>64</v>
      </c>
      <c r="F2041" s="216">
        <v>10</v>
      </c>
      <c r="G2041" s="105"/>
      <c r="H2041" s="57" t="s">
        <v>66</v>
      </c>
      <c r="I2041" s="50">
        <f>I2042+I2043</f>
        <v>64562</v>
      </c>
      <c r="J2041" s="50">
        <f>J2042+J2043</f>
        <v>23.88</v>
      </c>
      <c r="K2041" s="50">
        <f>K2042+K2043</f>
        <v>23.88</v>
      </c>
    </row>
    <row r="2042" spans="1:11" ht="47.25" customHeight="1" x14ac:dyDescent="0.25">
      <c r="A2042" s="217"/>
      <c r="B2042" s="217"/>
      <c r="C2042" s="219"/>
      <c r="D2042" s="221"/>
      <c r="E2042" s="217"/>
      <c r="F2042" s="217"/>
      <c r="G2042" s="102" t="s">
        <v>170</v>
      </c>
      <c r="H2042" s="57" t="s">
        <v>168</v>
      </c>
      <c r="I2042" s="50">
        <f>22681+9600</f>
        <v>32281</v>
      </c>
      <c r="J2042" s="50">
        <f>I2042/D2041</f>
        <v>11.94</v>
      </c>
      <c r="K2042" s="50">
        <f>32281/D2041</f>
        <v>11.94</v>
      </c>
    </row>
    <row r="2043" spans="1:11" ht="47.25" customHeight="1" x14ac:dyDescent="0.25">
      <c r="A2043" s="217"/>
      <c r="B2043" s="217"/>
      <c r="C2043" s="219"/>
      <c r="D2043" s="221"/>
      <c r="E2043" s="217"/>
      <c r="F2043" s="217"/>
      <c r="G2043" s="102" t="s">
        <v>173</v>
      </c>
      <c r="H2043" s="57" t="s">
        <v>168</v>
      </c>
      <c r="I2043" s="50">
        <f>22681+9600</f>
        <v>32281</v>
      </c>
      <c r="J2043" s="50">
        <f>I2043/D2041</f>
        <v>11.94</v>
      </c>
      <c r="K2043" s="50">
        <f>32281/D2041</f>
        <v>11.94</v>
      </c>
    </row>
    <row r="2044" spans="1:11" ht="15.75" customHeight="1" x14ac:dyDescent="0.25">
      <c r="A2044" s="216">
        <f>A2041+1</f>
        <v>135</v>
      </c>
      <c r="B2044" s="216">
        <v>2379</v>
      </c>
      <c r="C2044" s="218" t="s">
        <v>675</v>
      </c>
      <c r="D2044" s="220">
        <v>7274</v>
      </c>
      <c r="E2044" s="216" t="s">
        <v>64</v>
      </c>
      <c r="F2044" s="216">
        <v>10</v>
      </c>
      <c r="G2044" s="105"/>
      <c r="H2044" s="57" t="s">
        <v>66</v>
      </c>
      <c r="I2044" s="50">
        <f>I2045+I2046+I2047</f>
        <v>96843</v>
      </c>
      <c r="J2044" s="50">
        <f>J2045+J2046+J2047</f>
        <v>13.31</v>
      </c>
      <c r="K2044" s="50">
        <f>K2045+K2046+K2047</f>
        <v>13.31</v>
      </c>
    </row>
    <row r="2045" spans="1:11" ht="47.25" customHeight="1" x14ac:dyDescent="0.25">
      <c r="A2045" s="217"/>
      <c r="B2045" s="217"/>
      <c r="C2045" s="219"/>
      <c r="D2045" s="221"/>
      <c r="E2045" s="217"/>
      <c r="F2045" s="217"/>
      <c r="G2045" s="102" t="s">
        <v>170</v>
      </c>
      <c r="H2045" s="57" t="s">
        <v>168</v>
      </c>
      <c r="I2045" s="50">
        <f>22681+9600</f>
        <v>32281</v>
      </c>
      <c r="J2045" s="50">
        <f>I2045/D2044</f>
        <v>4.4400000000000004</v>
      </c>
      <c r="K2045" s="50">
        <f>32281/D2044</f>
        <v>4.4400000000000004</v>
      </c>
    </row>
    <row r="2046" spans="1:11" ht="47.25" customHeight="1" x14ac:dyDescent="0.25">
      <c r="A2046" s="217"/>
      <c r="B2046" s="217"/>
      <c r="C2046" s="219"/>
      <c r="D2046" s="221"/>
      <c r="E2046" s="217"/>
      <c r="F2046" s="217"/>
      <c r="G2046" s="102" t="s">
        <v>173</v>
      </c>
      <c r="H2046" s="57" t="s">
        <v>168</v>
      </c>
      <c r="I2046" s="50">
        <f>22681+9600</f>
        <v>32281</v>
      </c>
      <c r="J2046" s="50">
        <f>I2046/D2044-0.01</f>
        <v>4.43</v>
      </c>
      <c r="K2046" s="50">
        <f>32281/D2044-0.01</f>
        <v>4.43</v>
      </c>
    </row>
    <row r="2047" spans="1:11" ht="47.25" customHeight="1" x14ac:dyDescent="0.25">
      <c r="A2047" s="217"/>
      <c r="B2047" s="217"/>
      <c r="C2047" s="219"/>
      <c r="D2047" s="221"/>
      <c r="E2047" s="217"/>
      <c r="F2047" s="217"/>
      <c r="G2047" s="102" t="s">
        <v>174</v>
      </c>
      <c r="H2047" s="57" t="s">
        <v>168</v>
      </c>
      <c r="I2047" s="50">
        <f>22681+9600</f>
        <v>32281</v>
      </c>
      <c r="J2047" s="50">
        <f>I2047/D2044</f>
        <v>4.4400000000000004</v>
      </c>
      <c r="K2047" s="50">
        <f>32281/D2044</f>
        <v>4.4400000000000004</v>
      </c>
    </row>
    <row r="2048" spans="1:11" ht="15.75" customHeight="1" x14ac:dyDescent="0.25">
      <c r="A2048" s="215">
        <f>A2044+1</f>
        <v>136</v>
      </c>
      <c r="B2048" s="215">
        <v>2954</v>
      </c>
      <c r="C2048" s="223" t="s">
        <v>676</v>
      </c>
      <c r="D2048" s="224">
        <v>1238.2</v>
      </c>
      <c r="E2048" s="224" t="s">
        <v>68</v>
      </c>
      <c r="F2048" s="225">
        <v>4</v>
      </c>
      <c r="G2048" s="215" t="s">
        <v>74</v>
      </c>
      <c r="H2048" s="57" t="s">
        <v>66</v>
      </c>
      <c r="I2048" s="50">
        <f>I2049</f>
        <v>58195.4</v>
      </c>
      <c r="J2048" s="50">
        <f>J2049</f>
        <v>47</v>
      </c>
      <c r="K2048" s="50">
        <f>K2049</f>
        <v>47</v>
      </c>
    </row>
    <row r="2049" spans="1:11" ht="47.25" customHeight="1" x14ac:dyDescent="0.25">
      <c r="A2049" s="215"/>
      <c r="B2049" s="215"/>
      <c r="C2049" s="223"/>
      <c r="D2049" s="224"/>
      <c r="E2049" s="224"/>
      <c r="F2049" s="225"/>
      <c r="G2049" s="215"/>
      <c r="H2049" s="57" t="s">
        <v>168</v>
      </c>
      <c r="I2049" s="50">
        <f>D2048*K2049</f>
        <v>58195.4</v>
      </c>
      <c r="J2049" s="50">
        <f>I2049/D2048</f>
        <v>47</v>
      </c>
      <c r="K2049" s="50">
        <f>34+13</f>
        <v>47</v>
      </c>
    </row>
    <row r="2050" spans="1:11" ht="15.75" customHeight="1" x14ac:dyDescent="0.25">
      <c r="A2050" s="215">
        <f>A2048+1</f>
        <v>137</v>
      </c>
      <c r="B2050" s="215">
        <v>2955</v>
      </c>
      <c r="C2050" s="223" t="s">
        <v>677</v>
      </c>
      <c r="D2050" s="224">
        <v>1089.3</v>
      </c>
      <c r="E2050" s="224" t="s">
        <v>68</v>
      </c>
      <c r="F2050" s="225">
        <v>4</v>
      </c>
      <c r="G2050" s="215" t="s">
        <v>74</v>
      </c>
      <c r="H2050" s="57" t="s">
        <v>66</v>
      </c>
      <c r="I2050" s="50">
        <f>I2051</f>
        <v>51197.1</v>
      </c>
      <c r="J2050" s="50">
        <f>J2051</f>
        <v>47</v>
      </c>
      <c r="K2050" s="50">
        <f>K2051</f>
        <v>47</v>
      </c>
    </row>
    <row r="2051" spans="1:11" ht="47.25" customHeight="1" x14ac:dyDescent="0.25">
      <c r="A2051" s="215"/>
      <c r="B2051" s="215"/>
      <c r="C2051" s="223"/>
      <c r="D2051" s="224"/>
      <c r="E2051" s="224"/>
      <c r="F2051" s="225"/>
      <c r="G2051" s="215"/>
      <c r="H2051" s="57" t="s">
        <v>168</v>
      </c>
      <c r="I2051" s="50">
        <f>D2050*K2051</f>
        <v>51197.1</v>
      </c>
      <c r="J2051" s="50">
        <f>I2051/D2050</f>
        <v>47</v>
      </c>
      <c r="K2051" s="50">
        <f>34+13</f>
        <v>47</v>
      </c>
    </row>
    <row r="2052" spans="1:11" x14ac:dyDescent="0.25">
      <c r="A2052" s="51" t="s">
        <v>31</v>
      </c>
      <c r="B2052" s="51"/>
      <c r="C2052" s="165"/>
      <c r="D2052" s="109">
        <f>D2053+D2056+D2059</f>
        <v>1056.7</v>
      </c>
      <c r="E2052" s="50"/>
      <c r="F2052" s="50"/>
      <c r="G2052" s="109"/>
      <c r="H2052" s="55"/>
      <c r="I2052" s="50">
        <f>I2053+I2056+I2059</f>
        <v>2772678.89</v>
      </c>
      <c r="J2052" s="50"/>
      <c r="K2052" s="50"/>
    </row>
    <row r="2053" spans="1:11" x14ac:dyDescent="0.25">
      <c r="A2053" s="216">
        <v>1</v>
      </c>
      <c r="B2053" s="216">
        <v>4859</v>
      </c>
      <c r="C2053" s="218" t="s">
        <v>439</v>
      </c>
      <c r="D2053" s="220">
        <v>336</v>
      </c>
      <c r="E2053" s="220" t="s">
        <v>68</v>
      </c>
      <c r="F2053" s="228">
        <v>2</v>
      </c>
      <c r="G2053" s="110"/>
      <c r="H2053" s="57" t="s">
        <v>66</v>
      </c>
      <c r="I2053" s="50">
        <f>I2054+I2055</f>
        <v>176064</v>
      </c>
      <c r="J2053" s="50">
        <f>J2054+J2055</f>
        <v>524</v>
      </c>
      <c r="K2053" s="50">
        <f>K2054+K2055</f>
        <v>524</v>
      </c>
    </row>
    <row r="2054" spans="1:11" x14ac:dyDescent="0.25">
      <c r="A2054" s="217"/>
      <c r="B2054" s="217"/>
      <c r="C2054" s="219"/>
      <c r="D2054" s="221"/>
      <c r="E2054" s="221"/>
      <c r="F2054" s="229"/>
      <c r="G2054" s="216" t="s">
        <v>71</v>
      </c>
      <c r="H2054" s="57" t="s">
        <v>67</v>
      </c>
      <c r="I2054" s="50">
        <f>D2053*K2054</f>
        <v>172368</v>
      </c>
      <c r="J2054" s="50">
        <f>I2054/D2053</f>
        <v>513</v>
      </c>
      <c r="K2054" s="50">
        <v>513</v>
      </c>
    </row>
    <row r="2055" spans="1:11" x14ac:dyDescent="0.25">
      <c r="A2055" s="222"/>
      <c r="B2055" s="222"/>
      <c r="C2055" s="226"/>
      <c r="D2055" s="227"/>
      <c r="E2055" s="227"/>
      <c r="F2055" s="230"/>
      <c r="G2055" s="222"/>
      <c r="H2055" s="57" t="s">
        <v>69</v>
      </c>
      <c r="I2055" s="50">
        <f>D2053*K2055</f>
        <v>3696</v>
      </c>
      <c r="J2055" s="50">
        <f>I2055/D2053</f>
        <v>11</v>
      </c>
      <c r="K2055" s="50">
        <v>11</v>
      </c>
    </row>
    <row r="2056" spans="1:11" x14ac:dyDescent="0.25">
      <c r="A2056" s="216">
        <f>A2053+1</f>
        <v>2</v>
      </c>
      <c r="B2056" s="216">
        <v>8046</v>
      </c>
      <c r="C2056" s="218" t="s">
        <v>289</v>
      </c>
      <c r="D2056" s="220">
        <v>325</v>
      </c>
      <c r="E2056" s="220" t="s">
        <v>167</v>
      </c>
      <c r="F2056" s="228">
        <v>2</v>
      </c>
      <c r="G2056" s="110"/>
      <c r="H2056" s="57" t="s">
        <v>66</v>
      </c>
      <c r="I2056" s="50">
        <f>I2057+I2058</f>
        <v>2498600</v>
      </c>
      <c r="J2056" s="50">
        <f>J2057+J2058</f>
        <v>7688</v>
      </c>
      <c r="K2056" s="50">
        <f>K2057+K2058</f>
        <v>7688</v>
      </c>
    </row>
    <row r="2057" spans="1:11" x14ac:dyDescent="0.25">
      <c r="A2057" s="217"/>
      <c r="B2057" s="217"/>
      <c r="C2057" s="219"/>
      <c r="D2057" s="221"/>
      <c r="E2057" s="221"/>
      <c r="F2057" s="229"/>
      <c r="G2057" s="216" t="s">
        <v>65</v>
      </c>
      <c r="H2057" s="57" t="s">
        <v>67</v>
      </c>
      <c r="I2057" s="50">
        <f>D2056*K2057</f>
        <v>2446275</v>
      </c>
      <c r="J2057" s="50">
        <f>I2057/D2056</f>
        <v>7527</v>
      </c>
      <c r="K2057" s="50">
        <v>7527</v>
      </c>
    </row>
    <row r="2058" spans="1:11" x14ac:dyDescent="0.25">
      <c r="A2058" s="222"/>
      <c r="B2058" s="222"/>
      <c r="C2058" s="226"/>
      <c r="D2058" s="227"/>
      <c r="E2058" s="227"/>
      <c r="F2058" s="230"/>
      <c r="G2058" s="222"/>
      <c r="H2058" s="57" t="s">
        <v>69</v>
      </c>
      <c r="I2058" s="50">
        <f>D2056*K2058</f>
        <v>52325</v>
      </c>
      <c r="J2058" s="50">
        <f>I2058/D2056</f>
        <v>161</v>
      </c>
      <c r="K2058" s="50">
        <v>161</v>
      </c>
    </row>
    <row r="2059" spans="1:11" x14ac:dyDescent="0.25">
      <c r="A2059" s="215">
        <f>A2056+1</f>
        <v>3</v>
      </c>
      <c r="B2059" s="215">
        <v>8047</v>
      </c>
      <c r="C2059" s="223" t="s">
        <v>440</v>
      </c>
      <c r="D2059" s="224">
        <v>395.7</v>
      </c>
      <c r="E2059" s="225" t="s">
        <v>167</v>
      </c>
      <c r="F2059" s="225">
        <v>2</v>
      </c>
      <c r="G2059" s="108"/>
      <c r="H2059" s="57" t="s">
        <v>66</v>
      </c>
      <c r="I2059" s="50">
        <f>I2060</f>
        <v>98014.89</v>
      </c>
      <c r="J2059" s="50">
        <f>J2060</f>
        <v>247.7</v>
      </c>
      <c r="K2059" s="50">
        <f>K2060</f>
        <v>260</v>
      </c>
    </row>
    <row r="2060" spans="1:11" ht="63" x14ac:dyDescent="0.25">
      <c r="A2060" s="215">
        <v>15</v>
      </c>
      <c r="B2060" s="215"/>
      <c r="C2060" s="223"/>
      <c r="D2060" s="224"/>
      <c r="E2060" s="225"/>
      <c r="F2060" s="225"/>
      <c r="G2060" s="105" t="s">
        <v>65</v>
      </c>
      <c r="H2060" s="57" t="s">
        <v>168</v>
      </c>
      <c r="I2060" s="50">
        <v>98014.89</v>
      </c>
      <c r="J2060" s="50">
        <f>I2060/D2059</f>
        <v>247.7</v>
      </c>
      <c r="K2060" s="50">
        <f>164+96</f>
        <v>260</v>
      </c>
    </row>
    <row r="2061" spans="1:11" x14ac:dyDescent="0.25">
      <c r="A2061" s="51" t="s">
        <v>32</v>
      </c>
      <c r="B2061" s="51"/>
      <c r="C2061" s="165"/>
      <c r="D2061" s="50">
        <f>D2062+D2065+D2068+D2073+D2075</f>
        <v>1951.63</v>
      </c>
      <c r="E2061" s="50"/>
      <c r="F2061" s="50"/>
      <c r="G2061" s="109"/>
      <c r="H2061" s="64"/>
      <c r="I2061" s="55">
        <f>I2062+I2065+I2068+I2073+I2075</f>
        <v>11934633.85</v>
      </c>
      <c r="J2061" s="55"/>
      <c r="K2061" s="55"/>
    </row>
    <row r="2062" spans="1:11" ht="15.75" customHeight="1" x14ac:dyDescent="0.25">
      <c r="A2062" s="216">
        <v>1</v>
      </c>
      <c r="B2062" s="216">
        <v>7260</v>
      </c>
      <c r="C2062" s="218" t="s">
        <v>454</v>
      </c>
      <c r="D2062" s="220">
        <v>335.4</v>
      </c>
      <c r="E2062" s="220" t="s">
        <v>167</v>
      </c>
      <c r="F2062" s="228">
        <v>2</v>
      </c>
      <c r="G2062" s="216" t="s">
        <v>65</v>
      </c>
      <c r="H2062" s="57" t="s">
        <v>66</v>
      </c>
      <c r="I2062" s="50">
        <f>I2063+I2064</f>
        <v>1990221.69</v>
      </c>
      <c r="J2062" s="50">
        <f>J2063+J2064</f>
        <v>5933.88</v>
      </c>
      <c r="K2062" s="50">
        <f>K2063+K2064</f>
        <v>8203</v>
      </c>
    </row>
    <row r="2063" spans="1:11" x14ac:dyDescent="0.25">
      <c r="A2063" s="217"/>
      <c r="B2063" s="217"/>
      <c r="C2063" s="219"/>
      <c r="D2063" s="221"/>
      <c r="E2063" s="221"/>
      <c r="F2063" s="229"/>
      <c r="G2063" s="217"/>
      <c r="H2063" s="57" t="s">
        <v>67</v>
      </c>
      <c r="I2063" s="50">
        <f>1948523.29</f>
        <v>1948523.29</v>
      </c>
      <c r="J2063" s="50">
        <f>I2063/D2062+0.01</f>
        <v>5809.56</v>
      </c>
      <c r="K2063" s="50">
        <v>8031</v>
      </c>
    </row>
    <row r="2064" spans="1:11" x14ac:dyDescent="0.25">
      <c r="A2064" s="222"/>
      <c r="B2064" s="222"/>
      <c r="C2064" s="226"/>
      <c r="D2064" s="227"/>
      <c r="E2064" s="227"/>
      <c r="F2064" s="230"/>
      <c r="G2064" s="222"/>
      <c r="H2064" s="57" t="s">
        <v>69</v>
      </c>
      <c r="I2064" s="50">
        <f>I2063*0.0214</f>
        <v>41698.400000000001</v>
      </c>
      <c r="J2064" s="50">
        <f>I2064/D2062</f>
        <v>124.32</v>
      </c>
      <c r="K2064" s="50">
        <v>172</v>
      </c>
    </row>
    <row r="2065" spans="1:11" ht="15.75" customHeight="1" x14ac:dyDescent="0.25">
      <c r="A2065" s="216">
        <v>2</v>
      </c>
      <c r="B2065" s="216">
        <v>7261</v>
      </c>
      <c r="C2065" s="218" t="s">
        <v>455</v>
      </c>
      <c r="D2065" s="220">
        <v>344.34</v>
      </c>
      <c r="E2065" s="220" t="s">
        <v>167</v>
      </c>
      <c r="F2065" s="228">
        <v>2</v>
      </c>
      <c r="G2065" s="216" t="s">
        <v>65</v>
      </c>
      <c r="H2065" s="57" t="s">
        <v>66</v>
      </c>
      <c r="I2065" s="50">
        <f>I2066+I2067</f>
        <v>1975579.81</v>
      </c>
      <c r="J2065" s="50">
        <f>J2066+J2067</f>
        <v>5737.29</v>
      </c>
      <c r="K2065" s="50">
        <f>K2066+K2067</f>
        <v>8203</v>
      </c>
    </row>
    <row r="2066" spans="1:11" x14ac:dyDescent="0.25">
      <c r="A2066" s="217"/>
      <c r="B2066" s="217"/>
      <c r="C2066" s="219"/>
      <c r="D2066" s="221"/>
      <c r="E2066" s="221"/>
      <c r="F2066" s="229"/>
      <c r="G2066" s="217"/>
      <c r="H2066" s="57" t="s">
        <v>67</v>
      </c>
      <c r="I2066" s="50">
        <f>1934188.18</f>
        <v>1934188.18</v>
      </c>
      <c r="J2066" s="50">
        <f>I2066/D2065-0.01</f>
        <v>5617.08</v>
      </c>
      <c r="K2066" s="50">
        <v>8031</v>
      </c>
    </row>
    <row r="2067" spans="1:11" x14ac:dyDescent="0.25">
      <c r="A2067" s="222"/>
      <c r="B2067" s="222"/>
      <c r="C2067" s="226"/>
      <c r="D2067" s="227"/>
      <c r="E2067" s="227"/>
      <c r="F2067" s="230"/>
      <c r="G2067" s="222"/>
      <c r="H2067" s="57" t="s">
        <v>69</v>
      </c>
      <c r="I2067" s="50">
        <f>I2066*0.0214</f>
        <v>41391.629999999997</v>
      </c>
      <c r="J2067" s="50">
        <f>I2067/D2065</f>
        <v>120.21</v>
      </c>
      <c r="K2067" s="50">
        <v>172</v>
      </c>
    </row>
    <row r="2068" spans="1:11" ht="15.75" customHeight="1" x14ac:dyDescent="0.25">
      <c r="A2068" s="216">
        <v>3</v>
      </c>
      <c r="B2068" s="216">
        <v>7275</v>
      </c>
      <c r="C2068" s="218" t="s">
        <v>503</v>
      </c>
      <c r="D2068" s="220">
        <v>365.52</v>
      </c>
      <c r="E2068" s="220" t="s">
        <v>167</v>
      </c>
      <c r="F2068" s="228">
        <v>2</v>
      </c>
      <c r="G2068" s="216" t="s">
        <v>182</v>
      </c>
      <c r="H2068" s="57" t="s">
        <v>66</v>
      </c>
      <c r="I2068" s="50">
        <f>I2069+I2070+I2071+I2072</f>
        <v>3818587.44</v>
      </c>
      <c r="J2068" s="50">
        <f>J2069+J2070+J2071+J2072</f>
        <v>10447</v>
      </c>
      <c r="K2068" s="50">
        <f>K2069+K2070+K2071+K2072</f>
        <v>10447</v>
      </c>
    </row>
    <row r="2069" spans="1:11" x14ac:dyDescent="0.25">
      <c r="A2069" s="217"/>
      <c r="B2069" s="217"/>
      <c r="C2069" s="219"/>
      <c r="D2069" s="221"/>
      <c r="E2069" s="221"/>
      <c r="F2069" s="229"/>
      <c r="G2069" s="217"/>
      <c r="H2069" s="57" t="s">
        <v>67</v>
      </c>
      <c r="I2069" s="50">
        <f>D2068*K2069</f>
        <v>2122574.64</v>
      </c>
      <c r="J2069" s="50">
        <f>I2069/D2068</f>
        <v>5807</v>
      </c>
      <c r="K2069" s="50">
        <v>5807</v>
      </c>
    </row>
    <row r="2070" spans="1:11" x14ac:dyDescent="0.25">
      <c r="A2070" s="217"/>
      <c r="B2070" s="217"/>
      <c r="C2070" s="219"/>
      <c r="D2070" s="221"/>
      <c r="E2070" s="221"/>
      <c r="F2070" s="229"/>
      <c r="G2070" s="217"/>
      <c r="H2070" s="57" t="s">
        <v>69</v>
      </c>
      <c r="I2070" s="50">
        <f>D2068*K2070</f>
        <v>45324.480000000003</v>
      </c>
      <c r="J2070" s="50">
        <f>I2070/D2068</f>
        <v>124</v>
      </c>
      <c r="K2070" s="50">
        <v>124</v>
      </c>
    </row>
    <row r="2071" spans="1:11" x14ac:dyDescent="0.25">
      <c r="A2071" s="217"/>
      <c r="B2071" s="217"/>
      <c r="C2071" s="219"/>
      <c r="D2071" s="221"/>
      <c r="E2071" s="221"/>
      <c r="F2071" s="229"/>
      <c r="G2071" s="217"/>
      <c r="H2071" s="57" t="s">
        <v>179</v>
      </c>
      <c r="I2071" s="50">
        <f>D2068*K2071</f>
        <v>1615963.92</v>
      </c>
      <c r="J2071" s="50">
        <f>I2071/D2068</f>
        <v>4421</v>
      </c>
      <c r="K2071" s="50">
        <v>4421</v>
      </c>
    </row>
    <row r="2072" spans="1:11" x14ac:dyDescent="0.25">
      <c r="A2072" s="222"/>
      <c r="B2072" s="222"/>
      <c r="C2072" s="226"/>
      <c r="D2072" s="227"/>
      <c r="E2072" s="227"/>
      <c r="F2072" s="230"/>
      <c r="G2072" s="222"/>
      <c r="H2072" s="57" t="s">
        <v>69</v>
      </c>
      <c r="I2072" s="50">
        <f>D2068*K2072</f>
        <v>34724.400000000001</v>
      </c>
      <c r="J2072" s="50">
        <f>I2072/D2068</f>
        <v>95</v>
      </c>
      <c r="K2072" s="50">
        <v>95</v>
      </c>
    </row>
    <row r="2073" spans="1:11" ht="15.75" customHeight="1" x14ac:dyDescent="0.25">
      <c r="A2073" s="216">
        <v>4</v>
      </c>
      <c r="B2073" s="216">
        <v>7317</v>
      </c>
      <c r="C2073" s="218" t="s">
        <v>505</v>
      </c>
      <c r="D2073" s="220">
        <v>519.54</v>
      </c>
      <c r="E2073" s="220" t="s">
        <v>167</v>
      </c>
      <c r="F2073" s="228">
        <v>2</v>
      </c>
      <c r="G2073" s="216" t="s">
        <v>65</v>
      </c>
      <c r="H2073" s="57" t="s">
        <v>66</v>
      </c>
      <c r="I2073" s="50">
        <f>I2074</f>
        <v>1251727.72</v>
      </c>
      <c r="J2073" s="50">
        <f>J2074</f>
        <v>2409.3000000000002</v>
      </c>
      <c r="K2073" s="50">
        <f>K2074</f>
        <v>8031</v>
      </c>
    </row>
    <row r="2074" spans="1:11" x14ac:dyDescent="0.25">
      <c r="A2074" s="222"/>
      <c r="B2074" s="222"/>
      <c r="C2074" s="226"/>
      <c r="D2074" s="227"/>
      <c r="E2074" s="227"/>
      <c r="F2074" s="230"/>
      <c r="G2074" s="222"/>
      <c r="H2074" s="57" t="s">
        <v>67</v>
      </c>
      <c r="I2074" s="50">
        <f>D2073*K2074*0.3</f>
        <v>1251727.72</v>
      </c>
      <c r="J2074" s="50">
        <f>I2074/D2073</f>
        <v>2409.3000000000002</v>
      </c>
      <c r="K2074" s="50">
        <v>8031</v>
      </c>
    </row>
    <row r="2075" spans="1:11" ht="15.75" customHeight="1" x14ac:dyDescent="0.25">
      <c r="A2075" s="216">
        <v>5</v>
      </c>
      <c r="B2075" s="216">
        <v>7357</v>
      </c>
      <c r="C2075" s="218" t="s">
        <v>506</v>
      </c>
      <c r="D2075" s="220">
        <v>386.83</v>
      </c>
      <c r="E2075" s="220" t="s">
        <v>68</v>
      </c>
      <c r="F2075" s="228">
        <v>2</v>
      </c>
      <c r="G2075" s="216" t="s">
        <v>182</v>
      </c>
      <c r="H2075" s="57" t="s">
        <v>66</v>
      </c>
      <c r="I2075" s="50">
        <f>I2076+I2077+I2078+I2079</f>
        <v>2898517.19</v>
      </c>
      <c r="J2075" s="50">
        <f>J2076+J2077+J2078+J2079</f>
        <v>7493</v>
      </c>
      <c r="K2075" s="50">
        <f>K2076+K2077+K2078+K2079</f>
        <v>7493</v>
      </c>
    </row>
    <row r="2076" spans="1:11" x14ac:dyDescent="0.25">
      <c r="A2076" s="217"/>
      <c r="B2076" s="217"/>
      <c r="C2076" s="219"/>
      <c r="D2076" s="221"/>
      <c r="E2076" s="221"/>
      <c r="F2076" s="229"/>
      <c r="G2076" s="217"/>
      <c r="H2076" s="57" t="s">
        <v>67</v>
      </c>
      <c r="I2076" s="50">
        <f>D2075*K2076</f>
        <v>1127609.45</v>
      </c>
      <c r="J2076" s="50">
        <f>I2076/D2075</f>
        <v>2915</v>
      </c>
      <c r="K2076" s="50">
        <v>2915</v>
      </c>
    </row>
    <row r="2077" spans="1:11" x14ac:dyDescent="0.25">
      <c r="A2077" s="217"/>
      <c r="B2077" s="217"/>
      <c r="C2077" s="219"/>
      <c r="D2077" s="221"/>
      <c r="E2077" s="221"/>
      <c r="F2077" s="229"/>
      <c r="G2077" s="217"/>
      <c r="H2077" s="57" t="s">
        <v>69</v>
      </c>
      <c r="I2077" s="50">
        <f>D2075*K2077</f>
        <v>23983.46</v>
      </c>
      <c r="J2077" s="50">
        <f>I2077/D2075</f>
        <v>62</v>
      </c>
      <c r="K2077" s="50">
        <v>62</v>
      </c>
    </row>
    <row r="2078" spans="1:11" x14ac:dyDescent="0.25">
      <c r="A2078" s="217"/>
      <c r="B2078" s="217"/>
      <c r="C2078" s="219"/>
      <c r="D2078" s="221"/>
      <c r="E2078" s="221"/>
      <c r="F2078" s="229"/>
      <c r="G2078" s="217"/>
      <c r="H2078" s="57" t="s">
        <v>179</v>
      </c>
      <c r="I2078" s="50">
        <f>D2075*K2078</f>
        <v>1710175.43</v>
      </c>
      <c r="J2078" s="50">
        <f>I2078/D2075</f>
        <v>4421</v>
      </c>
      <c r="K2078" s="50">
        <v>4421</v>
      </c>
    </row>
    <row r="2079" spans="1:11" x14ac:dyDescent="0.25">
      <c r="A2079" s="222"/>
      <c r="B2079" s="222"/>
      <c r="C2079" s="226"/>
      <c r="D2079" s="227"/>
      <c r="E2079" s="227"/>
      <c r="F2079" s="230"/>
      <c r="G2079" s="222"/>
      <c r="H2079" s="57" t="s">
        <v>69</v>
      </c>
      <c r="I2079" s="50">
        <f>D2075*K2079</f>
        <v>36748.85</v>
      </c>
      <c r="J2079" s="50">
        <f>I2079/D2075</f>
        <v>95</v>
      </c>
      <c r="K2079" s="50">
        <v>95</v>
      </c>
    </row>
    <row r="2080" spans="1:11" x14ac:dyDescent="0.25">
      <c r="A2080" s="51" t="s">
        <v>34</v>
      </c>
      <c r="B2080" s="51"/>
      <c r="C2080" s="165"/>
      <c r="D2080" s="109">
        <f>D2081+D2086+D2089+D2094</f>
        <v>1578.1</v>
      </c>
      <c r="E2080" s="109"/>
      <c r="F2080" s="109"/>
      <c r="G2080" s="109"/>
      <c r="H2080" s="64"/>
      <c r="I2080" s="50">
        <f>I2081+I2086+I2089+I2094</f>
        <v>4654941.4000000004</v>
      </c>
      <c r="J2080" s="50"/>
      <c r="K2080" s="50"/>
    </row>
    <row r="2081" spans="1:11" x14ac:dyDescent="0.25">
      <c r="A2081" s="215">
        <v>1</v>
      </c>
      <c r="B2081" s="215">
        <v>6737</v>
      </c>
      <c r="C2081" s="223" t="s">
        <v>291</v>
      </c>
      <c r="D2081" s="220">
        <v>699.5</v>
      </c>
      <c r="E2081" s="220" t="s">
        <v>68</v>
      </c>
      <c r="F2081" s="228">
        <v>3</v>
      </c>
      <c r="G2081" s="110"/>
      <c r="H2081" s="57" t="s">
        <v>66</v>
      </c>
      <c r="I2081" s="50">
        <f>I2083+I2082+I2084+I2085</f>
        <v>2442654</v>
      </c>
      <c r="J2081" s="50">
        <f>J2083+J2082+J2084+J2085</f>
        <v>3492</v>
      </c>
      <c r="K2081" s="50">
        <f>K2083+K2082+K2084+K2085</f>
        <v>3497</v>
      </c>
    </row>
    <row r="2082" spans="1:11" x14ac:dyDescent="0.25">
      <c r="A2082" s="215"/>
      <c r="B2082" s="215"/>
      <c r="C2082" s="223"/>
      <c r="D2082" s="221"/>
      <c r="E2082" s="221"/>
      <c r="F2082" s="229"/>
      <c r="G2082" s="215" t="s">
        <v>70</v>
      </c>
      <c r="H2082" s="57" t="s">
        <v>67</v>
      </c>
      <c r="I2082" s="50">
        <f>D2081*K2082</f>
        <v>2036244.5</v>
      </c>
      <c r="J2082" s="50">
        <f>I2082/D2081</f>
        <v>2911</v>
      </c>
      <c r="K2082" s="50">
        <v>2911</v>
      </c>
    </row>
    <row r="2083" spans="1:11" x14ac:dyDescent="0.25">
      <c r="A2083" s="215"/>
      <c r="B2083" s="215"/>
      <c r="C2083" s="223"/>
      <c r="D2083" s="221"/>
      <c r="E2083" s="221"/>
      <c r="F2083" s="229"/>
      <c r="G2083" s="215"/>
      <c r="H2083" s="57" t="s">
        <v>69</v>
      </c>
      <c r="I2083" s="50">
        <v>40571</v>
      </c>
      <c r="J2083" s="50">
        <f>I2083/D2081</f>
        <v>58</v>
      </c>
      <c r="K2083" s="50">
        <v>62</v>
      </c>
    </row>
    <row r="2084" spans="1:11" x14ac:dyDescent="0.25">
      <c r="A2084" s="215"/>
      <c r="B2084" s="215"/>
      <c r="C2084" s="223"/>
      <c r="D2084" s="221"/>
      <c r="E2084" s="221"/>
      <c r="F2084" s="229"/>
      <c r="G2084" s="215" t="s">
        <v>71</v>
      </c>
      <c r="H2084" s="57" t="s">
        <v>67</v>
      </c>
      <c r="I2084" s="50">
        <f>D2081*K2084</f>
        <v>358843.5</v>
      </c>
      <c r="J2084" s="50">
        <f>I2084/D2081</f>
        <v>513</v>
      </c>
      <c r="K2084" s="50">
        <v>513</v>
      </c>
    </row>
    <row r="2085" spans="1:11" x14ac:dyDescent="0.25">
      <c r="A2085" s="215"/>
      <c r="B2085" s="215"/>
      <c r="C2085" s="223"/>
      <c r="D2085" s="227"/>
      <c r="E2085" s="227"/>
      <c r="F2085" s="230"/>
      <c r="G2085" s="215"/>
      <c r="H2085" s="57" t="s">
        <v>69</v>
      </c>
      <c r="I2085" s="50">
        <v>6995</v>
      </c>
      <c r="J2085" s="50">
        <f>I2085/D2081</f>
        <v>10</v>
      </c>
      <c r="K2085" s="50">
        <v>11</v>
      </c>
    </row>
    <row r="2086" spans="1:11" x14ac:dyDescent="0.25">
      <c r="A2086" s="215">
        <f>A2081+1</f>
        <v>2</v>
      </c>
      <c r="B2086" s="215">
        <v>6749</v>
      </c>
      <c r="C2086" s="223" t="s">
        <v>292</v>
      </c>
      <c r="D2086" s="220">
        <v>288.7</v>
      </c>
      <c r="E2086" s="220" t="s">
        <v>68</v>
      </c>
      <c r="F2086" s="228">
        <v>2</v>
      </c>
      <c r="G2086" s="110"/>
      <c r="H2086" s="57" t="s">
        <v>66</v>
      </c>
      <c r="I2086" s="50">
        <f>I2087+I2088</f>
        <v>150990.1</v>
      </c>
      <c r="J2086" s="50">
        <f t="shared" ref="J2086:K2086" si="64">J2087+J2088</f>
        <v>523</v>
      </c>
      <c r="K2086" s="50">
        <f t="shared" si="64"/>
        <v>524</v>
      </c>
    </row>
    <row r="2087" spans="1:11" x14ac:dyDescent="0.25">
      <c r="A2087" s="215"/>
      <c r="B2087" s="215"/>
      <c r="C2087" s="223"/>
      <c r="D2087" s="221"/>
      <c r="E2087" s="221"/>
      <c r="F2087" s="229"/>
      <c r="G2087" s="215" t="s">
        <v>71</v>
      </c>
      <c r="H2087" s="57" t="s">
        <v>67</v>
      </c>
      <c r="I2087" s="50">
        <f>D2086*K2087</f>
        <v>148103.1</v>
      </c>
      <c r="J2087" s="50">
        <f>I2087/D2086</f>
        <v>513</v>
      </c>
      <c r="K2087" s="50">
        <v>513</v>
      </c>
    </row>
    <row r="2088" spans="1:11" x14ac:dyDescent="0.25">
      <c r="A2088" s="215"/>
      <c r="B2088" s="215"/>
      <c r="C2088" s="223"/>
      <c r="D2088" s="227"/>
      <c r="E2088" s="227"/>
      <c r="F2088" s="230"/>
      <c r="G2088" s="215"/>
      <c r="H2088" s="57" t="s">
        <v>69</v>
      </c>
      <c r="I2088" s="50">
        <v>2887</v>
      </c>
      <c r="J2088" s="50">
        <f>I2088/D2086</f>
        <v>10</v>
      </c>
      <c r="K2088" s="50">
        <v>11</v>
      </c>
    </row>
    <row r="2089" spans="1:11" x14ac:dyDescent="0.25">
      <c r="A2089" s="215">
        <f>A2086+1</f>
        <v>3</v>
      </c>
      <c r="B2089" s="215">
        <v>6727</v>
      </c>
      <c r="C2089" s="223" t="s">
        <v>293</v>
      </c>
      <c r="D2089" s="220">
        <v>316.60000000000002</v>
      </c>
      <c r="E2089" s="220" t="s">
        <v>68</v>
      </c>
      <c r="F2089" s="228">
        <v>2</v>
      </c>
      <c r="G2089" s="110"/>
      <c r="H2089" s="57" t="s">
        <v>66</v>
      </c>
      <c r="I2089" s="50">
        <f>I2090+I2091+I2092+I2093</f>
        <v>1105567.2</v>
      </c>
      <c r="J2089" s="50">
        <f>J2090+J2091+J2092+J2093</f>
        <v>3492</v>
      </c>
      <c r="K2089" s="50">
        <f>K2090+K2091+K2092+K2093</f>
        <v>3497</v>
      </c>
    </row>
    <row r="2090" spans="1:11" x14ac:dyDescent="0.25">
      <c r="A2090" s="215"/>
      <c r="B2090" s="215"/>
      <c r="C2090" s="223"/>
      <c r="D2090" s="221"/>
      <c r="E2090" s="221"/>
      <c r="F2090" s="229"/>
      <c r="G2090" s="215" t="s">
        <v>70</v>
      </c>
      <c r="H2090" s="57" t="s">
        <v>67</v>
      </c>
      <c r="I2090" s="50">
        <f>D2089*K2090</f>
        <v>921622.6</v>
      </c>
      <c r="J2090" s="50">
        <f>I2090/D2089</f>
        <v>2911</v>
      </c>
      <c r="K2090" s="50">
        <v>2911</v>
      </c>
    </row>
    <row r="2091" spans="1:11" x14ac:dyDescent="0.25">
      <c r="A2091" s="215"/>
      <c r="B2091" s="215"/>
      <c r="C2091" s="223"/>
      <c r="D2091" s="221"/>
      <c r="E2091" s="221"/>
      <c r="F2091" s="229"/>
      <c r="G2091" s="215"/>
      <c r="H2091" s="57" t="s">
        <v>69</v>
      </c>
      <c r="I2091" s="50">
        <v>18362.8</v>
      </c>
      <c r="J2091" s="50">
        <f>I2091/D2089</f>
        <v>58</v>
      </c>
      <c r="K2091" s="50">
        <v>62</v>
      </c>
    </row>
    <row r="2092" spans="1:11" x14ac:dyDescent="0.25">
      <c r="A2092" s="215"/>
      <c r="B2092" s="215"/>
      <c r="C2092" s="223"/>
      <c r="D2092" s="221"/>
      <c r="E2092" s="221"/>
      <c r="F2092" s="229"/>
      <c r="G2092" s="215" t="s">
        <v>71</v>
      </c>
      <c r="H2092" s="57" t="s">
        <v>67</v>
      </c>
      <c r="I2092" s="50">
        <f>D2089*K2092</f>
        <v>162415.79999999999</v>
      </c>
      <c r="J2092" s="50">
        <f>I2092/D2089</f>
        <v>513</v>
      </c>
      <c r="K2092" s="50">
        <v>513</v>
      </c>
    </row>
    <row r="2093" spans="1:11" x14ac:dyDescent="0.25">
      <c r="A2093" s="215"/>
      <c r="B2093" s="215"/>
      <c r="C2093" s="223"/>
      <c r="D2093" s="227"/>
      <c r="E2093" s="227"/>
      <c r="F2093" s="230"/>
      <c r="G2093" s="215"/>
      <c r="H2093" s="57" t="s">
        <v>69</v>
      </c>
      <c r="I2093" s="50">
        <v>3166</v>
      </c>
      <c r="J2093" s="50">
        <f>I2093/D2089</f>
        <v>10</v>
      </c>
      <c r="K2093" s="50">
        <v>11</v>
      </c>
    </row>
    <row r="2094" spans="1:11" x14ac:dyDescent="0.25">
      <c r="A2094" s="215">
        <f>A2089+1</f>
        <v>4</v>
      </c>
      <c r="B2094" s="215">
        <v>6733</v>
      </c>
      <c r="C2094" s="223" t="s">
        <v>295</v>
      </c>
      <c r="D2094" s="220">
        <v>273.3</v>
      </c>
      <c r="E2094" s="220" t="s">
        <v>68</v>
      </c>
      <c r="F2094" s="228">
        <v>2</v>
      </c>
      <c r="G2094" s="110"/>
      <c r="H2094" s="57" t="s">
        <v>66</v>
      </c>
      <c r="I2094" s="50">
        <f>I2096+I2095+I2097+I2098</f>
        <v>955730.1</v>
      </c>
      <c r="J2094" s="50">
        <f>J2096+J2095+J2097+J2098</f>
        <v>3497</v>
      </c>
      <c r="K2094" s="50">
        <f>K2096+K2095+K2097+K2098</f>
        <v>3497</v>
      </c>
    </row>
    <row r="2095" spans="1:11" x14ac:dyDescent="0.25">
      <c r="A2095" s="215"/>
      <c r="B2095" s="215"/>
      <c r="C2095" s="223"/>
      <c r="D2095" s="221"/>
      <c r="E2095" s="221"/>
      <c r="F2095" s="229"/>
      <c r="G2095" s="215" t="s">
        <v>70</v>
      </c>
      <c r="H2095" s="57" t="s">
        <v>67</v>
      </c>
      <c r="I2095" s="50">
        <f>D2094*K2095</f>
        <v>795576.3</v>
      </c>
      <c r="J2095" s="50">
        <f>I2095/D2094</f>
        <v>2911</v>
      </c>
      <c r="K2095" s="50">
        <v>2911</v>
      </c>
    </row>
    <row r="2096" spans="1:11" x14ac:dyDescent="0.25">
      <c r="A2096" s="215"/>
      <c r="B2096" s="215"/>
      <c r="C2096" s="223"/>
      <c r="D2096" s="221"/>
      <c r="E2096" s="221"/>
      <c r="F2096" s="229"/>
      <c r="G2096" s="215"/>
      <c r="H2096" s="57" t="s">
        <v>69</v>
      </c>
      <c r="I2096" s="50">
        <f>D2094*K2096</f>
        <v>16944.599999999999</v>
      </c>
      <c r="J2096" s="50">
        <f>I2096/D2094</f>
        <v>62</v>
      </c>
      <c r="K2096" s="50">
        <v>62</v>
      </c>
    </row>
    <row r="2097" spans="1:11" x14ac:dyDescent="0.25">
      <c r="A2097" s="215"/>
      <c r="B2097" s="215"/>
      <c r="C2097" s="223"/>
      <c r="D2097" s="221"/>
      <c r="E2097" s="221"/>
      <c r="F2097" s="229"/>
      <c r="G2097" s="215" t="s">
        <v>71</v>
      </c>
      <c r="H2097" s="57" t="s">
        <v>67</v>
      </c>
      <c r="I2097" s="50">
        <f>D2094*K2097</f>
        <v>140202.9</v>
      </c>
      <c r="J2097" s="50">
        <f>I2097/D2094</f>
        <v>513</v>
      </c>
      <c r="K2097" s="50">
        <v>513</v>
      </c>
    </row>
    <row r="2098" spans="1:11" x14ac:dyDescent="0.25">
      <c r="A2098" s="215"/>
      <c r="B2098" s="215"/>
      <c r="C2098" s="223"/>
      <c r="D2098" s="227"/>
      <c r="E2098" s="227"/>
      <c r="F2098" s="230"/>
      <c r="G2098" s="215"/>
      <c r="H2098" s="57" t="s">
        <v>69</v>
      </c>
      <c r="I2098" s="50">
        <f>D2094*K2098</f>
        <v>3006.3</v>
      </c>
      <c r="J2098" s="50">
        <f>I2098/D2094</f>
        <v>11</v>
      </c>
      <c r="K2098" s="50">
        <v>11</v>
      </c>
    </row>
    <row r="2099" spans="1:11" x14ac:dyDescent="0.25">
      <c r="A2099" s="51" t="s">
        <v>35</v>
      </c>
      <c r="B2099" s="51"/>
      <c r="C2099" s="165"/>
      <c r="D2099" s="50">
        <f>D2100+D2103+D2106+D2111+D2113+D2116+D2118+D2121+D2123+D2126+D2128+D2133+D2136+D2139+D2142+D2145+D2148+D2151+D2153+D2155+D2158+D2160+D2163+D2166+D2169+D2171+D2173+D2175+D2177+D2180</f>
        <v>16333.8</v>
      </c>
      <c r="E2099" s="50"/>
      <c r="F2099" s="50"/>
      <c r="G2099" s="109"/>
      <c r="H2099" s="64"/>
      <c r="I2099" s="50">
        <f>I2100+I2103+I2106+I2111+I2113+I2116+I2118+I2121+I2123+I2126+I2128+I2133+I2136+I2139+I2142+I2145+I2148+I2151+I2153+I2155+I2158+I2160+I2163+I2166+I2169+I2171+I2173+I2175+I2177+I2180</f>
        <v>45227222.75</v>
      </c>
      <c r="J2099" s="50"/>
      <c r="K2099" s="50"/>
    </row>
    <row r="2100" spans="1:11" x14ac:dyDescent="0.25">
      <c r="A2100" s="216">
        <v>1</v>
      </c>
      <c r="B2100" s="215">
        <v>5379</v>
      </c>
      <c r="C2100" s="223" t="s">
        <v>535</v>
      </c>
      <c r="D2100" s="224">
        <v>327.39999999999998</v>
      </c>
      <c r="E2100" s="224" t="s">
        <v>68</v>
      </c>
      <c r="F2100" s="225">
        <v>2</v>
      </c>
      <c r="G2100" s="108"/>
      <c r="H2100" s="57" t="s">
        <v>66</v>
      </c>
      <c r="I2100" s="50">
        <f>SUM(I2101:I2102)</f>
        <v>60896.4</v>
      </c>
      <c r="J2100" s="50">
        <f>SUM(J2101:J2102)</f>
        <v>186</v>
      </c>
      <c r="K2100" s="50">
        <f>SUM(K2101:K2102)</f>
        <v>186</v>
      </c>
    </row>
    <row r="2101" spans="1:11" ht="63" x14ac:dyDescent="0.25">
      <c r="A2101" s="217"/>
      <c r="B2101" s="215"/>
      <c r="C2101" s="223"/>
      <c r="D2101" s="224"/>
      <c r="E2101" s="224"/>
      <c r="F2101" s="225"/>
      <c r="G2101" s="105" t="s">
        <v>70</v>
      </c>
      <c r="H2101" s="57" t="s">
        <v>168</v>
      </c>
      <c r="I2101" s="50">
        <f>D2100*K2101</f>
        <v>45836</v>
      </c>
      <c r="J2101" s="50">
        <f>I2101/D2100</f>
        <v>140</v>
      </c>
      <c r="K2101" s="50">
        <f>119+21</f>
        <v>140</v>
      </c>
    </row>
    <row r="2102" spans="1:11" ht="63" x14ac:dyDescent="0.25">
      <c r="A2102" s="217"/>
      <c r="B2102" s="215"/>
      <c r="C2102" s="223"/>
      <c r="D2102" s="224"/>
      <c r="E2102" s="224"/>
      <c r="F2102" s="225"/>
      <c r="G2102" s="105" t="s">
        <v>71</v>
      </c>
      <c r="H2102" s="57" t="s">
        <v>168</v>
      </c>
      <c r="I2102" s="50">
        <f>D2100*K2102</f>
        <v>15060.4</v>
      </c>
      <c r="J2102" s="50">
        <f>I2102/D2100</f>
        <v>46</v>
      </c>
      <c r="K2102" s="50">
        <f>25+21</f>
        <v>46</v>
      </c>
    </row>
    <row r="2103" spans="1:11" x14ac:dyDescent="0.25">
      <c r="A2103" s="216">
        <f>A2100+1</f>
        <v>2</v>
      </c>
      <c r="B2103" s="216">
        <v>5672</v>
      </c>
      <c r="C2103" s="218" t="s">
        <v>508</v>
      </c>
      <c r="D2103" s="220">
        <v>327.60000000000002</v>
      </c>
      <c r="E2103" s="220" t="s">
        <v>167</v>
      </c>
      <c r="F2103" s="228">
        <v>2</v>
      </c>
      <c r="G2103" s="108"/>
      <c r="H2103" s="57" t="s">
        <v>66</v>
      </c>
      <c r="I2103" s="50">
        <f>SUM(I2104:I2105)</f>
        <v>1753971.61</v>
      </c>
      <c r="J2103" s="50">
        <f>SUM(J2104:J2105)</f>
        <v>5354</v>
      </c>
      <c r="K2103" s="50">
        <f>SUM(K2104:K2105)</f>
        <v>6299</v>
      </c>
    </row>
    <row r="2104" spans="1:11" x14ac:dyDescent="0.25">
      <c r="A2104" s="217"/>
      <c r="B2104" s="217"/>
      <c r="C2104" s="219"/>
      <c r="D2104" s="221"/>
      <c r="E2104" s="221"/>
      <c r="F2104" s="229"/>
      <c r="G2104" s="216" t="s">
        <v>478</v>
      </c>
      <c r="H2104" s="66" t="s">
        <v>67</v>
      </c>
      <c r="I2104" s="50">
        <v>1717223.04</v>
      </c>
      <c r="J2104" s="50">
        <f>I2104/D2103-0.01</f>
        <v>5241.82</v>
      </c>
      <c r="K2104" s="50">
        <v>6167</v>
      </c>
    </row>
    <row r="2105" spans="1:11" x14ac:dyDescent="0.25">
      <c r="A2105" s="222"/>
      <c r="B2105" s="222"/>
      <c r="C2105" s="226"/>
      <c r="D2105" s="227"/>
      <c r="E2105" s="227"/>
      <c r="F2105" s="230"/>
      <c r="G2105" s="222"/>
      <c r="H2105" s="66" t="s">
        <v>69</v>
      </c>
      <c r="I2105" s="50">
        <v>36748.57</v>
      </c>
      <c r="J2105" s="50">
        <f>I2105/D2103</f>
        <v>112.18</v>
      </c>
      <c r="K2105" s="50">
        <v>132</v>
      </c>
    </row>
    <row r="2106" spans="1:11" x14ac:dyDescent="0.25">
      <c r="A2106" s="216">
        <f>A2103+1</f>
        <v>3</v>
      </c>
      <c r="B2106" s="216">
        <v>5674</v>
      </c>
      <c r="C2106" s="218" t="s">
        <v>509</v>
      </c>
      <c r="D2106" s="220">
        <v>519.4</v>
      </c>
      <c r="E2106" s="220" t="s">
        <v>167</v>
      </c>
      <c r="F2106" s="228">
        <v>2</v>
      </c>
      <c r="G2106" s="108"/>
      <c r="H2106" s="57" t="s">
        <v>66</v>
      </c>
      <c r="I2106" s="50">
        <f>SUM(I2107:I2110)</f>
        <v>1901523.4</v>
      </c>
      <c r="J2106" s="50">
        <f>SUM(J2107:J2110)</f>
        <v>3661</v>
      </c>
      <c r="K2106" s="50">
        <f>SUM(K2107:K2110)</f>
        <v>3661</v>
      </c>
    </row>
    <row r="2107" spans="1:11" x14ac:dyDescent="0.25">
      <c r="A2107" s="217"/>
      <c r="B2107" s="217"/>
      <c r="C2107" s="219"/>
      <c r="D2107" s="221"/>
      <c r="E2107" s="221"/>
      <c r="F2107" s="229"/>
      <c r="G2107" s="216" t="s">
        <v>70</v>
      </c>
      <c r="H2107" s="66" t="s">
        <v>67</v>
      </c>
      <c r="I2107" s="50">
        <f>D2106*K2107</f>
        <v>1541059.8</v>
      </c>
      <c r="J2107" s="50">
        <f>I2107/D2106</f>
        <v>2967</v>
      </c>
      <c r="K2107" s="50">
        <v>2967</v>
      </c>
    </row>
    <row r="2108" spans="1:11" x14ac:dyDescent="0.25">
      <c r="A2108" s="217"/>
      <c r="B2108" s="217"/>
      <c r="C2108" s="219"/>
      <c r="D2108" s="221"/>
      <c r="E2108" s="221"/>
      <c r="F2108" s="229"/>
      <c r="G2108" s="222"/>
      <c r="H2108" s="66" t="s">
        <v>69</v>
      </c>
      <c r="I2108" s="50">
        <f>D2106*K2108</f>
        <v>32722.2</v>
      </c>
      <c r="J2108" s="50">
        <f>I2108/D2106</f>
        <v>63</v>
      </c>
      <c r="K2108" s="50">
        <v>63</v>
      </c>
    </row>
    <row r="2109" spans="1:11" x14ac:dyDescent="0.25">
      <c r="A2109" s="217"/>
      <c r="B2109" s="217"/>
      <c r="C2109" s="219"/>
      <c r="D2109" s="221"/>
      <c r="E2109" s="221"/>
      <c r="F2109" s="229"/>
      <c r="G2109" s="216" t="s">
        <v>71</v>
      </c>
      <c r="H2109" s="57" t="s">
        <v>67</v>
      </c>
      <c r="I2109" s="50">
        <f>D2106*K2109</f>
        <v>320989.2</v>
      </c>
      <c r="J2109" s="50">
        <f>I2109/D2106</f>
        <v>618</v>
      </c>
      <c r="K2109" s="50">
        <v>618</v>
      </c>
    </row>
    <row r="2110" spans="1:11" x14ac:dyDescent="0.25">
      <c r="A2110" s="222"/>
      <c r="B2110" s="222"/>
      <c r="C2110" s="226"/>
      <c r="D2110" s="227"/>
      <c r="E2110" s="227"/>
      <c r="F2110" s="230"/>
      <c r="G2110" s="222"/>
      <c r="H2110" s="57" t="s">
        <v>69</v>
      </c>
      <c r="I2110" s="50">
        <f>D2106*K2110</f>
        <v>6752.2</v>
      </c>
      <c r="J2110" s="50">
        <f>I2110/D2106</f>
        <v>13</v>
      </c>
      <c r="K2110" s="50">
        <v>13</v>
      </c>
    </row>
    <row r="2111" spans="1:11" x14ac:dyDescent="0.25">
      <c r="A2111" s="216">
        <f>A2106+1</f>
        <v>4</v>
      </c>
      <c r="B2111" s="216">
        <v>5584</v>
      </c>
      <c r="C2111" s="218" t="s">
        <v>536</v>
      </c>
      <c r="D2111" s="220">
        <v>293.39999999999998</v>
      </c>
      <c r="E2111" s="220" t="s">
        <v>167</v>
      </c>
      <c r="F2111" s="228">
        <v>2</v>
      </c>
      <c r="G2111" s="108"/>
      <c r="H2111" s="57" t="s">
        <v>66</v>
      </c>
      <c r="I2111" s="50">
        <f>SUM(I2112:I2112)</f>
        <v>75990.600000000006</v>
      </c>
      <c r="J2111" s="50">
        <f>SUM(J2112:J2112)</f>
        <v>259</v>
      </c>
      <c r="K2111" s="50">
        <f>SUM(K2112:K2112)</f>
        <v>259</v>
      </c>
    </row>
    <row r="2112" spans="1:11" ht="63" x14ac:dyDescent="0.25">
      <c r="A2112" s="217"/>
      <c r="B2112" s="217"/>
      <c r="C2112" s="219"/>
      <c r="D2112" s="221"/>
      <c r="E2112" s="221"/>
      <c r="F2112" s="229"/>
      <c r="G2112" s="120" t="s">
        <v>65</v>
      </c>
      <c r="H2112" s="57" t="s">
        <v>168</v>
      </c>
      <c r="I2112" s="50">
        <f>D2111*K2112</f>
        <v>75990.600000000006</v>
      </c>
      <c r="J2112" s="50">
        <f>I2112/D2111</f>
        <v>259</v>
      </c>
      <c r="K2112" s="50">
        <f>163+96</f>
        <v>259</v>
      </c>
    </row>
    <row r="2113" spans="1:11" ht="15.75" customHeight="1" x14ac:dyDescent="0.25">
      <c r="A2113" s="216">
        <f>A2111+1</f>
        <v>5</v>
      </c>
      <c r="B2113" s="216">
        <v>5406</v>
      </c>
      <c r="C2113" s="218" t="s">
        <v>510</v>
      </c>
      <c r="D2113" s="220">
        <v>380.2</v>
      </c>
      <c r="E2113" s="220" t="s">
        <v>167</v>
      </c>
      <c r="F2113" s="228">
        <v>2</v>
      </c>
      <c r="G2113" s="108"/>
      <c r="H2113" s="57" t="s">
        <v>66</v>
      </c>
      <c r="I2113" s="50">
        <f>SUM(I2114:I2115)</f>
        <v>176412.79999999999</v>
      </c>
      <c r="J2113" s="50">
        <f>SUM(J2114:J2115)</f>
        <v>464</v>
      </c>
      <c r="K2113" s="50">
        <f>SUM(K2114:K2115)</f>
        <v>464</v>
      </c>
    </row>
    <row r="2114" spans="1:11" ht="63" x14ac:dyDescent="0.25">
      <c r="A2114" s="217"/>
      <c r="B2114" s="217"/>
      <c r="C2114" s="219"/>
      <c r="D2114" s="221"/>
      <c r="E2114" s="221"/>
      <c r="F2114" s="229"/>
      <c r="G2114" s="216" t="s">
        <v>75</v>
      </c>
      <c r="H2114" s="66" t="s">
        <v>178</v>
      </c>
      <c r="I2114" s="50">
        <f>D2113*K2114</f>
        <v>98471.8</v>
      </c>
      <c r="J2114" s="50">
        <f>I2114/D2113</f>
        <v>259</v>
      </c>
      <c r="K2114" s="50">
        <f>232+27</f>
        <v>259</v>
      </c>
    </row>
    <row r="2115" spans="1:11" ht="63" x14ac:dyDescent="0.25">
      <c r="A2115" s="222"/>
      <c r="B2115" s="222"/>
      <c r="C2115" s="226"/>
      <c r="D2115" s="227"/>
      <c r="E2115" s="227"/>
      <c r="F2115" s="230"/>
      <c r="G2115" s="222"/>
      <c r="H2115" s="66" t="s">
        <v>504</v>
      </c>
      <c r="I2115" s="50">
        <f>D2113*K2115</f>
        <v>77941</v>
      </c>
      <c r="J2115" s="50">
        <f>I2115/D2113</f>
        <v>205</v>
      </c>
      <c r="K2115" s="50">
        <f>177+28</f>
        <v>205</v>
      </c>
    </row>
    <row r="2116" spans="1:11" ht="15.75" customHeight="1" x14ac:dyDescent="0.25">
      <c r="A2116" s="216">
        <f>A2113+1</f>
        <v>6</v>
      </c>
      <c r="B2116" s="216">
        <v>5590</v>
      </c>
      <c r="C2116" s="218" t="s">
        <v>511</v>
      </c>
      <c r="D2116" s="220">
        <v>542.9</v>
      </c>
      <c r="E2116" s="220" t="s">
        <v>167</v>
      </c>
      <c r="F2116" s="228">
        <v>2</v>
      </c>
      <c r="G2116" s="108"/>
      <c r="H2116" s="57" t="s">
        <v>66</v>
      </c>
      <c r="I2116" s="50">
        <f>SUM(I2117:I2117)</f>
        <v>140611.1</v>
      </c>
      <c r="J2116" s="50">
        <f>SUM(J2117:J2117)</f>
        <v>259</v>
      </c>
      <c r="K2116" s="50">
        <f>SUM(K2117:K2117)</f>
        <v>259</v>
      </c>
    </row>
    <row r="2117" spans="1:11" ht="63" x14ac:dyDescent="0.25">
      <c r="A2117" s="217"/>
      <c r="B2117" s="217"/>
      <c r="C2117" s="219"/>
      <c r="D2117" s="221"/>
      <c r="E2117" s="221"/>
      <c r="F2117" s="229"/>
      <c r="G2117" s="105" t="s">
        <v>65</v>
      </c>
      <c r="H2117" s="66" t="s">
        <v>178</v>
      </c>
      <c r="I2117" s="50">
        <f>D2116*K2117</f>
        <v>140611.1</v>
      </c>
      <c r="J2117" s="50">
        <f>I2117/D2116</f>
        <v>259</v>
      </c>
      <c r="K2117" s="50">
        <f>163+96</f>
        <v>259</v>
      </c>
    </row>
    <row r="2118" spans="1:11" x14ac:dyDescent="0.25">
      <c r="A2118" s="216">
        <f>A2116+1</f>
        <v>7</v>
      </c>
      <c r="B2118" s="216">
        <v>5397</v>
      </c>
      <c r="C2118" s="218" t="s">
        <v>590</v>
      </c>
      <c r="D2118" s="220">
        <v>524.29999999999995</v>
      </c>
      <c r="E2118" s="220" t="s">
        <v>167</v>
      </c>
      <c r="F2118" s="228">
        <v>2</v>
      </c>
      <c r="G2118" s="216" t="s">
        <v>65</v>
      </c>
      <c r="H2118" s="57" t="s">
        <v>66</v>
      </c>
      <c r="I2118" s="50">
        <f>I2119+I2120</f>
        <v>2757088.32</v>
      </c>
      <c r="J2118" s="50">
        <f>J2119+J2120</f>
        <v>5258.61</v>
      </c>
      <c r="K2118" s="50">
        <f>K2119+K2120</f>
        <v>8203</v>
      </c>
    </row>
    <row r="2119" spans="1:11" x14ac:dyDescent="0.25">
      <c r="A2119" s="217"/>
      <c r="B2119" s="217"/>
      <c r="C2119" s="219"/>
      <c r="D2119" s="221"/>
      <c r="E2119" s="221"/>
      <c r="F2119" s="229"/>
      <c r="G2119" s="217"/>
      <c r="H2119" s="57" t="s">
        <v>67</v>
      </c>
      <c r="I2119" s="50">
        <v>2699322.81</v>
      </c>
      <c r="J2119" s="50">
        <f>I2119/D2118</f>
        <v>5148.43</v>
      </c>
      <c r="K2119" s="50">
        <v>8031</v>
      </c>
    </row>
    <row r="2120" spans="1:11" x14ac:dyDescent="0.25">
      <c r="A2120" s="217"/>
      <c r="B2120" s="217"/>
      <c r="C2120" s="219"/>
      <c r="D2120" s="221"/>
      <c r="E2120" s="221"/>
      <c r="F2120" s="229"/>
      <c r="G2120" s="222"/>
      <c r="H2120" s="57" t="s">
        <v>69</v>
      </c>
      <c r="I2120" s="50">
        <f>I2119*0.0214</f>
        <v>57765.51</v>
      </c>
      <c r="J2120" s="50">
        <f>I2120/D2118</f>
        <v>110.18</v>
      </c>
      <c r="K2120" s="50">
        <v>172</v>
      </c>
    </row>
    <row r="2121" spans="1:11" ht="15.75" customHeight="1" x14ac:dyDescent="0.25">
      <c r="A2121" s="216">
        <f>A2118+1</f>
        <v>8</v>
      </c>
      <c r="B2121" s="216">
        <v>5608</v>
      </c>
      <c r="C2121" s="218" t="s">
        <v>542</v>
      </c>
      <c r="D2121" s="220">
        <v>689.9</v>
      </c>
      <c r="E2121" s="220" t="s">
        <v>68</v>
      </c>
      <c r="F2121" s="228">
        <v>2</v>
      </c>
      <c r="G2121" s="108"/>
      <c r="H2121" s="57" t="s">
        <v>66</v>
      </c>
      <c r="I2121" s="50">
        <f>SUM(I2122:I2122)</f>
        <v>172475</v>
      </c>
      <c r="J2121" s="50">
        <f>SUM(J2122:J2122)</f>
        <v>250</v>
      </c>
      <c r="K2121" s="50">
        <f>SUM(K2122:K2122)</f>
        <v>250</v>
      </c>
    </row>
    <row r="2122" spans="1:11" ht="63" x14ac:dyDescent="0.25">
      <c r="A2122" s="217"/>
      <c r="B2122" s="217"/>
      <c r="C2122" s="219"/>
      <c r="D2122" s="221"/>
      <c r="E2122" s="221"/>
      <c r="F2122" s="229"/>
      <c r="G2122" s="102" t="s">
        <v>65</v>
      </c>
      <c r="H2122" s="66" t="s">
        <v>178</v>
      </c>
      <c r="I2122" s="50">
        <f>D2121*K2122</f>
        <v>172475</v>
      </c>
      <c r="J2122" s="50">
        <f>I2122/D2121</f>
        <v>250</v>
      </c>
      <c r="K2122" s="50">
        <f>154+96</f>
        <v>250</v>
      </c>
    </row>
    <row r="2123" spans="1:11" x14ac:dyDescent="0.25">
      <c r="A2123" s="216">
        <f>A2121+1</f>
        <v>9</v>
      </c>
      <c r="B2123" s="216">
        <v>5623</v>
      </c>
      <c r="C2123" s="218" t="s">
        <v>512</v>
      </c>
      <c r="D2123" s="220">
        <v>705.5</v>
      </c>
      <c r="E2123" s="220" t="s">
        <v>167</v>
      </c>
      <c r="F2123" s="228">
        <v>2</v>
      </c>
      <c r="G2123" s="108"/>
      <c r="H2123" s="57" t="s">
        <v>66</v>
      </c>
      <c r="I2123" s="50">
        <f>SUM(I2124:I2125)</f>
        <v>3009285.75</v>
      </c>
      <c r="J2123" s="50">
        <f>SUM(J2124:J2125)</f>
        <v>4265.47</v>
      </c>
      <c r="K2123" s="50">
        <f>SUM(K2124:K2125)</f>
        <v>6299</v>
      </c>
    </row>
    <row r="2124" spans="1:11" x14ac:dyDescent="0.25">
      <c r="A2124" s="217"/>
      <c r="B2124" s="217"/>
      <c r="C2124" s="219"/>
      <c r="D2124" s="221"/>
      <c r="E2124" s="221"/>
      <c r="F2124" s="229"/>
      <c r="G2124" s="216" t="s">
        <v>478</v>
      </c>
      <c r="H2124" s="66" t="s">
        <v>67</v>
      </c>
      <c r="I2124" s="50">
        <v>2946236.29</v>
      </c>
      <c r="J2124" s="50">
        <f>I2124/D2123</f>
        <v>4176.1000000000004</v>
      </c>
      <c r="K2124" s="50">
        <v>6167</v>
      </c>
    </row>
    <row r="2125" spans="1:11" x14ac:dyDescent="0.25">
      <c r="A2125" s="222"/>
      <c r="B2125" s="222"/>
      <c r="C2125" s="226"/>
      <c r="D2125" s="227"/>
      <c r="E2125" s="227"/>
      <c r="F2125" s="230"/>
      <c r="G2125" s="222"/>
      <c r="H2125" s="66" t="s">
        <v>69</v>
      </c>
      <c r="I2125" s="50">
        <v>63049.46</v>
      </c>
      <c r="J2125" s="50">
        <f>I2125/D2123</f>
        <v>89.37</v>
      </c>
      <c r="K2125" s="50">
        <v>132</v>
      </c>
    </row>
    <row r="2126" spans="1:11" ht="15.75" customHeight="1" x14ac:dyDescent="0.25">
      <c r="A2126" s="216">
        <f>A2123+1</f>
        <v>10</v>
      </c>
      <c r="B2126" s="216">
        <v>5627</v>
      </c>
      <c r="C2126" s="218" t="s">
        <v>537</v>
      </c>
      <c r="D2126" s="220">
        <v>695.7</v>
      </c>
      <c r="E2126" s="220" t="s">
        <v>167</v>
      </c>
      <c r="F2126" s="228">
        <v>2</v>
      </c>
      <c r="G2126" s="108"/>
      <c r="H2126" s="57" t="s">
        <v>66</v>
      </c>
      <c r="I2126" s="50">
        <f>SUM(I2127:I2127)</f>
        <v>180186.3</v>
      </c>
      <c r="J2126" s="50">
        <f>SUM(J2127:J2127)</f>
        <v>259</v>
      </c>
      <c r="K2126" s="50">
        <f>SUM(K2127:K2127)</f>
        <v>259</v>
      </c>
    </row>
    <row r="2127" spans="1:11" ht="63" x14ac:dyDescent="0.25">
      <c r="A2127" s="217"/>
      <c r="B2127" s="217"/>
      <c r="C2127" s="219"/>
      <c r="D2127" s="221"/>
      <c r="E2127" s="221"/>
      <c r="F2127" s="229"/>
      <c r="G2127" s="102" t="s">
        <v>65</v>
      </c>
      <c r="H2127" s="67" t="s">
        <v>178</v>
      </c>
      <c r="I2127" s="60">
        <f>D2126*K2127</f>
        <v>180186.3</v>
      </c>
      <c r="J2127" s="60">
        <f>I2127/D2126</f>
        <v>259</v>
      </c>
      <c r="K2127" s="60">
        <f>163+96</f>
        <v>259</v>
      </c>
    </row>
    <row r="2128" spans="1:11" x14ac:dyDescent="0.25">
      <c r="A2128" s="216">
        <f>A2126+1</f>
        <v>11</v>
      </c>
      <c r="B2128" s="216">
        <v>5468</v>
      </c>
      <c r="C2128" s="218" t="s">
        <v>424</v>
      </c>
      <c r="D2128" s="220">
        <v>404</v>
      </c>
      <c r="E2128" s="220" t="s">
        <v>167</v>
      </c>
      <c r="F2128" s="228">
        <v>2</v>
      </c>
      <c r="G2128" s="216" t="s">
        <v>75</v>
      </c>
      <c r="H2128" s="57" t="s">
        <v>66</v>
      </c>
      <c r="I2128" s="50">
        <f>I2129+I2130+I2131+I2132</f>
        <v>2195333.0299999998</v>
      </c>
      <c r="J2128" s="50">
        <f>J2129+J2130+J2131+J2132</f>
        <v>5433.99</v>
      </c>
      <c r="K2128" s="50">
        <f>K2129+K2130+K2131+K2132</f>
        <v>10447</v>
      </c>
    </row>
    <row r="2129" spans="1:11" x14ac:dyDescent="0.25">
      <c r="A2129" s="217"/>
      <c r="B2129" s="217"/>
      <c r="C2129" s="219"/>
      <c r="D2129" s="221"/>
      <c r="E2129" s="221"/>
      <c r="F2129" s="229"/>
      <c r="G2129" s="217"/>
      <c r="H2129" s="57" t="s">
        <v>67</v>
      </c>
      <c r="I2129" s="50">
        <v>793636</v>
      </c>
      <c r="J2129" s="50">
        <f>I2129/D2128-0.01</f>
        <v>1964.44</v>
      </c>
      <c r="K2129" s="50">
        <v>5807</v>
      </c>
    </row>
    <row r="2130" spans="1:11" x14ac:dyDescent="0.25">
      <c r="A2130" s="217"/>
      <c r="B2130" s="217"/>
      <c r="C2130" s="219"/>
      <c r="D2130" s="221"/>
      <c r="E2130" s="221"/>
      <c r="F2130" s="229"/>
      <c r="G2130" s="217"/>
      <c r="H2130" s="57" t="s">
        <v>69</v>
      </c>
      <c r="I2130" s="50">
        <f>D2128*K2130</f>
        <v>50096</v>
      </c>
      <c r="J2130" s="50">
        <f>I2130/D2128</f>
        <v>124</v>
      </c>
      <c r="K2130" s="50">
        <v>124</v>
      </c>
    </row>
    <row r="2131" spans="1:11" x14ac:dyDescent="0.25">
      <c r="A2131" s="217"/>
      <c r="B2131" s="217"/>
      <c r="C2131" s="219"/>
      <c r="D2131" s="221"/>
      <c r="E2131" s="221"/>
      <c r="F2131" s="229"/>
      <c r="G2131" s="217"/>
      <c r="H2131" s="57" t="s">
        <v>179</v>
      </c>
      <c r="I2131" s="50">
        <v>1313221.03</v>
      </c>
      <c r="J2131" s="50">
        <f>I2131/D2128</f>
        <v>3250.55</v>
      </c>
      <c r="K2131" s="50">
        <v>4421</v>
      </c>
    </row>
    <row r="2132" spans="1:11" x14ac:dyDescent="0.25">
      <c r="A2132" s="222"/>
      <c r="B2132" s="222"/>
      <c r="C2132" s="226"/>
      <c r="D2132" s="227"/>
      <c r="E2132" s="227"/>
      <c r="F2132" s="230"/>
      <c r="G2132" s="222"/>
      <c r="H2132" s="57" t="s">
        <v>69</v>
      </c>
      <c r="I2132" s="50">
        <f>D2128*K2132</f>
        <v>38380</v>
      </c>
      <c r="J2132" s="50">
        <f>I2132/D2128</f>
        <v>95</v>
      </c>
      <c r="K2132" s="50">
        <v>95</v>
      </c>
    </row>
    <row r="2133" spans="1:11" x14ac:dyDescent="0.25">
      <c r="A2133" s="216">
        <f>A2128+1</f>
        <v>12</v>
      </c>
      <c r="B2133" s="216">
        <v>5469</v>
      </c>
      <c r="C2133" s="218" t="s">
        <v>425</v>
      </c>
      <c r="D2133" s="220">
        <v>327.9</v>
      </c>
      <c r="E2133" s="220" t="s">
        <v>167</v>
      </c>
      <c r="F2133" s="228">
        <v>2</v>
      </c>
      <c r="G2133" s="216" t="s">
        <v>478</v>
      </c>
      <c r="H2133" s="57" t="s">
        <v>66</v>
      </c>
      <c r="I2133" s="50">
        <f>I2134+I2135</f>
        <v>1807361.29</v>
      </c>
      <c r="J2133" s="50">
        <f>J2134+J2135</f>
        <v>5511.93</v>
      </c>
      <c r="K2133" s="50">
        <f>K2134+K2135</f>
        <v>6299</v>
      </c>
    </row>
    <row r="2134" spans="1:11" x14ac:dyDescent="0.25">
      <c r="A2134" s="217"/>
      <c r="B2134" s="217"/>
      <c r="C2134" s="219"/>
      <c r="D2134" s="221"/>
      <c r="E2134" s="221"/>
      <c r="F2134" s="229"/>
      <c r="G2134" s="217"/>
      <c r="H2134" s="57" t="s">
        <v>67</v>
      </c>
      <c r="I2134" s="50">
        <v>1769494.12</v>
      </c>
      <c r="J2134" s="50">
        <f>I2134/D2133+0.01</f>
        <v>5396.45</v>
      </c>
      <c r="K2134" s="50">
        <v>6167</v>
      </c>
    </row>
    <row r="2135" spans="1:11" x14ac:dyDescent="0.25">
      <c r="A2135" s="217"/>
      <c r="B2135" s="217"/>
      <c r="C2135" s="219"/>
      <c r="D2135" s="221"/>
      <c r="E2135" s="221"/>
      <c r="F2135" s="229"/>
      <c r="G2135" s="222"/>
      <c r="H2135" s="57" t="s">
        <v>69</v>
      </c>
      <c r="I2135" s="50">
        <f>I2134*0.0214</f>
        <v>37867.17</v>
      </c>
      <c r="J2135" s="50">
        <f>I2135/D2133</f>
        <v>115.48</v>
      </c>
      <c r="K2135" s="50">
        <v>132</v>
      </c>
    </row>
    <row r="2136" spans="1:11" x14ac:dyDescent="0.25">
      <c r="A2136" s="216">
        <f>A2133+1</f>
        <v>13</v>
      </c>
      <c r="B2136" s="216">
        <v>5470</v>
      </c>
      <c r="C2136" s="218" t="s">
        <v>426</v>
      </c>
      <c r="D2136" s="220">
        <v>321.39999999999998</v>
      </c>
      <c r="E2136" s="220" t="s">
        <v>167</v>
      </c>
      <c r="F2136" s="228">
        <v>2</v>
      </c>
      <c r="G2136" s="216" t="s">
        <v>65</v>
      </c>
      <c r="H2136" s="57" t="s">
        <v>66</v>
      </c>
      <c r="I2136" s="50">
        <f>I2137+I2138</f>
        <v>2147973.91</v>
      </c>
      <c r="J2136" s="50">
        <f>J2137+J2138</f>
        <v>6683.18</v>
      </c>
      <c r="K2136" s="50">
        <f>K2137+K2138</f>
        <v>8203</v>
      </c>
    </row>
    <row r="2137" spans="1:11" x14ac:dyDescent="0.25">
      <c r="A2137" s="217"/>
      <c r="B2137" s="217"/>
      <c r="C2137" s="219"/>
      <c r="D2137" s="221"/>
      <c r="E2137" s="221"/>
      <c r="F2137" s="229"/>
      <c r="G2137" s="217"/>
      <c r="H2137" s="57" t="s">
        <v>67</v>
      </c>
      <c r="I2137" s="50">
        <v>2092693.11</v>
      </c>
      <c r="J2137" s="50">
        <f>I2137/D2136</f>
        <v>6511.18</v>
      </c>
      <c r="K2137" s="50">
        <v>8031</v>
      </c>
    </row>
    <row r="2138" spans="1:11" x14ac:dyDescent="0.25">
      <c r="A2138" s="217"/>
      <c r="B2138" s="217"/>
      <c r="C2138" s="219"/>
      <c r="D2138" s="221"/>
      <c r="E2138" s="221"/>
      <c r="F2138" s="229"/>
      <c r="G2138" s="222"/>
      <c r="H2138" s="57" t="s">
        <v>69</v>
      </c>
      <c r="I2138" s="50">
        <f>D2136*K2138</f>
        <v>55280.800000000003</v>
      </c>
      <c r="J2138" s="50">
        <f>I2138/D2136</f>
        <v>172</v>
      </c>
      <c r="K2138" s="50">
        <v>172</v>
      </c>
    </row>
    <row r="2139" spans="1:11" x14ac:dyDescent="0.25">
      <c r="A2139" s="216">
        <f>A2136+1</f>
        <v>14</v>
      </c>
      <c r="B2139" s="216">
        <v>5473</v>
      </c>
      <c r="C2139" s="218" t="s">
        <v>427</v>
      </c>
      <c r="D2139" s="220">
        <v>403.1</v>
      </c>
      <c r="E2139" s="220" t="s">
        <v>167</v>
      </c>
      <c r="F2139" s="228">
        <v>2</v>
      </c>
      <c r="G2139" s="216" t="s">
        <v>65</v>
      </c>
      <c r="H2139" s="57" t="s">
        <v>66</v>
      </c>
      <c r="I2139" s="50">
        <f>I2140+I2141</f>
        <v>2277941.2799999998</v>
      </c>
      <c r="J2139" s="50">
        <f>J2140+J2141</f>
        <v>5651.06</v>
      </c>
      <c r="K2139" s="50">
        <f>K2140+K2141</f>
        <v>8203</v>
      </c>
    </row>
    <row r="2140" spans="1:11" x14ac:dyDescent="0.25">
      <c r="A2140" s="217"/>
      <c r="B2140" s="217"/>
      <c r="C2140" s="219"/>
      <c r="D2140" s="221"/>
      <c r="E2140" s="221"/>
      <c r="F2140" s="229"/>
      <c r="G2140" s="217"/>
      <c r="H2140" s="57" t="s">
        <v>67</v>
      </c>
      <c r="I2140" s="50">
        <v>2208608.08</v>
      </c>
      <c r="J2140" s="50">
        <f>I2140/D2139</f>
        <v>5479.06</v>
      </c>
      <c r="K2140" s="50">
        <v>8031</v>
      </c>
    </row>
    <row r="2141" spans="1:11" x14ac:dyDescent="0.25">
      <c r="A2141" s="222"/>
      <c r="B2141" s="222"/>
      <c r="C2141" s="226"/>
      <c r="D2141" s="227"/>
      <c r="E2141" s="227"/>
      <c r="F2141" s="230"/>
      <c r="G2141" s="222"/>
      <c r="H2141" s="57" t="s">
        <v>69</v>
      </c>
      <c r="I2141" s="50">
        <f>D2139*K2141</f>
        <v>69333.2</v>
      </c>
      <c r="J2141" s="50">
        <f>I2141/D2139</f>
        <v>172</v>
      </c>
      <c r="K2141" s="50">
        <v>172</v>
      </c>
    </row>
    <row r="2142" spans="1:11" x14ac:dyDescent="0.25">
      <c r="A2142" s="216">
        <f>A2139+1</f>
        <v>15</v>
      </c>
      <c r="B2142" s="216">
        <v>5491</v>
      </c>
      <c r="C2142" s="218" t="s">
        <v>521</v>
      </c>
      <c r="D2142" s="220">
        <v>639.5</v>
      </c>
      <c r="E2142" s="220" t="s">
        <v>68</v>
      </c>
      <c r="F2142" s="228">
        <v>2</v>
      </c>
      <c r="G2142" s="216" t="s">
        <v>65</v>
      </c>
      <c r="H2142" s="57" t="s">
        <v>66</v>
      </c>
      <c r="I2142" s="50">
        <f>I2143+I2144</f>
        <v>4106953.07</v>
      </c>
      <c r="J2142" s="50">
        <f>J2143+J2144</f>
        <v>6422.13</v>
      </c>
      <c r="K2142" s="50">
        <f>K2143+K2144</f>
        <v>8203</v>
      </c>
    </row>
    <row r="2143" spans="1:11" x14ac:dyDescent="0.25">
      <c r="A2143" s="217"/>
      <c r="B2143" s="217"/>
      <c r="C2143" s="219"/>
      <c r="D2143" s="221"/>
      <c r="E2143" s="221"/>
      <c r="F2143" s="229"/>
      <c r="G2143" s="217"/>
      <c r="H2143" s="66" t="s">
        <v>67</v>
      </c>
      <c r="I2143" s="50">
        <v>3996959.07</v>
      </c>
      <c r="J2143" s="50">
        <f>I2143/D2142</f>
        <v>6250.13</v>
      </c>
      <c r="K2143" s="50">
        <v>8031</v>
      </c>
    </row>
    <row r="2144" spans="1:11" x14ac:dyDescent="0.25">
      <c r="A2144" s="222"/>
      <c r="B2144" s="222"/>
      <c r="C2144" s="226"/>
      <c r="D2144" s="227"/>
      <c r="E2144" s="227"/>
      <c r="F2144" s="230"/>
      <c r="G2144" s="222"/>
      <c r="H2144" s="66" t="s">
        <v>69</v>
      </c>
      <c r="I2144" s="50">
        <f>D2142*K2144</f>
        <v>109994</v>
      </c>
      <c r="J2144" s="50">
        <f>I2144/D2142</f>
        <v>172</v>
      </c>
      <c r="K2144" s="50">
        <v>172</v>
      </c>
    </row>
    <row r="2145" spans="1:11" x14ac:dyDescent="0.25">
      <c r="A2145" s="215">
        <f>A2142+1</f>
        <v>16</v>
      </c>
      <c r="B2145" s="215">
        <v>5493</v>
      </c>
      <c r="C2145" s="223" t="s">
        <v>428</v>
      </c>
      <c r="D2145" s="224">
        <v>1503.6</v>
      </c>
      <c r="E2145" s="220" t="s">
        <v>68</v>
      </c>
      <c r="F2145" s="228">
        <v>3</v>
      </c>
      <c r="G2145" s="216" t="s">
        <v>65</v>
      </c>
      <c r="H2145" s="57" t="s">
        <v>66</v>
      </c>
      <c r="I2145" s="50">
        <f>I2146+I2147</f>
        <v>7064643.1399999997</v>
      </c>
      <c r="J2145" s="50">
        <f>J2146+J2147</f>
        <v>4698.49</v>
      </c>
      <c r="K2145" s="50">
        <f>K2146+K2147</f>
        <v>5826</v>
      </c>
    </row>
    <row r="2146" spans="1:11" x14ac:dyDescent="0.25">
      <c r="A2146" s="215"/>
      <c r="B2146" s="215"/>
      <c r="C2146" s="223"/>
      <c r="D2146" s="224"/>
      <c r="E2146" s="221"/>
      <c r="F2146" s="229"/>
      <c r="G2146" s="217"/>
      <c r="H2146" s="57" t="s">
        <v>67</v>
      </c>
      <c r="I2146" s="50">
        <v>6881203.9400000004</v>
      </c>
      <c r="J2146" s="50">
        <f>I2146/D2145</f>
        <v>4576.49</v>
      </c>
      <c r="K2146" s="50">
        <v>5704</v>
      </c>
    </row>
    <row r="2147" spans="1:11" x14ac:dyDescent="0.25">
      <c r="A2147" s="215"/>
      <c r="B2147" s="215"/>
      <c r="C2147" s="223"/>
      <c r="D2147" s="224"/>
      <c r="E2147" s="221"/>
      <c r="F2147" s="229"/>
      <c r="G2147" s="222"/>
      <c r="H2147" s="57" t="s">
        <v>69</v>
      </c>
      <c r="I2147" s="50">
        <f>D2145*K2147</f>
        <v>183439.2</v>
      </c>
      <c r="J2147" s="50">
        <f>I2147/D2145</f>
        <v>122</v>
      </c>
      <c r="K2147" s="50">
        <v>122</v>
      </c>
    </row>
    <row r="2148" spans="1:11" x14ac:dyDescent="0.25">
      <c r="A2148" s="216">
        <f>A2145+1</f>
        <v>17</v>
      </c>
      <c r="B2148" s="216">
        <v>5494</v>
      </c>
      <c r="C2148" s="218" t="s">
        <v>516</v>
      </c>
      <c r="D2148" s="220">
        <v>1504.3</v>
      </c>
      <c r="E2148" s="220" t="s">
        <v>68</v>
      </c>
      <c r="F2148" s="228">
        <v>3</v>
      </c>
      <c r="G2148" s="216" t="s">
        <v>65</v>
      </c>
      <c r="H2148" s="57" t="s">
        <v>66</v>
      </c>
      <c r="I2148" s="50">
        <f>SUM(I2149:I2150)</f>
        <v>6958263.9699999997</v>
      </c>
      <c r="J2148" s="50">
        <f>SUM(J2149:J2150)</f>
        <v>4625.58</v>
      </c>
      <c r="K2148" s="50">
        <f>SUM(K2149:K2150)</f>
        <v>5826</v>
      </c>
    </row>
    <row r="2149" spans="1:11" x14ac:dyDescent="0.25">
      <c r="A2149" s="217"/>
      <c r="B2149" s="217"/>
      <c r="C2149" s="219"/>
      <c r="D2149" s="221"/>
      <c r="E2149" s="221"/>
      <c r="F2149" s="229"/>
      <c r="G2149" s="217"/>
      <c r="H2149" s="66" t="s">
        <v>67</v>
      </c>
      <c r="I2149" s="50">
        <v>6774739.3700000001</v>
      </c>
      <c r="J2149" s="50">
        <f>I2149/D2148</f>
        <v>4503.58</v>
      </c>
      <c r="K2149" s="50">
        <v>5704</v>
      </c>
    </row>
    <row r="2150" spans="1:11" x14ac:dyDescent="0.25">
      <c r="A2150" s="217"/>
      <c r="B2150" s="217"/>
      <c r="C2150" s="219"/>
      <c r="D2150" s="221"/>
      <c r="E2150" s="221"/>
      <c r="F2150" s="229"/>
      <c r="G2150" s="222"/>
      <c r="H2150" s="66" t="s">
        <v>69</v>
      </c>
      <c r="I2150" s="50">
        <f>D2148*K2150</f>
        <v>183524.6</v>
      </c>
      <c r="J2150" s="50">
        <f>I2150/D2148</f>
        <v>122</v>
      </c>
      <c r="K2150" s="50">
        <v>122</v>
      </c>
    </row>
    <row r="2151" spans="1:11" x14ac:dyDescent="0.25">
      <c r="A2151" s="216">
        <f>A2148+1</f>
        <v>18</v>
      </c>
      <c r="B2151" s="216">
        <v>5495</v>
      </c>
      <c r="C2151" s="218" t="s">
        <v>543</v>
      </c>
      <c r="D2151" s="220">
        <v>1511.2</v>
      </c>
      <c r="E2151" s="220" t="s">
        <v>68</v>
      </c>
      <c r="F2151" s="228">
        <v>3</v>
      </c>
      <c r="G2151" s="216" t="s">
        <v>65</v>
      </c>
      <c r="H2151" s="57" t="s">
        <v>66</v>
      </c>
      <c r="I2151" s="50">
        <f>SUM(I2152:I2152)</f>
        <v>365710.4</v>
      </c>
      <c r="J2151" s="50">
        <f>SUM(J2152:J2152)</f>
        <v>242</v>
      </c>
      <c r="K2151" s="50">
        <f>SUM(K2152:K2152)</f>
        <v>242</v>
      </c>
    </row>
    <row r="2152" spans="1:11" ht="31.5" customHeight="1" x14ac:dyDescent="0.25">
      <c r="A2152" s="217"/>
      <c r="B2152" s="217"/>
      <c r="C2152" s="219"/>
      <c r="D2152" s="221"/>
      <c r="E2152" s="221"/>
      <c r="F2152" s="229"/>
      <c r="G2152" s="217"/>
      <c r="H2152" s="66" t="s">
        <v>168</v>
      </c>
      <c r="I2152" s="50">
        <f>D2151*K2152</f>
        <v>365710.4</v>
      </c>
      <c r="J2152" s="50">
        <f>I2152/D2151</f>
        <v>242</v>
      </c>
      <c r="K2152" s="50">
        <f>154+88</f>
        <v>242</v>
      </c>
    </row>
    <row r="2153" spans="1:11" ht="15.75" customHeight="1" x14ac:dyDescent="0.25">
      <c r="A2153" s="216">
        <f>A2151+1</f>
        <v>19</v>
      </c>
      <c r="B2153" s="216">
        <v>5474</v>
      </c>
      <c r="C2153" s="218" t="s">
        <v>517</v>
      </c>
      <c r="D2153" s="220">
        <v>751.5</v>
      </c>
      <c r="E2153" s="220" t="s">
        <v>68</v>
      </c>
      <c r="F2153" s="228">
        <v>2</v>
      </c>
      <c r="G2153" s="108"/>
      <c r="H2153" s="57" t="s">
        <v>66</v>
      </c>
      <c r="I2153" s="50">
        <f>SUM(I2154:I2154)</f>
        <v>187875</v>
      </c>
      <c r="J2153" s="50">
        <f>SUM(J2154:J2154)</f>
        <v>250</v>
      </c>
      <c r="K2153" s="50">
        <f>SUM(K2154:K2154)</f>
        <v>250</v>
      </c>
    </row>
    <row r="2154" spans="1:11" ht="63" x14ac:dyDescent="0.25">
      <c r="A2154" s="217"/>
      <c r="B2154" s="217"/>
      <c r="C2154" s="219"/>
      <c r="D2154" s="221"/>
      <c r="E2154" s="221"/>
      <c r="F2154" s="229"/>
      <c r="G2154" s="105" t="s">
        <v>65</v>
      </c>
      <c r="H2154" s="66" t="s">
        <v>178</v>
      </c>
      <c r="I2154" s="50">
        <f>D2153*K2154</f>
        <v>187875</v>
      </c>
      <c r="J2154" s="50">
        <f>I2154/D2153</f>
        <v>250</v>
      </c>
      <c r="K2154" s="50">
        <f>154+96</f>
        <v>250</v>
      </c>
    </row>
    <row r="2155" spans="1:11" x14ac:dyDescent="0.25">
      <c r="A2155" s="216">
        <f>A2153+1</f>
        <v>20</v>
      </c>
      <c r="B2155" s="216">
        <v>5482</v>
      </c>
      <c r="C2155" s="218" t="s">
        <v>429</v>
      </c>
      <c r="D2155" s="220">
        <v>323.60000000000002</v>
      </c>
      <c r="E2155" s="220" t="s">
        <v>167</v>
      </c>
      <c r="F2155" s="228">
        <v>2</v>
      </c>
      <c r="G2155" s="216" t="s">
        <v>65</v>
      </c>
      <c r="H2155" s="57" t="s">
        <v>66</v>
      </c>
      <c r="I2155" s="50">
        <f>I2156+I2157</f>
        <v>2038228.13</v>
      </c>
      <c r="J2155" s="50">
        <f>J2156+J2157</f>
        <v>6298.6</v>
      </c>
      <c r="K2155" s="50">
        <f>K2156+K2157</f>
        <v>8203</v>
      </c>
    </row>
    <row r="2156" spans="1:11" x14ac:dyDescent="0.25">
      <c r="A2156" s="217"/>
      <c r="B2156" s="217"/>
      <c r="C2156" s="219"/>
      <c r="D2156" s="221"/>
      <c r="E2156" s="221"/>
      <c r="F2156" s="229"/>
      <c r="G2156" s="217"/>
      <c r="H2156" s="57" t="s">
        <v>67</v>
      </c>
      <c r="I2156" s="50">
        <v>1995523.92</v>
      </c>
      <c r="J2156" s="50">
        <f>I2156/D2155-0.01</f>
        <v>6166.63</v>
      </c>
      <c r="K2156" s="50">
        <v>8031</v>
      </c>
    </row>
    <row r="2157" spans="1:11" x14ac:dyDescent="0.25">
      <c r="A2157" s="217"/>
      <c r="B2157" s="217"/>
      <c r="C2157" s="219"/>
      <c r="D2157" s="221"/>
      <c r="E2157" s="221"/>
      <c r="F2157" s="229"/>
      <c r="G2157" s="222"/>
      <c r="H2157" s="57" t="s">
        <v>69</v>
      </c>
      <c r="I2157" s="50">
        <v>42704.21</v>
      </c>
      <c r="J2157" s="50">
        <f>I2157/D2155</f>
        <v>131.97</v>
      </c>
      <c r="K2157" s="50">
        <v>172</v>
      </c>
    </row>
    <row r="2158" spans="1:11" ht="15.75" customHeight="1" x14ac:dyDescent="0.25">
      <c r="A2158" s="216">
        <f>A2155+1</f>
        <v>21</v>
      </c>
      <c r="B2158" s="216">
        <v>5483</v>
      </c>
      <c r="C2158" s="218" t="s">
        <v>518</v>
      </c>
      <c r="D2158" s="220">
        <v>323</v>
      </c>
      <c r="E2158" s="220" t="s">
        <v>167</v>
      </c>
      <c r="F2158" s="228">
        <v>2</v>
      </c>
      <c r="G2158" s="108"/>
      <c r="H2158" s="57" t="s">
        <v>66</v>
      </c>
      <c r="I2158" s="50">
        <f>SUM(I2159:I2159)</f>
        <v>83657</v>
      </c>
      <c r="J2158" s="50">
        <f>SUM(J2159:J2159)</f>
        <v>259</v>
      </c>
      <c r="K2158" s="50">
        <f>SUM(K2159:K2159)</f>
        <v>259</v>
      </c>
    </row>
    <row r="2159" spans="1:11" ht="63" x14ac:dyDescent="0.25">
      <c r="A2159" s="217"/>
      <c r="B2159" s="217"/>
      <c r="C2159" s="219"/>
      <c r="D2159" s="221"/>
      <c r="E2159" s="221"/>
      <c r="F2159" s="229"/>
      <c r="G2159" s="105" t="s">
        <v>65</v>
      </c>
      <c r="H2159" s="66" t="s">
        <v>178</v>
      </c>
      <c r="I2159" s="50">
        <f>D2158*K2159</f>
        <v>83657</v>
      </c>
      <c r="J2159" s="50">
        <f>I2159/D2158</f>
        <v>259</v>
      </c>
      <c r="K2159" s="50">
        <f>163+96</f>
        <v>259</v>
      </c>
    </row>
    <row r="2160" spans="1:11" x14ac:dyDescent="0.25">
      <c r="A2160" s="216">
        <f>A2158+1</f>
        <v>22</v>
      </c>
      <c r="B2160" s="216">
        <v>5485</v>
      </c>
      <c r="C2160" s="218" t="s">
        <v>519</v>
      </c>
      <c r="D2160" s="220">
        <v>394.2</v>
      </c>
      <c r="E2160" s="220" t="s">
        <v>167</v>
      </c>
      <c r="F2160" s="228">
        <v>2</v>
      </c>
      <c r="G2160" s="108"/>
      <c r="H2160" s="57" t="s">
        <v>66</v>
      </c>
      <c r="I2160" s="50">
        <f>SUM(I2161:I2162)</f>
        <v>248740.2</v>
      </c>
      <c r="J2160" s="50">
        <f>SUM(J2161:J2162)</f>
        <v>631</v>
      </c>
      <c r="K2160" s="50">
        <f>SUM(K2161:K2162)</f>
        <v>631</v>
      </c>
    </row>
    <row r="2161" spans="1:11" x14ac:dyDescent="0.25">
      <c r="A2161" s="217"/>
      <c r="B2161" s="217"/>
      <c r="C2161" s="219"/>
      <c r="D2161" s="221"/>
      <c r="E2161" s="221"/>
      <c r="F2161" s="229"/>
      <c r="G2161" s="216" t="s">
        <v>71</v>
      </c>
      <c r="H2161" s="66" t="s">
        <v>67</v>
      </c>
      <c r="I2161" s="50">
        <f>D2160*K2161</f>
        <v>243615.6</v>
      </c>
      <c r="J2161" s="50">
        <f>I2161/D2160</f>
        <v>618</v>
      </c>
      <c r="K2161" s="50">
        <v>618</v>
      </c>
    </row>
    <row r="2162" spans="1:11" x14ac:dyDescent="0.25">
      <c r="A2162" s="222"/>
      <c r="B2162" s="222"/>
      <c r="C2162" s="226"/>
      <c r="D2162" s="227"/>
      <c r="E2162" s="227"/>
      <c r="F2162" s="230"/>
      <c r="G2162" s="222"/>
      <c r="H2162" s="66" t="s">
        <v>69</v>
      </c>
      <c r="I2162" s="50">
        <f>D2160*K2162</f>
        <v>5124.6000000000004</v>
      </c>
      <c r="J2162" s="50">
        <f>I2162/D2160</f>
        <v>13</v>
      </c>
      <c r="K2162" s="50">
        <v>13</v>
      </c>
    </row>
    <row r="2163" spans="1:11" x14ac:dyDescent="0.25">
      <c r="A2163" s="216">
        <f>A2160+1</f>
        <v>23</v>
      </c>
      <c r="B2163" s="216">
        <v>5486</v>
      </c>
      <c r="C2163" s="218" t="s">
        <v>520</v>
      </c>
      <c r="D2163" s="220">
        <v>398.4</v>
      </c>
      <c r="E2163" s="220" t="s">
        <v>167</v>
      </c>
      <c r="F2163" s="228">
        <v>2</v>
      </c>
      <c r="G2163" s="108"/>
      <c r="H2163" s="57" t="s">
        <v>66</v>
      </c>
      <c r="I2163" s="50">
        <f>SUM(I2164:I2165)</f>
        <v>251390.4</v>
      </c>
      <c r="J2163" s="50">
        <f>SUM(J2164:J2165)</f>
        <v>631</v>
      </c>
      <c r="K2163" s="50">
        <f>SUM(K2164:K2165)</f>
        <v>631</v>
      </c>
    </row>
    <row r="2164" spans="1:11" x14ac:dyDescent="0.25">
      <c r="A2164" s="217"/>
      <c r="B2164" s="217"/>
      <c r="C2164" s="219"/>
      <c r="D2164" s="221"/>
      <c r="E2164" s="221"/>
      <c r="F2164" s="229"/>
      <c r="G2164" s="216" t="s">
        <v>71</v>
      </c>
      <c r="H2164" s="66" t="s">
        <v>67</v>
      </c>
      <c r="I2164" s="50">
        <f>D2163*K2164</f>
        <v>246211.20000000001</v>
      </c>
      <c r="J2164" s="50">
        <f>I2164/D2163</f>
        <v>618</v>
      </c>
      <c r="K2164" s="50">
        <v>618</v>
      </c>
    </row>
    <row r="2165" spans="1:11" x14ac:dyDescent="0.25">
      <c r="A2165" s="222"/>
      <c r="B2165" s="222"/>
      <c r="C2165" s="226"/>
      <c r="D2165" s="227"/>
      <c r="E2165" s="227"/>
      <c r="F2165" s="230"/>
      <c r="G2165" s="222"/>
      <c r="H2165" s="66" t="s">
        <v>69</v>
      </c>
      <c r="I2165" s="50">
        <f>D2163*K2165</f>
        <v>5179.2</v>
      </c>
      <c r="J2165" s="50">
        <f>I2165/D2163</f>
        <v>13</v>
      </c>
      <c r="K2165" s="50">
        <v>13</v>
      </c>
    </row>
    <row r="2166" spans="1:11" x14ac:dyDescent="0.25">
      <c r="A2166" s="215">
        <f>A2163+1</f>
        <v>24</v>
      </c>
      <c r="B2166" s="215">
        <v>5545</v>
      </c>
      <c r="C2166" s="321" t="s">
        <v>513</v>
      </c>
      <c r="D2166" s="220">
        <v>356.8</v>
      </c>
      <c r="E2166" s="220" t="s">
        <v>68</v>
      </c>
      <c r="F2166" s="228">
        <v>2</v>
      </c>
      <c r="G2166" s="216" t="s">
        <v>65</v>
      </c>
      <c r="H2166" s="57" t="s">
        <v>66</v>
      </c>
      <c r="I2166" s="50">
        <f>I2167+I2168</f>
        <v>2419390.2999999998</v>
      </c>
      <c r="J2166" s="50">
        <f>J2167+J2168</f>
        <v>6780.8</v>
      </c>
      <c r="K2166" s="50">
        <f>K2167+K2168</f>
        <v>8203</v>
      </c>
    </row>
    <row r="2167" spans="1:11" x14ac:dyDescent="0.25">
      <c r="A2167" s="215"/>
      <c r="B2167" s="215"/>
      <c r="C2167" s="322"/>
      <c r="D2167" s="221"/>
      <c r="E2167" s="221"/>
      <c r="F2167" s="229"/>
      <c r="G2167" s="217"/>
      <c r="H2167" s="66" t="s">
        <v>67</v>
      </c>
      <c r="I2167" s="50">
        <v>2358020.7000000002</v>
      </c>
      <c r="J2167" s="50">
        <f>I2167/D2166</f>
        <v>6608.8</v>
      </c>
      <c r="K2167" s="50">
        <v>8031</v>
      </c>
    </row>
    <row r="2168" spans="1:11" x14ac:dyDescent="0.25">
      <c r="A2168" s="215"/>
      <c r="B2168" s="215"/>
      <c r="C2168" s="323"/>
      <c r="D2168" s="227"/>
      <c r="E2168" s="227"/>
      <c r="F2168" s="230"/>
      <c r="G2168" s="222"/>
      <c r="H2168" s="66" t="s">
        <v>69</v>
      </c>
      <c r="I2168" s="50">
        <f>D2166*K2168</f>
        <v>61369.599999999999</v>
      </c>
      <c r="J2168" s="50">
        <f>I2168/D2166</f>
        <v>172</v>
      </c>
      <c r="K2168" s="50">
        <v>172</v>
      </c>
    </row>
    <row r="2169" spans="1:11" x14ac:dyDescent="0.25">
      <c r="A2169" s="215">
        <f>A2166+1</f>
        <v>25</v>
      </c>
      <c r="B2169" s="215">
        <v>5716</v>
      </c>
      <c r="C2169" s="223" t="s">
        <v>538</v>
      </c>
      <c r="D2169" s="224">
        <v>380.8</v>
      </c>
      <c r="E2169" s="220" t="s">
        <v>68</v>
      </c>
      <c r="F2169" s="228">
        <v>2</v>
      </c>
      <c r="G2169" s="216" t="s">
        <v>65</v>
      </c>
      <c r="H2169" s="57" t="s">
        <v>66</v>
      </c>
      <c r="I2169" s="50">
        <f>I2170</f>
        <v>95200</v>
      </c>
      <c r="J2169" s="50">
        <f>J2170</f>
        <v>250</v>
      </c>
      <c r="K2169" s="50">
        <f>K2170</f>
        <v>250</v>
      </c>
    </row>
    <row r="2170" spans="1:11" ht="63" x14ac:dyDescent="0.25">
      <c r="A2170" s="215"/>
      <c r="B2170" s="215"/>
      <c r="C2170" s="223"/>
      <c r="D2170" s="224"/>
      <c r="E2170" s="221"/>
      <c r="F2170" s="229"/>
      <c r="G2170" s="222"/>
      <c r="H2170" s="66" t="s">
        <v>168</v>
      </c>
      <c r="I2170" s="50">
        <f>D2169*K2170</f>
        <v>95200</v>
      </c>
      <c r="J2170" s="50">
        <f>I2170/D2169</f>
        <v>250</v>
      </c>
      <c r="K2170" s="50">
        <f>154+96</f>
        <v>250</v>
      </c>
    </row>
    <row r="2171" spans="1:11" ht="15.75" customHeight="1" x14ac:dyDescent="0.25">
      <c r="A2171" s="216">
        <f>A2169+1</f>
        <v>26</v>
      </c>
      <c r="B2171" s="216">
        <v>5718</v>
      </c>
      <c r="C2171" s="218" t="s">
        <v>539</v>
      </c>
      <c r="D2171" s="220">
        <v>376.5</v>
      </c>
      <c r="E2171" s="220" t="s">
        <v>68</v>
      </c>
      <c r="F2171" s="228">
        <v>2</v>
      </c>
      <c r="G2171" s="108"/>
      <c r="H2171" s="57" t="s">
        <v>66</v>
      </c>
      <c r="I2171" s="50">
        <f>SUM(I2172:I2172)</f>
        <v>94125</v>
      </c>
      <c r="J2171" s="50">
        <f>SUM(J2172:J2172)</f>
        <v>250</v>
      </c>
      <c r="K2171" s="50">
        <f>SUM(K2172:K2172)</f>
        <v>250</v>
      </c>
    </row>
    <row r="2172" spans="1:11" ht="63" x14ac:dyDescent="0.25">
      <c r="A2172" s="217"/>
      <c r="B2172" s="217"/>
      <c r="C2172" s="219"/>
      <c r="D2172" s="221"/>
      <c r="E2172" s="221"/>
      <c r="F2172" s="229"/>
      <c r="G2172" s="105" t="s">
        <v>65</v>
      </c>
      <c r="H2172" s="66" t="s">
        <v>178</v>
      </c>
      <c r="I2172" s="50">
        <f>D2171*K2172</f>
        <v>94125</v>
      </c>
      <c r="J2172" s="50">
        <f>I2172/D2171</f>
        <v>250</v>
      </c>
      <c r="K2172" s="50">
        <f>154+96</f>
        <v>250</v>
      </c>
    </row>
    <row r="2173" spans="1:11" x14ac:dyDescent="0.25">
      <c r="A2173" s="216">
        <f>A2171+1</f>
        <v>27</v>
      </c>
      <c r="B2173" s="215">
        <v>5795</v>
      </c>
      <c r="C2173" s="223" t="s">
        <v>540</v>
      </c>
      <c r="D2173" s="224">
        <v>340</v>
      </c>
      <c r="E2173" s="220" t="s">
        <v>68</v>
      </c>
      <c r="F2173" s="228">
        <v>2</v>
      </c>
      <c r="G2173" s="216" t="s">
        <v>65</v>
      </c>
      <c r="H2173" s="57" t="s">
        <v>66</v>
      </c>
      <c r="I2173" s="50">
        <f>I2174</f>
        <v>85000</v>
      </c>
      <c r="J2173" s="50">
        <f>J2174</f>
        <v>250</v>
      </c>
      <c r="K2173" s="50">
        <f>K2174</f>
        <v>250</v>
      </c>
    </row>
    <row r="2174" spans="1:11" ht="63" x14ac:dyDescent="0.25">
      <c r="A2174" s="222"/>
      <c r="B2174" s="215"/>
      <c r="C2174" s="223"/>
      <c r="D2174" s="224"/>
      <c r="E2174" s="221"/>
      <c r="F2174" s="229"/>
      <c r="G2174" s="222"/>
      <c r="H2174" s="66" t="s">
        <v>168</v>
      </c>
      <c r="I2174" s="50">
        <f>D2173*K2174</f>
        <v>85000</v>
      </c>
      <c r="J2174" s="50">
        <f>I2174/D2173</f>
        <v>250</v>
      </c>
      <c r="K2174" s="50">
        <f>154+96</f>
        <v>250</v>
      </c>
    </row>
    <row r="2175" spans="1:11" x14ac:dyDescent="0.25">
      <c r="A2175" s="216">
        <f>A2173+1</f>
        <v>28</v>
      </c>
      <c r="B2175" s="216">
        <v>5797</v>
      </c>
      <c r="C2175" s="218" t="s">
        <v>514</v>
      </c>
      <c r="D2175" s="220">
        <v>353.9</v>
      </c>
      <c r="E2175" s="220" t="s">
        <v>68</v>
      </c>
      <c r="F2175" s="228">
        <v>2</v>
      </c>
      <c r="G2175" s="108"/>
      <c r="H2175" s="57" t="s">
        <v>66</v>
      </c>
      <c r="I2175" s="50">
        <f>SUM(I2176:I2176)</f>
        <v>88475</v>
      </c>
      <c r="J2175" s="50">
        <f>SUM(J2176:J2176)</f>
        <v>250</v>
      </c>
      <c r="K2175" s="50">
        <f>SUM(K2176:K2176)</f>
        <v>250</v>
      </c>
    </row>
    <row r="2176" spans="1:11" ht="63" x14ac:dyDescent="0.25">
      <c r="A2176" s="217"/>
      <c r="B2176" s="217"/>
      <c r="C2176" s="219"/>
      <c r="D2176" s="221"/>
      <c r="E2176" s="221"/>
      <c r="F2176" s="229"/>
      <c r="G2176" s="105" t="s">
        <v>65</v>
      </c>
      <c r="H2176" s="66" t="s">
        <v>178</v>
      </c>
      <c r="I2176" s="50">
        <f>D2175*K2176</f>
        <v>88475</v>
      </c>
      <c r="J2176" s="50">
        <f>I2176/D2175</f>
        <v>250</v>
      </c>
      <c r="K2176" s="50">
        <f>154+96</f>
        <v>250</v>
      </c>
    </row>
    <row r="2177" spans="1:11" x14ac:dyDescent="0.25">
      <c r="A2177" s="216">
        <f>A2175+1</f>
        <v>29</v>
      </c>
      <c r="B2177" s="216">
        <v>5799</v>
      </c>
      <c r="C2177" s="218" t="s">
        <v>515</v>
      </c>
      <c r="D2177" s="220">
        <v>352.4</v>
      </c>
      <c r="E2177" s="220" t="s">
        <v>68</v>
      </c>
      <c r="F2177" s="228">
        <v>2</v>
      </c>
      <c r="G2177" s="216" t="s">
        <v>65</v>
      </c>
      <c r="H2177" s="57" t="s">
        <v>66</v>
      </c>
      <c r="I2177" s="50">
        <f>I2178+I2179</f>
        <v>2415299.9500000002</v>
      </c>
      <c r="J2177" s="50">
        <f>J2178+J2179</f>
        <v>6853.86</v>
      </c>
      <c r="K2177" s="50">
        <f>K2178+K2179</f>
        <v>8203</v>
      </c>
    </row>
    <row r="2178" spans="1:11" x14ac:dyDescent="0.25">
      <c r="A2178" s="217"/>
      <c r="B2178" s="217"/>
      <c r="C2178" s="219"/>
      <c r="D2178" s="221"/>
      <c r="E2178" s="221"/>
      <c r="F2178" s="229"/>
      <c r="G2178" s="217"/>
      <c r="H2178" s="66" t="s">
        <v>67</v>
      </c>
      <c r="I2178" s="50">
        <v>2354687.15</v>
      </c>
      <c r="J2178" s="50">
        <f>I2178/D2177</f>
        <v>6681.86</v>
      </c>
      <c r="K2178" s="50">
        <v>8031</v>
      </c>
    </row>
    <row r="2179" spans="1:11" x14ac:dyDescent="0.25">
      <c r="A2179" s="222"/>
      <c r="B2179" s="222"/>
      <c r="C2179" s="226"/>
      <c r="D2179" s="227"/>
      <c r="E2179" s="227"/>
      <c r="F2179" s="230"/>
      <c r="G2179" s="222"/>
      <c r="H2179" s="66" t="s">
        <v>69</v>
      </c>
      <c r="I2179" s="50">
        <f>D2177*K2179</f>
        <v>60612.800000000003</v>
      </c>
      <c r="J2179" s="50">
        <f>I2179/D2177</f>
        <v>172</v>
      </c>
      <c r="K2179" s="50">
        <v>172</v>
      </c>
    </row>
    <row r="2180" spans="1:11" x14ac:dyDescent="0.25">
      <c r="A2180" s="216">
        <f>A2177+1</f>
        <v>30</v>
      </c>
      <c r="B2180" s="216">
        <v>5734</v>
      </c>
      <c r="C2180" s="218" t="s">
        <v>541</v>
      </c>
      <c r="D2180" s="220">
        <v>361.4</v>
      </c>
      <c r="E2180" s="220" t="s">
        <v>68</v>
      </c>
      <c r="F2180" s="228">
        <v>2</v>
      </c>
      <c r="G2180" s="108"/>
      <c r="H2180" s="57" t="s">
        <v>66</v>
      </c>
      <c r="I2180" s="50">
        <f>SUM(I2181:I2182)</f>
        <v>67220.399999999994</v>
      </c>
      <c r="J2180" s="50">
        <f>SUM(J2181:J2182)</f>
        <v>186</v>
      </c>
      <c r="K2180" s="50">
        <f>SUM(K2181:K2182)</f>
        <v>186</v>
      </c>
    </row>
    <row r="2181" spans="1:11" ht="63" x14ac:dyDescent="0.25">
      <c r="A2181" s="217"/>
      <c r="B2181" s="217"/>
      <c r="C2181" s="219"/>
      <c r="D2181" s="221"/>
      <c r="E2181" s="221"/>
      <c r="F2181" s="229"/>
      <c r="G2181" s="105" t="s">
        <v>70</v>
      </c>
      <c r="H2181" s="66" t="s">
        <v>168</v>
      </c>
      <c r="I2181" s="50">
        <f>D2180*K2181</f>
        <v>50596</v>
      </c>
      <c r="J2181" s="50">
        <f>I2181/D2180</f>
        <v>140</v>
      </c>
      <c r="K2181" s="50">
        <f>119+21</f>
        <v>140</v>
      </c>
    </row>
    <row r="2182" spans="1:11" ht="63" x14ac:dyDescent="0.25">
      <c r="A2182" s="222"/>
      <c r="B2182" s="217"/>
      <c r="C2182" s="219"/>
      <c r="D2182" s="221"/>
      <c r="E2182" s="221"/>
      <c r="F2182" s="229"/>
      <c r="G2182" s="105" t="s">
        <v>71</v>
      </c>
      <c r="H2182" s="57" t="s">
        <v>168</v>
      </c>
      <c r="I2182" s="50">
        <f>D2180*K2182</f>
        <v>16624.400000000001</v>
      </c>
      <c r="J2182" s="50">
        <f>I2182/D2180</f>
        <v>46</v>
      </c>
      <c r="K2182" s="50">
        <f>25+21</f>
        <v>46</v>
      </c>
    </row>
    <row r="2183" spans="1:11" x14ac:dyDescent="0.25">
      <c r="A2183" s="51" t="s">
        <v>36</v>
      </c>
      <c r="B2183" s="51"/>
      <c r="C2183" s="165"/>
      <c r="D2183" s="109">
        <f>D2184+D2187+D2192</f>
        <v>1749.9</v>
      </c>
      <c r="E2183" s="112"/>
      <c r="F2183" s="112"/>
      <c r="G2183" s="109"/>
      <c r="H2183" s="64"/>
      <c r="I2183" s="50">
        <f>I2184+I2187+I2192</f>
        <v>4344035.0999999996</v>
      </c>
      <c r="J2183" s="50"/>
      <c r="K2183" s="50"/>
    </row>
    <row r="2184" spans="1:11" x14ac:dyDescent="0.25">
      <c r="A2184" s="215">
        <v>1</v>
      </c>
      <c r="B2184" s="215">
        <v>4901</v>
      </c>
      <c r="C2184" s="223" t="s">
        <v>297</v>
      </c>
      <c r="D2184" s="224">
        <v>331.3</v>
      </c>
      <c r="E2184" s="225" t="s">
        <v>68</v>
      </c>
      <c r="F2184" s="225">
        <v>2</v>
      </c>
      <c r="G2184" s="110"/>
      <c r="H2184" s="57" t="s">
        <v>66</v>
      </c>
      <c r="I2184" s="50">
        <f>I2185+I2186</f>
        <v>209050.3</v>
      </c>
      <c r="J2184" s="50">
        <f>J2185+J2186</f>
        <v>631</v>
      </c>
      <c r="K2184" s="50">
        <f>K2185+K2186</f>
        <v>631</v>
      </c>
    </row>
    <row r="2185" spans="1:11" ht="15.75" customHeight="1" x14ac:dyDescent="0.25">
      <c r="A2185" s="215"/>
      <c r="B2185" s="215"/>
      <c r="C2185" s="223"/>
      <c r="D2185" s="224"/>
      <c r="E2185" s="225"/>
      <c r="F2185" s="225"/>
      <c r="G2185" s="215" t="s">
        <v>71</v>
      </c>
      <c r="H2185" s="57" t="s">
        <v>67</v>
      </c>
      <c r="I2185" s="50">
        <f>D2184*K2185</f>
        <v>204743.4</v>
      </c>
      <c r="J2185" s="50">
        <f>I2185/D2184</f>
        <v>618</v>
      </c>
      <c r="K2185" s="50">
        <v>618</v>
      </c>
    </row>
    <row r="2186" spans="1:11" x14ac:dyDescent="0.25">
      <c r="A2186" s="215"/>
      <c r="B2186" s="215"/>
      <c r="C2186" s="223"/>
      <c r="D2186" s="224"/>
      <c r="E2186" s="225"/>
      <c r="F2186" s="225"/>
      <c r="G2186" s="215"/>
      <c r="H2186" s="57" t="s">
        <v>69</v>
      </c>
      <c r="I2186" s="50">
        <f>D2184*K2186</f>
        <v>4306.8999999999996</v>
      </c>
      <c r="J2186" s="50">
        <f>I2186/D2184</f>
        <v>13</v>
      </c>
      <c r="K2186" s="50">
        <v>13</v>
      </c>
    </row>
    <row r="2187" spans="1:11" x14ac:dyDescent="0.25">
      <c r="A2187" s="215">
        <f>A2184+1</f>
        <v>2</v>
      </c>
      <c r="B2187" s="215">
        <v>4905</v>
      </c>
      <c r="C2187" s="223" t="s">
        <v>298</v>
      </c>
      <c r="D2187" s="224">
        <v>1060.7</v>
      </c>
      <c r="E2187" s="225" t="s">
        <v>68</v>
      </c>
      <c r="F2187" s="225">
        <v>3</v>
      </c>
      <c r="G2187" s="110"/>
      <c r="H2187" s="57" t="s">
        <v>66</v>
      </c>
      <c r="I2187" s="50">
        <f>I2188+I2189+I2190+I2191</f>
        <v>4045509.8</v>
      </c>
      <c r="J2187" s="50">
        <f>J2188+J2189+J2190+J2191</f>
        <v>3814</v>
      </c>
      <c r="K2187" s="50">
        <f>K2188+K2189+K2190+K2191</f>
        <v>3814</v>
      </c>
    </row>
    <row r="2188" spans="1:11" x14ac:dyDescent="0.25">
      <c r="A2188" s="215"/>
      <c r="B2188" s="215"/>
      <c r="C2188" s="223"/>
      <c r="D2188" s="224"/>
      <c r="E2188" s="225"/>
      <c r="F2188" s="225"/>
      <c r="G2188" s="216" t="s">
        <v>70</v>
      </c>
      <c r="H2188" s="57" t="s">
        <v>67</v>
      </c>
      <c r="I2188" s="50">
        <f>D2187*K2188</f>
        <v>3147096.9</v>
      </c>
      <c r="J2188" s="50">
        <f>I2188/D2187</f>
        <v>2967</v>
      </c>
      <c r="K2188" s="50">
        <v>2967</v>
      </c>
    </row>
    <row r="2189" spans="1:11" x14ac:dyDescent="0.25">
      <c r="A2189" s="215"/>
      <c r="B2189" s="215"/>
      <c r="C2189" s="223"/>
      <c r="D2189" s="224"/>
      <c r="E2189" s="225"/>
      <c r="F2189" s="225"/>
      <c r="G2189" s="222"/>
      <c r="H2189" s="57" t="s">
        <v>69</v>
      </c>
      <c r="I2189" s="50">
        <f>D2187*K2189</f>
        <v>66824.100000000006</v>
      </c>
      <c r="J2189" s="50">
        <f>I2189/D2187</f>
        <v>63</v>
      </c>
      <c r="K2189" s="50">
        <v>63</v>
      </c>
    </row>
    <row r="2190" spans="1:11" x14ac:dyDescent="0.25">
      <c r="A2190" s="215"/>
      <c r="B2190" s="215"/>
      <c r="C2190" s="223"/>
      <c r="D2190" s="224"/>
      <c r="E2190" s="225"/>
      <c r="F2190" s="225"/>
      <c r="G2190" s="217" t="s">
        <v>71</v>
      </c>
      <c r="H2190" s="57" t="s">
        <v>67</v>
      </c>
      <c r="I2190" s="50">
        <f>D2187*K2190</f>
        <v>814617.59999999998</v>
      </c>
      <c r="J2190" s="50">
        <f>I2190/D2187</f>
        <v>768</v>
      </c>
      <c r="K2190" s="50">
        <v>768</v>
      </c>
    </row>
    <row r="2191" spans="1:11" x14ac:dyDescent="0.25">
      <c r="A2191" s="215"/>
      <c r="B2191" s="215"/>
      <c r="C2191" s="223"/>
      <c r="D2191" s="224"/>
      <c r="E2191" s="225"/>
      <c r="F2191" s="225"/>
      <c r="G2191" s="222"/>
      <c r="H2191" s="57" t="s">
        <v>69</v>
      </c>
      <c r="I2191" s="50">
        <f>D2187*K2191</f>
        <v>16971.2</v>
      </c>
      <c r="J2191" s="50">
        <f>I2191/D2187</f>
        <v>16</v>
      </c>
      <c r="K2191" s="50">
        <v>16</v>
      </c>
    </row>
    <row r="2192" spans="1:11" ht="15.75" customHeight="1" x14ac:dyDescent="0.25">
      <c r="A2192" s="215">
        <f>A2187+1</f>
        <v>3</v>
      </c>
      <c r="B2192" s="215">
        <v>4933</v>
      </c>
      <c r="C2192" s="223" t="s">
        <v>588</v>
      </c>
      <c r="D2192" s="224">
        <v>357.9</v>
      </c>
      <c r="E2192" s="225" t="s">
        <v>68</v>
      </c>
      <c r="F2192" s="225">
        <v>2</v>
      </c>
      <c r="G2192" s="105"/>
      <c r="H2192" s="57" t="s">
        <v>66</v>
      </c>
      <c r="I2192" s="50">
        <f>I2193</f>
        <v>89475</v>
      </c>
      <c r="J2192" s="50">
        <f>J2193</f>
        <v>250</v>
      </c>
      <c r="K2192" s="50">
        <f>K2193</f>
        <v>250</v>
      </c>
    </row>
    <row r="2193" spans="1:162" ht="63" x14ac:dyDescent="0.25">
      <c r="A2193" s="215"/>
      <c r="B2193" s="215"/>
      <c r="C2193" s="223"/>
      <c r="D2193" s="224"/>
      <c r="E2193" s="225"/>
      <c r="F2193" s="225"/>
      <c r="G2193" s="105" t="s">
        <v>65</v>
      </c>
      <c r="H2193" s="57" t="s">
        <v>178</v>
      </c>
      <c r="I2193" s="50">
        <f>D2192*K2193</f>
        <v>89475</v>
      </c>
      <c r="J2193" s="50">
        <f>I2193/D2192</f>
        <v>250</v>
      </c>
      <c r="K2193" s="50">
        <f>154+96</f>
        <v>250</v>
      </c>
    </row>
    <row r="2194" spans="1:162" x14ac:dyDescent="0.25">
      <c r="A2194" s="51" t="s">
        <v>37</v>
      </c>
      <c r="B2194" s="51"/>
      <c r="C2194" s="165"/>
      <c r="D2194" s="50">
        <f>D2195+D2200</f>
        <v>575</v>
      </c>
      <c r="E2194" s="68"/>
      <c r="F2194" s="68"/>
      <c r="G2194" s="74"/>
      <c r="H2194" s="75"/>
      <c r="I2194" s="50">
        <f>I2195+I2200</f>
        <v>2103345</v>
      </c>
      <c r="J2194" s="50"/>
      <c r="K2194" s="50"/>
    </row>
    <row r="2195" spans="1:162" x14ac:dyDescent="0.25">
      <c r="A2195" s="216">
        <v>1</v>
      </c>
      <c r="B2195" s="216">
        <v>6786</v>
      </c>
      <c r="C2195" s="218" t="s">
        <v>301</v>
      </c>
      <c r="D2195" s="220">
        <v>229</v>
      </c>
      <c r="E2195" s="228" t="s">
        <v>68</v>
      </c>
      <c r="F2195" s="228">
        <v>2</v>
      </c>
      <c r="G2195" s="110"/>
      <c r="H2195" s="57" t="s">
        <v>66</v>
      </c>
      <c r="I2195" s="50">
        <f>I2196+I2197+I2198+I2199</f>
        <v>838369</v>
      </c>
      <c r="J2195" s="50">
        <f>J2196+J2197+J2198+J2199</f>
        <v>3661</v>
      </c>
      <c r="K2195" s="50">
        <f>K2196+K2197+K2198+K2199</f>
        <v>3661</v>
      </c>
    </row>
    <row r="2196" spans="1:162" ht="31.5" customHeight="1" x14ac:dyDescent="0.25">
      <c r="A2196" s="217"/>
      <c r="B2196" s="217"/>
      <c r="C2196" s="219"/>
      <c r="D2196" s="221"/>
      <c r="E2196" s="229"/>
      <c r="F2196" s="229"/>
      <c r="G2196" s="216" t="s">
        <v>70</v>
      </c>
      <c r="H2196" s="57" t="s">
        <v>67</v>
      </c>
      <c r="I2196" s="50">
        <f>D2195*K2196</f>
        <v>679443</v>
      </c>
      <c r="J2196" s="50">
        <f>I2196/D2195</f>
        <v>2967</v>
      </c>
      <c r="K2196" s="50">
        <v>2967</v>
      </c>
    </row>
    <row r="2197" spans="1:162" x14ac:dyDescent="0.25">
      <c r="A2197" s="217"/>
      <c r="B2197" s="217"/>
      <c r="C2197" s="219"/>
      <c r="D2197" s="221"/>
      <c r="E2197" s="229"/>
      <c r="F2197" s="229"/>
      <c r="G2197" s="222"/>
      <c r="H2197" s="57" t="s">
        <v>69</v>
      </c>
      <c r="I2197" s="50">
        <f>D2195*K2197</f>
        <v>14427</v>
      </c>
      <c r="J2197" s="50">
        <f>I2197/D2195</f>
        <v>63</v>
      </c>
      <c r="K2197" s="50">
        <v>63</v>
      </c>
    </row>
    <row r="2198" spans="1:162" ht="24.75" customHeight="1" x14ac:dyDescent="0.25">
      <c r="A2198" s="217"/>
      <c r="B2198" s="217"/>
      <c r="C2198" s="219"/>
      <c r="D2198" s="221"/>
      <c r="E2198" s="229"/>
      <c r="F2198" s="229"/>
      <c r="G2198" s="216" t="s">
        <v>71</v>
      </c>
      <c r="H2198" s="57" t="s">
        <v>67</v>
      </c>
      <c r="I2198" s="50">
        <f>D2195*K2198</f>
        <v>141522</v>
      </c>
      <c r="J2198" s="50">
        <f>I2198/D2195</f>
        <v>618</v>
      </c>
      <c r="K2198" s="50">
        <v>618</v>
      </c>
    </row>
    <row r="2199" spans="1:162" ht="24.75" customHeight="1" x14ac:dyDescent="0.25">
      <c r="A2199" s="217"/>
      <c r="B2199" s="217"/>
      <c r="C2199" s="219"/>
      <c r="D2199" s="221"/>
      <c r="E2199" s="229"/>
      <c r="F2199" s="229"/>
      <c r="G2199" s="222"/>
      <c r="H2199" s="57" t="s">
        <v>69</v>
      </c>
      <c r="I2199" s="50">
        <f>D2195*K2199</f>
        <v>2977</v>
      </c>
      <c r="J2199" s="50">
        <f>I2199/D2195</f>
        <v>13</v>
      </c>
      <c r="K2199" s="50">
        <v>13</v>
      </c>
    </row>
    <row r="2200" spans="1:162" x14ac:dyDescent="0.25">
      <c r="A2200" s="216">
        <f>A2195+1</f>
        <v>2</v>
      </c>
      <c r="B2200" s="216">
        <v>6770</v>
      </c>
      <c r="C2200" s="218" t="s">
        <v>300</v>
      </c>
      <c r="D2200" s="220">
        <v>346</v>
      </c>
      <c r="E2200" s="228" t="s">
        <v>68</v>
      </c>
      <c r="F2200" s="228">
        <v>2</v>
      </c>
      <c r="G2200" s="110"/>
      <c r="H2200" s="57" t="s">
        <v>66</v>
      </c>
      <c r="I2200" s="50">
        <f>I2201+I2202+I2203+I2204</f>
        <v>1264976</v>
      </c>
      <c r="J2200" s="50">
        <f>J2201+J2202+J2203+J2204</f>
        <v>3656</v>
      </c>
      <c r="K2200" s="50">
        <f>K2201+K2202+K2203+K2204</f>
        <v>3661</v>
      </c>
    </row>
    <row r="2201" spans="1:162" x14ac:dyDescent="0.25">
      <c r="A2201" s="217"/>
      <c r="B2201" s="217"/>
      <c r="C2201" s="219"/>
      <c r="D2201" s="221"/>
      <c r="E2201" s="229"/>
      <c r="F2201" s="229"/>
      <c r="G2201" s="215" t="s">
        <v>70</v>
      </c>
      <c r="H2201" s="57" t="s">
        <v>67</v>
      </c>
      <c r="I2201" s="50">
        <f>D2200*K2201</f>
        <v>1026582</v>
      </c>
      <c r="J2201" s="50">
        <f>I2201/D2200</f>
        <v>2967</v>
      </c>
      <c r="K2201" s="50">
        <v>2967</v>
      </c>
    </row>
    <row r="2202" spans="1:162" x14ac:dyDescent="0.25">
      <c r="A2202" s="217"/>
      <c r="B2202" s="217"/>
      <c r="C2202" s="219"/>
      <c r="D2202" s="221"/>
      <c r="E2202" s="229"/>
      <c r="F2202" s="229"/>
      <c r="G2202" s="215"/>
      <c r="H2202" s="57" t="s">
        <v>69</v>
      </c>
      <c r="I2202" s="50">
        <v>20414</v>
      </c>
      <c r="J2202" s="50">
        <f>I2202/D2200</f>
        <v>59</v>
      </c>
      <c r="K2202" s="50">
        <v>63</v>
      </c>
    </row>
    <row r="2203" spans="1:162" x14ac:dyDescent="0.25">
      <c r="A2203" s="217"/>
      <c r="B2203" s="217"/>
      <c r="C2203" s="219"/>
      <c r="D2203" s="221"/>
      <c r="E2203" s="229"/>
      <c r="F2203" s="229"/>
      <c r="G2203" s="215" t="s">
        <v>71</v>
      </c>
      <c r="H2203" s="57" t="s">
        <v>67</v>
      </c>
      <c r="I2203" s="50">
        <f>D2200*K2203</f>
        <v>213828</v>
      </c>
      <c r="J2203" s="50">
        <f>I2203/D2200</f>
        <v>618</v>
      </c>
      <c r="K2203" s="50">
        <v>618</v>
      </c>
    </row>
    <row r="2204" spans="1:162" x14ac:dyDescent="0.25">
      <c r="A2204" s="222"/>
      <c r="B2204" s="222"/>
      <c r="C2204" s="226"/>
      <c r="D2204" s="227"/>
      <c r="E2204" s="230"/>
      <c r="F2204" s="230"/>
      <c r="G2204" s="215"/>
      <c r="H2204" s="57" t="s">
        <v>69</v>
      </c>
      <c r="I2204" s="50">
        <v>4152</v>
      </c>
      <c r="J2204" s="50">
        <f>I2204/D2200</f>
        <v>12</v>
      </c>
      <c r="K2204" s="50">
        <v>13</v>
      </c>
      <c r="FE2204" s="41"/>
      <c r="FF2204" s="41"/>
    </row>
    <row r="2205" spans="1:162" s="41" customFormat="1" x14ac:dyDescent="0.25">
      <c r="A2205" s="51" t="s">
        <v>38</v>
      </c>
      <c r="B2205" s="51"/>
      <c r="C2205" s="165"/>
      <c r="D2205" s="50">
        <f>D2206+D2211</f>
        <v>1231.9000000000001</v>
      </c>
      <c r="E2205" s="50"/>
      <c r="F2205" s="50"/>
      <c r="G2205" s="109"/>
      <c r="H2205" s="64"/>
      <c r="I2205" s="55">
        <f>I2206+I2211</f>
        <v>4886958.88</v>
      </c>
      <c r="J2205" s="55"/>
      <c r="K2205" s="55"/>
      <c r="L2205" s="42"/>
      <c r="M2205" s="42"/>
      <c r="N2205" s="42"/>
      <c r="O2205" s="42"/>
      <c r="P2205" s="42"/>
      <c r="Q2205" s="42"/>
      <c r="R2205" s="42"/>
      <c r="S2205" s="42"/>
      <c r="T2205" s="42"/>
      <c r="U2205" s="42"/>
      <c r="V2205" s="42"/>
      <c r="W2205" s="42"/>
      <c r="X2205" s="42"/>
      <c r="Y2205" s="42"/>
      <c r="Z2205" s="42"/>
      <c r="AA2205" s="42"/>
      <c r="AB2205" s="42"/>
      <c r="AC2205" s="42"/>
      <c r="AD2205" s="42"/>
      <c r="AE2205" s="42"/>
      <c r="AF2205" s="42"/>
      <c r="AG2205" s="42"/>
      <c r="AH2205" s="42"/>
      <c r="AI2205" s="42"/>
      <c r="AJ2205" s="42"/>
      <c r="AK2205" s="42"/>
      <c r="AL2205" s="42"/>
      <c r="AM2205" s="42"/>
      <c r="AN2205" s="42"/>
      <c r="AO2205" s="42"/>
      <c r="AP2205" s="42"/>
      <c r="AQ2205" s="42"/>
      <c r="AR2205" s="42"/>
      <c r="AS2205" s="42"/>
      <c r="AT2205" s="42"/>
      <c r="AU2205" s="42"/>
      <c r="AV2205" s="42"/>
      <c r="AW2205" s="42"/>
      <c r="AX2205" s="42"/>
      <c r="AY2205" s="42"/>
      <c r="AZ2205" s="42"/>
      <c r="BA2205" s="42"/>
      <c r="BB2205" s="42"/>
      <c r="BC2205" s="42"/>
      <c r="BD2205" s="42"/>
      <c r="BE2205" s="42"/>
      <c r="BF2205" s="42"/>
      <c r="BG2205" s="42"/>
      <c r="BH2205" s="42"/>
      <c r="BI2205" s="42"/>
      <c r="BJ2205" s="42"/>
      <c r="BK2205" s="42"/>
      <c r="BL2205" s="42"/>
      <c r="BM2205" s="42"/>
      <c r="BN2205" s="42"/>
      <c r="BO2205" s="42"/>
      <c r="BP2205" s="42"/>
      <c r="BQ2205" s="42"/>
      <c r="BR2205" s="42"/>
      <c r="BS2205" s="42"/>
      <c r="BT2205" s="42"/>
      <c r="BU2205" s="42"/>
      <c r="BV2205" s="42"/>
      <c r="BW2205" s="42"/>
      <c r="BX2205" s="42"/>
      <c r="BY2205" s="42"/>
      <c r="BZ2205" s="42"/>
      <c r="CA2205" s="42"/>
      <c r="CB2205" s="42"/>
      <c r="CC2205" s="42"/>
      <c r="CD2205" s="42"/>
      <c r="CE2205" s="42"/>
      <c r="CF2205" s="42"/>
      <c r="CG2205" s="42"/>
      <c r="CH2205" s="42"/>
      <c r="CI2205" s="42"/>
      <c r="CJ2205" s="42"/>
      <c r="CK2205" s="42"/>
      <c r="CL2205" s="42"/>
      <c r="CM2205" s="42"/>
      <c r="CN2205" s="42"/>
      <c r="CO2205" s="42"/>
      <c r="CP2205" s="42"/>
      <c r="CQ2205" s="42"/>
      <c r="CR2205" s="42"/>
      <c r="CS2205" s="42"/>
      <c r="CT2205" s="42"/>
      <c r="CU2205" s="42"/>
      <c r="CV2205" s="42"/>
      <c r="CW2205" s="42"/>
      <c r="CX2205" s="42"/>
      <c r="CY2205" s="42"/>
      <c r="CZ2205" s="42"/>
      <c r="DA2205" s="42"/>
      <c r="DB2205" s="42"/>
      <c r="DC2205" s="42"/>
      <c r="DD2205" s="42"/>
      <c r="DE2205" s="42"/>
      <c r="DF2205" s="42"/>
      <c r="DG2205" s="42"/>
      <c r="DH2205" s="42"/>
      <c r="DI2205" s="42"/>
      <c r="DJ2205" s="42"/>
      <c r="DK2205" s="42"/>
      <c r="DL2205" s="42"/>
      <c r="DM2205" s="42"/>
      <c r="DN2205" s="42"/>
      <c r="DO2205" s="42"/>
      <c r="DP2205" s="42"/>
      <c r="DQ2205" s="42"/>
      <c r="DR2205" s="42"/>
      <c r="DS2205" s="42"/>
      <c r="DT2205" s="42"/>
      <c r="DU2205" s="42"/>
      <c r="DV2205" s="42"/>
      <c r="DW2205" s="42"/>
      <c r="DX2205" s="42"/>
      <c r="DY2205" s="42"/>
      <c r="DZ2205" s="42"/>
      <c r="EA2205" s="42"/>
      <c r="EB2205" s="42"/>
      <c r="EC2205" s="42"/>
      <c r="ED2205" s="42"/>
      <c r="EE2205" s="42"/>
      <c r="EF2205" s="42"/>
      <c r="EG2205" s="42"/>
      <c r="EH2205" s="42"/>
      <c r="EI2205" s="42"/>
      <c r="EJ2205" s="42"/>
      <c r="EK2205" s="42"/>
      <c r="EL2205" s="42"/>
      <c r="EM2205" s="42"/>
      <c r="EN2205" s="42"/>
      <c r="EO2205" s="42"/>
      <c r="EP2205" s="42"/>
      <c r="EQ2205" s="42"/>
      <c r="ER2205" s="42"/>
      <c r="ES2205" s="42"/>
      <c r="ET2205" s="42"/>
      <c r="EU2205" s="42"/>
      <c r="EV2205" s="42"/>
      <c r="EW2205" s="42"/>
      <c r="EX2205" s="42"/>
      <c r="EY2205" s="42"/>
      <c r="EZ2205" s="42"/>
      <c r="FA2205" s="42"/>
      <c r="FB2205" s="42"/>
      <c r="FC2205" s="42"/>
      <c r="FD2205" s="42"/>
    </row>
    <row r="2206" spans="1:162" x14ac:dyDescent="0.25">
      <c r="A2206" s="216">
        <v>1</v>
      </c>
      <c r="B2206" s="215">
        <v>4976</v>
      </c>
      <c r="C2206" s="223" t="s">
        <v>526</v>
      </c>
      <c r="D2206" s="220">
        <v>722.4</v>
      </c>
      <c r="E2206" s="228" t="s">
        <v>68</v>
      </c>
      <c r="F2206" s="228">
        <v>2</v>
      </c>
      <c r="G2206" s="216" t="s">
        <v>75</v>
      </c>
      <c r="H2206" s="57" t="s">
        <v>66</v>
      </c>
      <c r="I2206" s="50">
        <f>I2207+I2208+I2209+I2210</f>
        <v>2920962.63</v>
      </c>
      <c r="J2206" s="50">
        <f t="shared" ref="J2206:K2206" si="65">J2207+J2208+J2209+J2210</f>
        <v>4043.41</v>
      </c>
      <c r="K2206" s="50">
        <f t="shared" si="65"/>
        <v>7493</v>
      </c>
    </row>
    <row r="2207" spans="1:162" x14ac:dyDescent="0.25">
      <c r="A2207" s="217"/>
      <c r="B2207" s="215"/>
      <c r="C2207" s="223"/>
      <c r="D2207" s="221"/>
      <c r="E2207" s="229"/>
      <c r="F2207" s="229"/>
      <c r="G2207" s="217"/>
      <c r="H2207" s="57" t="s">
        <v>67</v>
      </c>
      <c r="I2207" s="50">
        <v>763786.92</v>
      </c>
      <c r="J2207" s="50">
        <f>I2207/D2206-0.01</f>
        <v>1057.28</v>
      </c>
      <c r="K2207" s="50">
        <v>2915</v>
      </c>
    </row>
    <row r="2208" spans="1:162" x14ac:dyDescent="0.25">
      <c r="A2208" s="217"/>
      <c r="B2208" s="215"/>
      <c r="C2208" s="223"/>
      <c r="D2208" s="221"/>
      <c r="E2208" s="229"/>
      <c r="F2208" s="229"/>
      <c r="G2208" s="217"/>
      <c r="H2208" s="57" t="s">
        <v>69</v>
      </c>
      <c r="I2208" s="50">
        <v>16345.04</v>
      </c>
      <c r="J2208" s="50">
        <f>I2208/D2206</f>
        <v>22.63</v>
      </c>
      <c r="K2208" s="50">
        <v>62</v>
      </c>
    </row>
    <row r="2209" spans="1:11" x14ac:dyDescent="0.25">
      <c r="A2209" s="217"/>
      <c r="B2209" s="215"/>
      <c r="C2209" s="223"/>
      <c r="D2209" s="221"/>
      <c r="E2209" s="229"/>
      <c r="F2209" s="229"/>
      <c r="G2209" s="217"/>
      <c r="H2209" s="57" t="s">
        <v>179</v>
      </c>
      <c r="I2209" s="50">
        <v>2095976.77</v>
      </c>
      <c r="J2209" s="50">
        <f>I2209/D2206</f>
        <v>2901.41</v>
      </c>
      <c r="K2209" s="50">
        <v>4421</v>
      </c>
    </row>
    <row r="2210" spans="1:11" x14ac:dyDescent="0.25">
      <c r="A2210" s="222"/>
      <c r="B2210" s="215"/>
      <c r="C2210" s="223"/>
      <c r="D2210" s="227"/>
      <c r="E2210" s="230"/>
      <c r="F2210" s="230"/>
      <c r="G2210" s="222"/>
      <c r="H2210" s="57" t="s">
        <v>69</v>
      </c>
      <c r="I2210" s="50">
        <v>44853.9</v>
      </c>
      <c r="J2210" s="50">
        <f>I2210/D2206</f>
        <v>62.09</v>
      </c>
      <c r="K2210" s="50">
        <v>95</v>
      </c>
    </row>
    <row r="2211" spans="1:11" x14ac:dyDescent="0.25">
      <c r="A2211" s="216">
        <f>A2206+1</f>
        <v>2</v>
      </c>
      <c r="B2211" s="215">
        <v>4978</v>
      </c>
      <c r="C2211" s="223" t="s">
        <v>529</v>
      </c>
      <c r="D2211" s="220">
        <v>509.5</v>
      </c>
      <c r="E2211" s="228" t="s">
        <v>167</v>
      </c>
      <c r="F2211" s="228">
        <v>2</v>
      </c>
      <c r="G2211" s="216" t="s">
        <v>75</v>
      </c>
      <c r="H2211" s="57" t="s">
        <v>66</v>
      </c>
      <c r="I2211" s="50">
        <f>I2212+I2213+I2214+I2215</f>
        <v>1965996.25</v>
      </c>
      <c r="J2211" s="50">
        <f t="shared" ref="J2211:K2211" si="66">J2212+J2213+J2214+J2215</f>
        <v>3858.68</v>
      </c>
      <c r="K2211" s="50">
        <f t="shared" si="66"/>
        <v>7493</v>
      </c>
    </row>
    <row r="2212" spans="1:11" x14ac:dyDescent="0.25">
      <c r="A2212" s="217"/>
      <c r="B2212" s="215"/>
      <c r="C2212" s="223"/>
      <c r="D2212" s="221"/>
      <c r="E2212" s="229"/>
      <c r="F2212" s="229"/>
      <c r="G2212" s="217"/>
      <c r="H2212" s="57" t="s">
        <v>67</v>
      </c>
      <c r="I2212" s="50">
        <v>472643.79</v>
      </c>
      <c r="J2212" s="50">
        <f>I2212/D2211</f>
        <v>927.66</v>
      </c>
      <c r="K2212" s="50">
        <v>2915</v>
      </c>
    </row>
    <row r="2213" spans="1:11" x14ac:dyDescent="0.25">
      <c r="A2213" s="217"/>
      <c r="B2213" s="215"/>
      <c r="C2213" s="223"/>
      <c r="D2213" s="221"/>
      <c r="E2213" s="229"/>
      <c r="F2213" s="229"/>
      <c r="G2213" s="217"/>
      <c r="H2213" s="57" t="s">
        <v>69</v>
      </c>
      <c r="I2213" s="50">
        <v>10114.58</v>
      </c>
      <c r="J2213" s="50">
        <f>I2213/D2211</f>
        <v>19.850000000000001</v>
      </c>
      <c r="K2213" s="50">
        <v>62</v>
      </c>
    </row>
    <row r="2214" spans="1:11" x14ac:dyDescent="0.25">
      <c r="A2214" s="217"/>
      <c r="B2214" s="215"/>
      <c r="C2214" s="223"/>
      <c r="D2214" s="221"/>
      <c r="E2214" s="229"/>
      <c r="F2214" s="229"/>
      <c r="G2214" s="217"/>
      <c r="H2214" s="57" t="s">
        <v>179</v>
      </c>
      <c r="I2214" s="50">
        <v>1452161.62</v>
      </c>
      <c r="J2214" s="50">
        <f>I2214/D2211+0.01</f>
        <v>2850.18</v>
      </c>
      <c r="K2214" s="50">
        <v>4421</v>
      </c>
    </row>
    <row r="2215" spans="1:11" x14ac:dyDescent="0.25">
      <c r="A2215" s="222"/>
      <c r="B2215" s="215"/>
      <c r="C2215" s="223"/>
      <c r="D2215" s="227"/>
      <c r="E2215" s="230"/>
      <c r="F2215" s="230"/>
      <c r="G2215" s="222"/>
      <c r="H2215" s="57" t="s">
        <v>69</v>
      </c>
      <c r="I2215" s="50">
        <v>31076.26</v>
      </c>
      <c r="J2215" s="50">
        <f>I2215/D2211</f>
        <v>60.99</v>
      </c>
      <c r="K2215" s="50">
        <v>95</v>
      </c>
    </row>
    <row r="2216" spans="1:11" x14ac:dyDescent="0.25">
      <c r="A2216" s="63" t="s">
        <v>39</v>
      </c>
      <c r="B2216" s="63"/>
      <c r="C2216" s="51"/>
      <c r="D2216" s="109">
        <f>D2217+D2220</f>
        <v>607.58000000000004</v>
      </c>
      <c r="E2216" s="112"/>
      <c r="F2216" s="112"/>
      <c r="G2216" s="109"/>
      <c r="H2216" s="64"/>
      <c r="I2216" s="50">
        <f>I2217+I2220</f>
        <v>2462392.21</v>
      </c>
      <c r="J2216" s="50"/>
      <c r="K2216" s="50"/>
    </row>
    <row r="2217" spans="1:11" x14ac:dyDescent="0.25">
      <c r="A2217" s="215">
        <v>1</v>
      </c>
      <c r="B2217" s="216">
        <v>7422</v>
      </c>
      <c r="C2217" s="223" t="s">
        <v>336</v>
      </c>
      <c r="D2217" s="224">
        <v>358.5</v>
      </c>
      <c r="E2217" s="225" t="s">
        <v>68</v>
      </c>
      <c r="F2217" s="225">
        <v>2</v>
      </c>
      <c r="G2217" s="215" t="s">
        <v>65</v>
      </c>
      <c r="H2217" s="57" t="s">
        <v>66</v>
      </c>
      <c r="I2217" s="50">
        <f>I2218+I2219</f>
        <v>2394891.5299999998</v>
      </c>
      <c r="J2217" s="50">
        <f t="shared" ref="J2217:K2217" si="67">J2218+J2219</f>
        <v>6680.31</v>
      </c>
      <c r="K2217" s="50">
        <f t="shared" si="67"/>
        <v>7688</v>
      </c>
    </row>
    <row r="2218" spans="1:11" x14ac:dyDescent="0.25">
      <c r="A2218" s="215">
        <v>1146</v>
      </c>
      <c r="B2218" s="217"/>
      <c r="C2218" s="223"/>
      <c r="D2218" s="224"/>
      <c r="E2218" s="225"/>
      <c r="F2218" s="225"/>
      <c r="G2218" s="215"/>
      <c r="H2218" s="57" t="s">
        <v>67</v>
      </c>
      <c r="I2218" s="125">
        <v>2362657.13</v>
      </c>
      <c r="J2218" s="50">
        <f>I2218/D2217</f>
        <v>6590.4</v>
      </c>
      <c r="K2218" s="125">
        <v>7527</v>
      </c>
    </row>
    <row r="2219" spans="1:11" x14ac:dyDescent="0.25">
      <c r="A2219" s="215">
        <v>1147</v>
      </c>
      <c r="B2219" s="222"/>
      <c r="C2219" s="223"/>
      <c r="D2219" s="224"/>
      <c r="E2219" s="225"/>
      <c r="F2219" s="225"/>
      <c r="G2219" s="215"/>
      <c r="H2219" s="57" t="s">
        <v>69</v>
      </c>
      <c r="I2219" s="125">
        <v>32234.400000000001</v>
      </c>
      <c r="J2219" s="50">
        <f>I2219/D2217</f>
        <v>89.91</v>
      </c>
      <c r="K2219" s="125">
        <v>161</v>
      </c>
    </row>
    <row r="2220" spans="1:11" s="96" customFormat="1" ht="15.75" customHeight="1" x14ac:dyDescent="0.25">
      <c r="A2220" s="315">
        <f>A2217+1</f>
        <v>2</v>
      </c>
      <c r="B2220" s="315">
        <v>7384</v>
      </c>
      <c r="C2220" s="324" t="s">
        <v>592</v>
      </c>
      <c r="D2220" s="326">
        <v>249.08</v>
      </c>
      <c r="E2220" s="257" t="s">
        <v>68</v>
      </c>
      <c r="F2220" s="257">
        <v>2</v>
      </c>
      <c r="G2220" s="166"/>
      <c r="H2220" s="95" t="s">
        <v>66</v>
      </c>
      <c r="I2220" s="1">
        <f>I2221+I2222</f>
        <v>67500.679999999993</v>
      </c>
      <c r="J2220" s="1">
        <f>J2221+J2222</f>
        <v>271</v>
      </c>
      <c r="K2220" s="1">
        <f>K2221+K2222</f>
        <v>271</v>
      </c>
    </row>
    <row r="2221" spans="1:11" s="96" customFormat="1" ht="63" customHeight="1" x14ac:dyDescent="0.25">
      <c r="A2221" s="316"/>
      <c r="B2221" s="316"/>
      <c r="C2221" s="325"/>
      <c r="D2221" s="327"/>
      <c r="E2221" s="258"/>
      <c r="F2221" s="258"/>
      <c r="G2221" s="315" t="s">
        <v>75</v>
      </c>
      <c r="H2221" s="95" t="s">
        <v>527</v>
      </c>
      <c r="I2221" s="1">
        <f>D2220*K2221</f>
        <v>17933.759999999998</v>
      </c>
      <c r="J2221" s="1">
        <f>I2221/D2220</f>
        <v>72</v>
      </c>
      <c r="K2221" s="1">
        <f>45+27</f>
        <v>72</v>
      </c>
    </row>
    <row r="2222" spans="1:11" s="96" customFormat="1" ht="67.5" customHeight="1" x14ac:dyDescent="0.25">
      <c r="A2222" s="316"/>
      <c r="B2222" s="316"/>
      <c r="C2222" s="325"/>
      <c r="D2222" s="327"/>
      <c r="E2222" s="258"/>
      <c r="F2222" s="258"/>
      <c r="G2222" s="328"/>
      <c r="H2222" s="95" t="s">
        <v>504</v>
      </c>
      <c r="I2222" s="167">
        <f>D2220*K2222</f>
        <v>49566.92</v>
      </c>
      <c r="J2222" s="1">
        <f>I2222/D2220</f>
        <v>199</v>
      </c>
      <c r="K2222" s="1">
        <f>171+28</f>
        <v>199</v>
      </c>
    </row>
    <row r="2223" spans="1:11" x14ac:dyDescent="0.25">
      <c r="A2223" s="51" t="s">
        <v>43</v>
      </c>
      <c r="B2223" s="128"/>
      <c r="C2223" s="165"/>
      <c r="D2223" s="50">
        <f>D2224+D2226+D2228+D2230+D2237+D2244+D2248+D2252+D2259+D2269+D2273+D2277+D2281+D2288+D2295+D2297+D2301+D2303+D2305+D2308+D2311+D2313+D2316+D2321+D2326+D2333+D2340+D2344</f>
        <v>22896.01</v>
      </c>
      <c r="E2223" s="50"/>
      <c r="F2223" s="68"/>
      <c r="G2223" s="109"/>
      <c r="H2223" s="64"/>
      <c r="I2223" s="50">
        <f>I2224+I2226+I2228+I2230+I2237+I2244+I2248+I2252+I2259+I2269+I2273+I2277+I2281+I2288+I2295+I2297+I2301+I2303+I2305+I2308+I2311+I2313+I2316+I2321+I2326+I2333+I2340+I2344</f>
        <v>36400207.049999997</v>
      </c>
      <c r="J2223" s="50"/>
      <c r="K2223" s="50"/>
    </row>
    <row r="2224" spans="1:11" x14ac:dyDescent="0.25">
      <c r="A2224" s="235">
        <v>1</v>
      </c>
      <c r="B2224" s="235">
        <v>6855</v>
      </c>
      <c r="C2224" s="241" t="s">
        <v>306</v>
      </c>
      <c r="D2224" s="224">
        <v>396.5</v>
      </c>
      <c r="E2224" s="224" t="s">
        <v>68</v>
      </c>
      <c r="F2224" s="228">
        <v>2</v>
      </c>
      <c r="G2224" s="110"/>
      <c r="H2224" s="57" t="s">
        <v>66</v>
      </c>
      <c r="I2224" s="50">
        <f>SUM(I2225:I2225)</f>
        <v>16653</v>
      </c>
      <c r="J2224" s="50">
        <f>SUM(J2225:J2225)</f>
        <v>42</v>
      </c>
      <c r="K2224" s="50">
        <f>SUM(K2225:K2225)</f>
        <v>42</v>
      </c>
    </row>
    <row r="2225" spans="1:11" ht="63" x14ac:dyDescent="0.25">
      <c r="A2225" s="249"/>
      <c r="B2225" s="249"/>
      <c r="C2225" s="242"/>
      <c r="D2225" s="227"/>
      <c r="E2225" s="227"/>
      <c r="F2225" s="229"/>
      <c r="G2225" s="102" t="s">
        <v>71</v>
      </c>
      <c r="H2225" s="57" t="s">
        <v>168</v>
      </c>
      <c r="I2225" s="50">
        <f>D2224*K2225</f>
        <v>16653</v>
      </c>
      <c r="J2225" s="50">
        <f>I2225/D2224</f>
        <v>42</v>
      </c>
      <c r="K2225" s="50">
        <f>21+21</f>
        <v>42</v>
      </c>
    </row>
    <row r="2226" spans="1:11" x14ac:dyDescent="0.25">
      <c r="A2226" s="235">
        <f>A2224+1</f>
        <v>2</v>
      </c>
      <c r="B2226" s="235">
        <v>7023</v>
      </c>
      <c r="C2226" s="241" t="s">
        <v>307</v>
      </c>
      <c r="D2226" s="224">
        <v>1276.9000000000001</v>
      </c>
      <c r="E2226" s="224" t="s">
        <v>68</v>
      </c>
      <c r="F2226" s="228">
        <v>4</v>
      </c>
      <c r="G2226" s="110"/>
      <c r="H2226" s="57" t="s">
        <v>66</v>
      </c>
      <c r="I2226" s="50">
        <f>SUM(I2227:I2227)</f>
        <v>60014.3</v>
      </c>
      <c r="J2226" s="50">
        <f>SUM(J2227:J2227)</f>
        <v>47</v>
      </c>
      <c r="K2226" s="50">
        <f>SUM(K2227:K2227)</f>
        <v>47</v>
      </c>
    </row>
    <row r="2227" spans="1:11" ht="63" x14ac:dyDescent="0.25">
      <c r="A2227" s="249"/>
      <c r="B2227" s="249"/>
      <c r="C2227" s="242"/>
      <c r="D2227" s="227"/>
      <c r="E2227" s="227"/>
      <c r="F2227" s="229"/>
      <c r="G2227" s="102" t="s">
        <v>74</v>
      </c>
      <c r="H2227" s="57" t="s">
        <v>168</v>
      </c>
      <c r="I2227" s="50">
        <f>D2226*K2227</f>
        <v>60014.3</v>
      </c>
      <c r="J2227" s="50">
        <f>I2227/D2226</f>
        <v>47</v>
      </c>
      <c r="K2227" s="50">
        <f>34+13</f>
        <v>47</v>
      </c>
    </row>
    <row r="2228" spans="1:11" x14ac:dyDescent="0.25">
      <c r="A2228" s="235">
        <f>A2226+1</f>
        <v>3</v>
      </c>
      <c r="B2228" s="235">
        <v>7024</v>
      </c>
      <c r="C2228" s="241" t="s">
        <v>308</v>
      </c>
      <c r="D2228" s="224">
        <v>1249.5999999999999</v>
      </c>
      <c r="E2228" s="224" t="s">
        <v>68</v>
      </c>
      <c r="F2228" s="228">
        <v>4</v>
      </c>
      <c r="G2228" s="110"/>
      <c r="H2228" s="57" t="s">
        <v>66</v>
      </c>
      <c r="I2228" s="50">
        <f>SUM(I2229:I2229)</f>
        <v>58731.199999999997</v>
      </c>
      <c r="J2228" s="50">
        <f>SUM(J2229:J2229)</f>
        <v>47</v>
      </c>
      <c r="K2228" s="50">
        <f>SUM(K2229:K2229)</f>
        <v>47</v>
      </c>
    </row>
    <row r="2229" spans="1:11" ht="63" x14ac:dyDescent="0.25">
      <c r="A2229" s="249"/>
      <c r="B2229" s="249"/>
      <c r="C2229" s="242"/>
      <c r="D2229" s="227"/>
      <c r="E2229" s="227"/>
      <c r="F2229" s="229"/>
      <c r="G2229" s="102" t="s">
        <v>74</v>
      </c>
      <c r="H2229" s="57" t="s">
        <v>168</v>
      </c>
      <c r="I2229" s="50">
        <f>D2228*K2229</f>
        <v>58731.199999999997</v>
      </c>
      <c r="J2229" s="50">
        <f>I2229/D2228</f>
        <v>47</v>
      </c>
      <c r="K2229" s="50">
        <f>34+13</f>
        <v>47</v>
      </c>
    </row>
    <row r="2230" spans="1:11" x14ac:dyDescent="0.25">
      <c r="A2230" s="235">
        <f>A2228+1</f>
        <v>4</v>
      </c>
      <c r="B2230" s="235">
        <v>6966</v>
      </c>
      <c r="C2230" s="241" t="s">
        <v>310</v>
      </c>
      <c r="D2230" s="224">
        <v>376.1</v>
      </c>
      <c r="E2230" s="224" t="s">
        <v>167</v>
      </c>
      <c r="F2230" s="228">
        <v>2</v>
      </c>
      <c r="G2230" s="110"/>
      <c r="H2230" s="57" t="s">
        <v>66</v>
      </c>
      <c r="I2230" s="50">
        <f>SUM(I2231:I2236)</f>
        <v>1521324.5</v>
      </c>
      <c r="J2230" s="50">
        <f>SUM(J2231:J2236)</f>
        <v>4045</v>
      </c>
      <c r="K2230" s="50">
        <f>SUM(K2231:K2236)</f>
        <v>4051</v>
      </c>
    </row>
    <row r="2231" spans="1:11" ht="31.5" customHeight="1" x14ac:dyDescent="0.25">
      <c r="A2231" s="249"/>
      <c r="B2231" s="249"/>
      <c r="C2231" s="242"/>
      <c r="D2231" s="227"/>
      <c r="E2231" s="227"/>
      <c r="F2231" s="229"/>
      <c r="G2231" s="216" t="s">
        <v>70</v>
      </c>
      <c r="H2231" s="69" t="s">
        <v>67</v>
      </c>
      <c r="I2231" s="50">
        <f>D2230*K2231</f>
        <v>1094827.1000000001</v>
      </c>
      <c r="J2231" s="50">
        <f>I2231/D2230</f>
        <v>2911</v>
      </c>
      <c r="K2231" s="50">
        <v>2911</v>
      </c>
    </row>
    <row r="2232" spans="1:11" x14ac:dyDescent="0.25">
      <c r="A2232" s="249"/>
      <c r="B2232" s="249"/>
      <c r="C2232" s="242"/>
      <c r="D2232" s="227"/>
      <c r="E2232" s="227"/>
      <c r="F2232" s="229"/>
      <c r="G2232" s="222"/>
      <c r="H2232" s="69" t="s">
        <v>69</v>
      </c>
      <c r="I2232" s="1">
        <v>21813.8</v>
      </c>
      <c r="J2232" s="50">
        <f>I2232/D2230</f>
        <v>58</v>
      </c>
      <c r="K2232" s="50">
        <v>62</v>
      </c>
    </row>
    <row r="2233" spans="1:11" ht="30" customHeight="1" x14ac:dyDescent="0.25">
      <c r="A2233" s="249"/>
      <c r="B2233" s="249"/>
      <c r="C2233" s="242"/>
      <c r="D2233" s="227"/>
      <c r="E2233" s="227"/>
      <c r="F2233" s="229"/>
      <c r="G2233" s="216" t="s">
        <v>71</v>
      </c>
      <c r="H2233" s="69" t="s">
        <v>67</v>
      </c>
      <c r="I2233" s="1">
        <f>D2230*K2233</f>
        <v>192939.3</v>
      </c>
      <c r="J2233" s="50">
        <f>I2233/D2230</f>
        <v>513</v>
      </c>
      <c r="K2233" s="50">
        <v>513</v>
      </c>
    </row>
    <row r="2234" spans="1:11" ht="30" customHeight="1" x14ac:dyDescent="0.25">
      <c r="A2234" s="249"/>
      <c r="B2234" s="249"/>
      <c r="C2234" s="242"/>
      <c r="D2234" s="227"/>
      <c r="E2234" s="227"/>
      <c r="F2234" s="229"/>
      <c r="G2234" s="222"/>
      <c r="H2234" s="69" t="s">
        <v>69</v>
      </c>
      <c r="I2234" s="1">
        <v>3761</v>
      </c>
      <c r="J2234" s="50">
        <f>I2234/D2230</f>
        <v>10</v>
      </c>
      <c r="K2234" s="50">
        <v>11</v>
      </c>
    </row>
    <row r="2235" spans="1:11" ht="30" customHeight="1" x14ac:dyDescent="0.25">
      <c r="A2235" s="249"/>
      <c r="B2235" s="249"/>
      <c r="C2235" s="242"/>
      <c r="D2235" s="227"/>
      <c r="E2235" s="227"/>
      <c r="F2235" s="229"/>
      <c r="G2235" s="216" t="s">
        <v>72</v>
      </c>
      <c r="H2235" s="69" t="s">
        <v>67</v>
      </c>
      <c r="I2235" s="1">
        <f>D2230*K2235</f>
        <v>203846.2</v>
      </c>
      <c r="J2235" s="50">
        <f>I2235/D2230</f>
        <v>542</v>
      </c>
      <c r="K2235" s="50">
        <v>542</v>
      </c>
    </row>
    <row r="2236" spans="1:11" ht="30" customHeight="1" x14ac:dyDescent="0.25">
      <c r="A2236" s="249"/>
      <c r="B2236" s="249"/>
      <c r="C2236" s="243"/>
      <c r="D2236" s="227"/>
      <c r="E2236" s="227"/>
      <c r="F2236" s="230"/>
      <c r="G2236" s="222"/>
      <c r="H2236" s="69" t="s">
        <v>69</v>
      </c>
      <c r="I2236" s="1">
        <v>4137.1000000000004</v>
      </c>
      <c r="J2236" s="50">
        <f>I2236/D2230</f>
        <v>11</v>
      </c>
      <c r="K2236" s="50">
        <v>12</v>
      </c>
    </row>
    <row r="2237" spans="1:11" x14ac:dyDescent="0.25">
      <c r="A2237" s="235">
        <f>A2230+1</f>
        <v>5</v>
      </c>
      <c r="B2237" s="235">
        <v>6968</v>
      </c>
      <c r="C2237" s="241" t="s">
        <v>311</v>
      </c>
      <c r="D2237" s="224">
        <v>393.8</v>
      </c>
      <c r="E2237" s="224" t="s">
        <v>167</v>
      </c>
      <c r="F2237" s="228">
        <v>2</v>
      </c>
      <c r="G2237" s="110"/>
      <c r="H2237" s="57" t="s">
        <v>66</v>
      </c>
      <c r="I2237" s="1">
        <f>SUM(I2238:I2243)</f>
        <v>1592921</v>
      </c>
      <c r="J2237" s="50">
        <f>SUM(J2238:J2243)</f>
        <v>4045</v>
      </c>
      <c r="K2237" s="50">
        <f>SUM(K2238:K2243)</f>
        <v>4051</v>
      </c>
    </row>
    <row r="2238" spans="1:11" x14ac:dyDescent="0.25">
      <c r="A2238" s="249"/>
      <c r="B2238" s="249"/>
      <c r="C2238" s="242"/>
      <c r="D2238" s="227"/>
      <c r="E2238" s="227"/>
      <c r="F2238" s="229"/>
      <c r="G2238" s="216" t="s">
        <v>70</v>
      </c>
      <c r="H2238" s="69" t="s">
        <v>67</v>
      </c>
      <c r="I2238" s="1">
        <f>D2237*K2238</f>
        <v>1146351.8</v>
      </c>
      <c r="J2238" s="50">
        <f>I2238/D2237</f>
        <v>2911</v>
      </c>
      <c r="K2238" s="50">
        <v>2911</v>
      </c>
    </row>
    <row r="2239" spans="1:11" x14ac:dyDescent="0.25">
      <c r="A2239" s="249"/>
      <c r="B2239" s="249"/>
      <c r="C2239" s="242"/>
      <c r="D2239" s="227"/>
      <c r="E2239" s="227"/>
      <c r="F2239" s="229"/>
      <c r="G2239" s="222"/>
      <c r="H2239" s="69" t="s">
        <v>69</v>
      </c>
      <c r="I2239" s="1">
        <v>22840.400000000001</v>
      </c>
      <c r="J2239" s="50">
        <f>I2239/D2237</f>
        <v>58</v>
      </c>
      <c r="K2239" s="50">
        <v>62</v>
      </c>
    </row>
    <row r="2240" spans="1:11" ht="23.25" customHeight="1" x14ac:dyDescent="0.25">
      <c r="A2240" s="249"/>
      <c r="B2240" s="249"/>
      <c r="C2240" s="242"/>
      <c r="D2240" s="227"/>
      <c r="E2240" s="227"/>
      <c r="F2240" s="229"/>
      <c r="G2240" s="216" t="s">
        <v>71</v>
      </c>
      <c r="H2240" s="69" t="s">
        <v>67</v>
      </c>
      <c r="I2240" s="1">
        <f>D2237*K2240</f>
        <v>202019.4</v>
      </c>
      <c r="J2240" s="50">
        <f>I2240/D2237</f>
        <v>513</v>
      </c>
      <c r="K2240" s="50">
        <v>513</v>
      </c>
    </row>
    <row r="2241" spans="1:11" ht="23.25" customHeight="1" x14ac:dyDescent="0.25">
      <c r="A2241" s="249"/>
      <c r="B2241" s="249"/>
      <c r="C2241" s="242"/>
      <c r="D2241" s="227"/>
      <c r="E2241" s="227"/>
      <c r="F2241" s="229"/>
      <c r="G2241" s="222"/>
      <c r="H2241" s="69" t="s">
        <v>69</v>
      </c>
      <c r="I2241" s="1">
        <v>3938</v>
      </c>
      <c r="J2241" s="50">
        <f>I2241/D2237</f>
        <v>10</v>
      </c>
      <c r="K2241" s="50">
        <v>11</v>
      </c>
    </row>
    <row r="2242" spans="1:11" ht="23.25" customHeight="1" x14ac:dyDescent="0.25">
      <c r="A2242" s="249"/>
      <c r="B2242" s="249"/>
      <c r="C2242" s="242"/>
      <c r="D2242" s="227"/>
      <c r="E2242" s="227"/>
      <c r="F2242" s="229"/>
      <c r="G2242" s="216" t="s">
        <v>72</v>
      </c>
      <c r="H2242" s="69" t="s">
        <v>67</v>
      </c>
      <c r="I2242" s="1">
        <f>D2237*K2242</f>
        <v>213439.6</v>
      </c>
      <c r="J2242" s="50">
        <f>I2242/D2237</f>
        <v>542</v>
      </c>
      <c r="K2242" s="50">
        <v>542</v>
      </c>
    </row>
    <row r="2243" spans="1:11" ht="23.25" customHeight="1" x14ac:dyDescent="0.25">
      <c r="A2243" s="249"/>
      <c r="B2243" s="249"/>
      <c r="C2243" s="243"/>
      <c r="D2243" s="227"/>
      <c r="E2243" s="227"/>
      <c r="F2243" s="230"/>
      <c r="G2243" s="222"/>
      <c r="H2243" s="69" t="s">
        <v>69</v>
      </c>
      <c r="I2243" s="1">
        <v>4331.8</v>
      </c>
      <c r="J2243" s="50">
        <f>I2243/D2237</f>
        <v>11</v>
      </c>
      <c r="K2243" s="50">
        <v>12</v>
      </c>
    </row>
    <row r="2244" spans="1:11" x14ac:dyDescent="0.25">
      <c r="A2244" s="235">
        <f>A2237+1</f>
        <v>6</v>
      </c>
      <c r="B2244" s="235">
        <v>6974</v>
      </c>
      <c r="C2244" s="241" t="s">
        <v>312</v>
      </c>
      <c r="D2244" s="224">
        <v>629.72</v>
      </c>
      <c r="E2244" s="224" t="s">
        <v>167</v>
      </c>
      <c r="F2244" s="228">
        <v>2</v>
      </c>
      <c r="G2244" s="110"/>
      <c r="H2244" s="57" t="s">
        <v>66</v>
      </c>
      <c r="I2244" s="50">
        <f>SUM(I2245:I2247)</f>
        <v>136649.24</v>
      </c>
      <c r="J2244" s="50">
        <f>SUM(J2245:J2247)</f>
        <v>217</v>
      </c>
      <c r="K2244" s="50">
        <f>SUM(K2245:K2247)</f>
        <v>217</v>
      </c>
    </row>
    <row r="2245" spans="1:11" ht="63" x14ac:dyDescent="0.25">
      <c r="A2245" s="249"/>
      <c r="B2245" s="249"/>
      <c r="C2245" s="242"/>
      <c r="D2245" s="227"/>
      <c r="E2245" s="227"/>
      <c r="F2245" s="229"/>
      <c r="G2245" s="102" t="s">
        <v>70</v>
      </c>
      <c r="H2245" s="57" t="s">
        <v>168</v>
      </c>
      <c r="I2245" s="50">
        <f>D2244*K2245</f>
        <v>86271.64</v>
      </c>
      <c r="J2245" s="50">
        <f>I2245/D2244</f>
        <v>137</v>
      </c>
      <c r="K2245" s="50">
        <f>116+21</f>
        <v>137</v>
      </c>
    </row>
    <row r="2246" spans="1:11" ht="63" x14ac:dyDescent="0.25">
      <c r="A2246" s="249"/>
      <c r="B2246" s="249"/>
      <c r="C2246" s="242"/>
      <c r="D2246" s="227"/>
      <c r="E2246" s="227"/>
      <c r="F2246" s="229"/>
      <c r="G2246" s="102" t="s">
        <v>71</v>
      </c>
      <c r="H2246" s="57" t="s">
        <v>168</v>
      </c>
      <c r="I2246" s="50">
        <f>D2244*K2246</f>
        <v>24559.08</v>
      </c>
      <c r="J2246" s="50">
        <f>I2246/D2244</f>
        <v>39</v>
      </c>
      <c r="K2246" s="50">
        <f>30+9</f>
        <v>39</v>
      </c>
    </row>
    <row r="2247" spans="1:11" ht="63" x14ac:dyDescent="0.25">
      <c r="A2247" s="249"/>
      <c r="B2247" s="249"/>
      <c r="C2247" s="243"/>
      <c r="D2247" s="227"/>
      <c r="E2247" s="227"/>
      <c r="F2247" s="230"/>
      <c r="G2247" s="102" t="s">
        <v>72</v>
      </c>
      <c r="H2247" s="57" t="s">
        <v>168</v>
      </c>
      <c r="I2247" s="50">
        <f>D2244*K2247</f>
        <v>25818.52</v>
      </c>
      <c r="J2247" s="50">
        <f>I2247/D2244</f>
        <v>41</v>
      </c>
      <c r="K2247" s="50">
        <f>22+19</f>
        <v>41</v>
      </c>
    </row>
    <row r="2248" spans="1:11" x14ac:dyDescent="0.25">
      <c r="A2248" s="235">
        <f>A2244+1</f>
        <v>7</v>
      </c>
      <c r="B2248" s="235">
        <v>6975</v>
      </c>
      <c r="C2248" s="241" t="s">
        <v>313</v>
      </c>
      <c r="D2248" s="224">
        <v>629.1</v>
      </c>
      <c r="E2248" s="224" t="s">
        <v>167</v>
      </c>
      <c r="F2248" s="228">
        <v>2</v>
      </c>
      <c r="G2248" s="110"/>
      <c r="H2248" s="57" t="s">
        <v>66</v>
      </c>
      <c r="I2248" s="50">
        <f>SUM(I2249:I2251)</f>
        <v>136514.70000000001</v>
      </c>
      <c r="J2248" s="50">
        <f>SUM(J2249:J2251)</f>
        <v>217</v>
      </c>
      <c r="K2248" s="50">
        <f>SUM(K2249:K2251)</f>
        <v>217</v>
      </c>
    </row>
    <row r="2249" spans="1:11" ht="63" x14ac:dyDescent="0.25">
      <c r="A2249" s="249"/>
      <c r="B2249" s="249"/>
      <c r="C2249" s="242"/>
      <c r="D2249" s="227"/>
      <c r="E2249" s="227"/>
      <c r="F2249" s="229"/>
      <c r="G2249" s="102" t="s">
        <v>70</v>
      </c>
      <c r="H2249" s="57" t="s">
        <v>168</v>
      </c>
      <c r="I2249" s="50">
        <f>D2248*K2249</f>
        <v>86186.7</v>
      </c>
      <c r="J2249" s="50">
        <f>I2249/D2248</f>
        <v>137</v>
      </c>
      <c r="K2249" s="50">
        <f>116+21</f>
        <v>137</v>
      </c>
    </row>
    <row r="2250" spans="1:11" ht="63" x14ac:dyDescent="0.25">
      <c r="A2250" s="249"/>
      <c r="B2250" s="249"/>
      <c r="C2250" s="242"/>
      <c r="D2250" s="227"/>
      <c r="E2250" s="227"/>
      <c r="F2250" s="229"/>
      <c r="G2250" s="102" t="s">
        <v>71</v>
      </c>
      <c r="H2250" s="57" t="s">
        <v>168</v>
      </c>
      <c r="I2250" s="50">
        <f>D2248*K2250</f>
        <v>24534.9</v>
      </c>
      <c r="J2250" s="50">
        <f>I2250/D2248</f>
        <v>39</v>
      </c>
      <c r="K2250" s="50">
        <f>30+9</f>
        <v>39</v>
      </c>
    </row>
    <row r="2251" spans="1:11" ht="63" x14ac:dyDescent="0.25">
      <c r="A2251" s="249"/>
      <c r="B2251" s="249"/>
      <c r="C2251" s="243"/>
      <c r="D2251" s="227"/>
      <c r="E2251" s="227"/>
      <c r="F2251" s="230"/>
      <c r="G2251" s="102" t="s">
        <v>72</v>
      </c>
      <c r="H2251" s="57" t="s">
        <v>168</v>
      </c>
      <c r="I2251" s="50">
        <f>D2248*K2251</f>
        <v>25793.1</v>
      </c>
      <c r="J2251" s="50">
        <f>I2251/D2248</f>
        <v>41</v>
      </c>
      <c r="K2251" s="50">
        <f>22+19</f>
        <v>41</v>
      </c>
    </row>
    <row r="2252" spans="1:11" x14ac:dyDescent="0.25">
      <c r="A2252" s="235">
        <f>A2248+1</f>
        <v>8</v>
      </c>
      <c r="B2252" s="235">
        <v>6979</v>
      </c>
      <c r="C2252" s="241" t="s">
        <v>314</v>
      </c>
      <c r="D2252" s="224">
        <v>340.5</v>
      </c>
      <c r="E2252" s="224" t="s">
        <v>167</v>
      </c>
      <c r="F2252" s="228">
        <v>2</v>
      </c>
      <c r="G2252" s="110"/>
      <c r="H2252" s="57" t="s">
        <v>66</v>
      </c>
      <c r="I2252" s="50">
        <f>SUM(I2253:I2258)</f>
        <v>1379365.5</v>
      </c>
      <c r="J2252" s="50">
        <f>SUM(J2253:J2258)</f>
        <v>4051</v>
      </c>
      <c r="K2252" s="50">
        <f>SUM(K2253:K2258)</f>
        <v>4051</v>
      </c>
    </row>
    <row r="2253" spans="1:11" x14ac:dyDescent="0.25">
      <c r="A2253" s="249"/>
      <c r="B2253" s="249"/>
      <c r="C2253" s="242"/>
      <c r="D2253" s="224"/>
      <c r="E2253" s="227"/>
      <c r="F2253" s="229"/>
      <c r="G2253" s="216" t="s">
        <v>70</v>
      </c>
      <c r="H2253" s="69" t="s">
        <v>67</v>
      </c>
      <c r="I2253" s="50">
        <f>D2252*K2253</f>
        <v>991195.5</v>
      </c>
      <c r="J2253" s="50">
        <f>I2253/D2252</f>
        <v>2911</v>
      </c>
      <c r="K2253" s="50">
        <v>2911</v>
      </c>
    </row>
    <row r="2254" spans="1:11" x14ac:dyDescent="0.25">
      <c r="A2254" s="249"/>
      <c r="B2254" s="249"/>
      <c r="C2254" s="242"/>
      <c r="D2254" s="224"/>
      <c r="E2254" s="227"/>
      <c r="F2254" s="229"/>
      <c r="G2254" s="222"/>
      <c r="H2254" s="69" t="s">
        <v>69</v>
      </c>
      <c r="I2254" s="50">
        <f>D2252*K2254</f>
        <v>21111</v>
      </c>
      <c r="J2254" s="50">
        <f>I2254/D2252</f>
        <v>62</v>
      </c>
      <c r="K2254" s="50">
        <v>62</v>
      </c>
    </row>
    <row r="2255" spans="1:11" x14ac:dyDescent="0.25">
      <c r="A2255" s="249"/>
      <c r="B2255" s="249"/>
      <c r="C2255" s="242"/>
      <c r="D2255" s="224"/>
      <c r="E2255" s="227"/>
      <c r="F2255" s="229"/>
      <c r="G2255" s="216" t="s">
        <v>71</v>
      </c>
      <c r="H2255" s="69" t="s">
        <v>67</v>
      </c>
      <c r="I2255" s="50">
        <f>D2252*K2255</f>
        <v>174676.5</v>
      </c>
      <c r="J2255" s="50">
        <f>I2255/D2252</f>
        <v>513</v>
      </c>
      <c r="K2255" s="50">
        <v>513</v>
      </c>
    </row>
    <row r="2256" spans="1:11" x14ac:dyDescent="0.25">
      <c r="A2256" s="249"/>
      <c r="B2256" s="249"/>
      <c r="C2256" s="242"/>
      <c r="D2256" s="224"/>
      <c r="E2256" s="227"/>
      <c r="F2256" s="229"/>
      <c r="G2256" s="222"/>
      <c r="H2256" s="69" t="s">
        <v>69</v>
      </c>
      <c r="I2256" s="50">
        <f>D2252*K2256</f>
        <v>3745.5</v>
      </c>
      <c r="J2256" s="50">
        <f>I2256/D2252</f>
        <v>11</v>
      </c>
      <c r="K2256" s="50">
        <v>11</v>
      </c>
    </row>
    <row r="2257" spans="1:11" x14ac:dyDescent="0.25">
      <c r="A2257" s="249"/>
      <c r="B2257" s="249"/>
      <c r="C2257" s="242"/>
      <c r="D2257" s="224"/>
      <c r="E2257" s="227"/>
      <c r="F2257" s="229"/>
      <c r="G2257" s="216" t="s">
        <v>72</v>
      </c>
      <c r="H2257" s="69" t="s">
        <v>67</v>
      </c>
      <c r="I2257" s="50">
        <f>D2252*K2257</f>
        <v>184551</v>
      </c>
      <c r="J2257" s="50">
        <f>I2257/D2252</f>
        <v>542</v>
      </c>
      <c r="K2257" s="50">
        <v>542</v>
      </c>
    </row>
    <row r="2258" spans="1:11" x14ac:dyDescent="0.25">
      <c r="A2258" s="249"/>
      <c r="B2258" s="249"/>
      <c r="C2258" s="243"/>
      <c r="D2258" s="224"/>
      <c r="E2258" s="227"/>
      <c r="F2258" s="230"/>
      <c r="G2258" s="222"/>
      <c r="H2258" s="69" t="s">
        <v>69</v>
      </c>
      <c r="I2258" s="50">
        <f>D2252*K2258</f>
        <v>4086</v>
      </c>
      <c r="J2258" s="50">
        <f>I2258/D2252</f>
        <v>12</v>
      </c>
      <c r="K2258" s="50">
        <v>12</v>
      </c>
    </row>
    <row r="2259" spans="1:11" x14ac:dyDescent="0.25">
      <c r="A2259" s="235">
        <f>A2252+1</f>
        <v>9</v>
      </c>
      <c r="B2259" s="235">
        <v>6980</v>
      </c>
      <c r="C2259" s="241" t="s">
        <v>315</v>
      </c>
      <c r="D2259" s="224">
        <v>645.70000000000005</v>
      </c>
      <c r="E2259" s="224" t="s">
        <v>68</v>
      </c>
      <c r="F2259" s="228">
        <v>2</v>
      </c>
      <c r="G2259" s="110"/>
      <c r="H2259" s="57" t="s">
        <v>66</v>
      </c>
      <c r="I2259" s="50">
        <f>SUM(I2260:I2268)</f>
        <v>2909524.2</v>
      </c>
      <c r="J2259" s="50">
        <f>SUM(J2260:J2268)</f>
        <v>4506</v>
      </c>
      <c r="K2259" s="50">
        <f>SUM(K2260:K2268)</f>
        <v>4506</v>
      </c>
    </row>
    <row r="2260" spans="1:11" ht="63" x14ac:dyDescent="0.25">
      <c r="A2260" s="249"/>
      <c r="B2260" s="249"/>
      <c r="C2260" s="242"/>
      <c r="D2260" s="227"/>
      <c r="E2260" s="227"/>
      <c r="F2260" s="229"/>
      <c r="G2260" s="216" t="s">
        <v>70</v>
      </c>
      <c r="H2260" s="57" t="s">
        <v>168</v>
      </c>
      <c r="I2260" s="50">
        <f>D2259*K2260</f>
        <v>88460.9</v>
      </c>
      <c r="J2260" s="50">
        <f>I2260/D2259</f>
        <v>137</v>
      </c>
      <c r="K2260" s="50">
        <f>116+21</f>
        <v>137</v>
      </c>
    </row>
    <row r="2261" spans="1:11" x14ac:dyDescent="0.25">
      <c r="A2261" s="249"/>
      <c r="B2261" s="249"/>
      <c r="C2261" s="242"/>
      <c r="D2261" s="227"/>
      <c r="E2261" s="227"/>
      <c r="F2261" s="229"/>
      <c r="G2261" s="217"/>
      <c r="H2261" s="57" t="s">
        <v>67</v>
      </c>
      <c r="I2261" s="50">
        <f>D2259*K2261</f>
        <v>1879632.7</v>
      </c>
      <c r="J2261" s="50">
        <f>I2261/D2259</f>
        <v>2911</v>
      </c>
      <c r="K2261" s="50">
        <v>2911</v>
      </c>
    </row>
    <row r="2262" spans="1:11" x14ac:dyDescent="0.25">
      <c r="A2262" s="249"/>
      <c r="B2262" s="249"/>
      <c r="C2262" s="242"/>
      <c r="D2262" s="227"/>
      <c r="E2262" s="227"/>
      <c r="F2262" s="229"/>
      <c r="G2262" s="222"/>
      <c r="H2262" s="57" t="s">
        <v>69</v>
      </c>
      <c r="I2262" s="50">
        <f>D2259*K2262</f>
        <v>40033.4</v>
      </c>
      <c r="J2262" s="50">
        <f>I2262/D2259</f>
        <v>62</v>
      </c>
      <c r="K2262" s="50">
        <v>62</v>
      </c>
    </row>
    <row r="2263" spans="1:11" ht="63" x14ac:dyDescent="0.25">
      <c r="A2263" s="249"/>
      <c r="B2263" s="249"/>
      <c r="C2263" s="242"/>
      <c r="D2263" s="227"/>
      <c r="E2263" s="227"/>
      <c r="F2263" s="229"/>
      <c r="G2263" s="216" t="s">
        <v>71</v>
      </c>
      <c r="H2263" s="57" t="s">
        <v>168</v>
      </c>
      <c r="I2263" s="50">
        <f>D2259*K2263</f>
        <v>25182.3</v>
      </c>
      <c r="J2263" s="50">
        <f>I2263/D2259</f>
        <v>39</v>
      </c>
      <c r="K2263" s="50">
        <f>30+9</f>
        <v>39</v>
      </c>
    </row>
    <row r="2264" spans="1:11" x14ac:dyDescent="0.25">
      <c r="A2264" s="249"/>
      <c r="B2264" s="249"/>
      <c r="C2264" s="242"/>
      <c r="D2264" s="227"/>
      <c r="E2264" s="227"/>
      <c r="F2264" s="229"/>
      <c r="G2264" s="217"/>
      <c r="H2264" s="57" t="s">
        <v>67</v>
      </c>
      <c r="I2264" s="50">
        <f>D2259*K2264</f>
        <v>481692.2</v>
      </c>
      <c r="J2264" s="50">
        <f>I2264/D2259</f>
        <v>746</v>
      </c>
      <c r="K2264" s="50">
        <v>746</v>
      </c>
    </row>
    <row r="2265" spans="1:11" x14ac:dyDescent="0.25">
      <c r="A2265" s="249"/>
      <c r="B2265" s="249"/>
      <c r="C2265" s="242"/>
      <c r="D2265" s="227"/>
      <c r="E2265" s="227"/>
      <c r="F2265" s="229"/>
      <c r="G2265" s="222"/>
      <c r="H2265" s="57" t="s">
        <v>69</v>
      </c>
      <c r="I2265" s="50">
        <f>D2259*K2265</f>
        <v>10331.200000000001</v>
      </c>
      <c r="J2265" s="50">
        <f>I2265/D2259</f>
        <v>16</v>
      </c>
      <c r="K2265" s="50">
        <v>16</v>
      </c>
    </row>
    <row r="2266" spans="1:11" ht="63" x14ac:dyDescent="0.25">
      <c r="A2266" s="249"/>
      <c r="B2266" s="249"/>
      <c r="C2266" s="242"/>
      <c r="D2266" s="227"/>
      <c r="E2266" s="227"/>
      <c r="F2266" s="229"/>
      <c r="G2266" s="216" t="s">
        <v>72</v>
      </c>
      <c r="H2266" s="57" t="s">
        <v>168</v>
      </c>
      <c r="I2266" s="50">
        <f>D2259*K2266</f>
        <v>26473.7</v>
      </c>
      <c r="J2266" s="50">
        <f>I2266/D2259</f>
        <v>41</v>
      </c>
      <c r="K2266" s="50">
        <f>22+19</f>
        <v>41</v>
      </c>
    </row>
    <row r="2267" spans="1:11" x14ac:dyDescent="0.25">
      <c r="A2267" s="249"/>
      <c r="B2267" s="249"/>
      <c r="C2267" s="242"/>
      <c r="D2267" s="227"/>
      <c r="E2267" s="227"/>
      <c r="F2267" s="229"/>
      <c r="G2267" s="217"/>
      <c r="H2267" s="57" t="s">
        <v>67</v>
      </c>
      <c r="I2267" s="50">
        <f>D2259*K2267</f>
        <v>349969.4</v>
      </c>
      <c r="J2267" s="50">
        <f>I2267/D2259</f>
        <v>542</v>
      </c>
      <c r="K2267" s="50">
        <v>542</v>
      </c>
    </row>
    <row r="2268" spans="1:11" x14ac:dyDescent="0.25">
      <c r="A2268" s="249"/>
      <c r="B2268" s="249"/>
      <c r="C2268" s="243"/>
      <c r="D2268" s="227"/>
      <c r="E2268" s="227"/>
      <c r="F2268" s="230"/>
      <c r="G2268" s="222"/>
      <c r="H2268" s="57" t="s">
        <v>69</v>
      </c>
      <c r="I2268" s="50">
        <f>D2259*K2268</f>
        <v>7748.4</v>
      </c>
      <c r="J2268" s="50">
        <f>I2268/D2259</f>
        <v>12</v>
      </c>
      <c r="K2268" s="50">
        <v>12</v>
      </c>
    </row>
    <row r="2269" spans="1:11" x14ac:dyDescent="0.25">
      <c r="A2269" s="235">
        <f>A2259+1</f>
        <v>10</v>
      </c>
      <c r="B2269" s="235">
        <v>6982</v>
      </c>
      <c r="C2269" s="241" t="s">
        <v>316</v>
      </c>
      <c r="D2269" s="224">
        <v>652.70000000000005</v>
      </c>
      <c r="E2269" s="224" t="s">
        <v>68</v>
      </c>
      <c r="F2269" s="228">
        <v>2</v>
      </c>
      <c r="G2269" s="110"/>
      <c r="H2269" s="57" t="s">
        <v>66</v>
      </c>
      <c r="I2269" s="50">
        <f>SUM(I2270:I2272)</f>
        <v>143594</v>
      </c>
      <c r="J2269" s="50">
        <f>SUM(J2270:J2272)</f>
        <v>220</v>
      </c>
      <c r="K2269" s="50">
        <f>SUM(K2270:K2272)</f>
        <v>220</v>
      </c>
    </row>
    <row r="2270" spans="1:11" ht="63" x14ac:dyDescent="0.25">
      <c r="A2270" s="249"/>
      <c r="B2270" s="249"/>
      <c r="C2270" s="242"/>
      <c r="D2270" s="227"/>
      <c r="E2270" s="227"/>
      <c r="F2270" s="229"/>
      <c r="G2270" s="102" t="s">
        <v>70</v>
      </c>
      <c r="H2270" s="57" t="s">
        <v>168</v>
      </c>
      <c r="I2270" s="50">
        <f>D2269*K2270</f>
        <v>89419.9</v>
      </c>
      <c r="J2270" s="50">
        <f>I2270/D2269</f>
        <v>137</v>
      </c>
      <c r="K2270" s="50">
        <f>116+21</f>
        <v>137</v>
      </c>
    </row>
    <row r="2271" spans="1:11" ht="63" x14ac:dyDescent="0.25">
      <c r="A2271" s="249"/>
      <c r="B2271" s="249"/>
      <c r="C2271" s="242"/>
      <c r="D2271" s="227"/>
      <c r="E2271" s="227"/>
      <c r="F2271" s="229"/>
      <c r="G2271" s="102" t="s">
        <v>71</v>
      </c>
      <c r="H2271" s="57" t="s">
        <v>168</v>
      </c>
      <c r="I2271" s="50">
        <f>D2269*K2271</f>
        <v>27413.4</v>
      </c>
      <c r="J2271" s="50">
        <f>I2271/D2269</f>
        <v>42</v>
      </c>
      <c r="K2271" s="50">
        <f>21+21</f>
        <v>42</v>
      </c>
    </row>
    <row r="2272" spans="1:11" ht="63" x14ac:dyDescent="0.25">
      <c r="A2272" s="249"/>
      <c r="B2272" s="249"/>
      <c r="C2272" s="243"/>
      <c r="D2272" s="227"/>
      <c r="E2272" s="227"/>
      <c r="F2272" s="230"/>
      <c r="G2272" s="102" t="s">
        <v>72</v>
      </c>
      <c r="H2272" s="57" t="s">
        <v>168</v>
      </c>
      <c r="I2272" s="50">
        <f>D2269*K2272</f>
        <v>26760.7</v>
      </c>
      <c r="J2272" s="50">
        <f>I2272/D2269</f>
        <v>41</v>
      </c>
      <c r="K2272" s="50">
        <f>22+19</f>
        <v>41</v>
      </c>
    </row>
    <row r="2273" spans="1:161" x14ac:dyDescent="0.25">
      <c r="A2273" s="235">
        <f>A2269+1</f>
        <v>11</v>
      </c>
      <c r="B2273" s="235">
        <v>6983</v>
      </c>
      <c r="C2273" s="241" t="s">
        <v>317</v>
      </c>
      <c r="D2273" s="224">
        <v>403.9</v>
      </c>
      <c r="E2273" s="224" t="s">
        <v>167</v>
      </c>
      <c r="F2273" s="228">
        <v>2</v>
      </c>
      <c r="G2273" s="110"/>
      <c r="H2273" s="57" t="s">
        <v>66</v>
      </c>
      <c r="I2273" s="50">
        <f>SUM(I2274:I2276)</f>
        <v>88858</v>
      </c>
      <c r="J2273" s="50">
        <f>SUM(J2274:J2276)</f>
        <v>220</v>
      </c>
      <c r="K2273" s="50">
        <f>SUM(K2274:K2276)</f>
        <v>220</v>
      </c>
    </row>
    <row r="2274" spans="1:161" ht="63" x14ac:dyDescent="0.25">
      <c r="A2274" s="249"/>
      <c r="B2274" s="249"/>
      <c r="C2274" s="242"/>
      <c r="D2274" s="227"/>
      <c r="E2274" s="227"/>
      <c r="F2274" s="229"/>
      <c r="G2274" s="102" t="s">
        <v>70</v>
      </c>
      <c r="H2274" s="57" t="s">
        <v>168</v>
      </c>
      <c r="I2274" s="50">
        <f>D2273*K2274</f>
        <v>55334.3</v>
      </c>
      <c r="J2274" s="50">
        <f>I2274/D2273</f>
        <v>137</v>
      </c>
      <c r="K2274" s="50">
        <f>116+21</f>
        <v>137</v>
      </c>
    </row>
    <row r="2275" spans="1:161" ht="63" x14ac:dyDescent="0.25">
      <c r="A2275" s="249"/>
      <c r="B2275" s="249"/>
      <c r="C2275" s="242"/>
      <c r="D2275" s="227"/>
      <c r="E2275" s="227"/>
      <c r="F2275" s="229"/>
      <c r="G2275" s="105" t="s">
        <v>71</v>
      </c>
      <c r="H2275" s="57" t="s">
        <v>168</v>
      </c>
      <c r="I2275" s="50">
        <f>D2273*K2275</f>
        <v>16963.8</v>
      </c>
      <c r="J2275" s="50">
        <f>I2275/D2273</f>
        <v>42</v>
      </c>
      <c r="K2275" s="50">
        <f>21+21</f>
        <v>42</v>
      </c>
    </row>
    <row r="2276" spans="1:161" ht="63" x14ac:dyDescent="0.25">
      <c r="A2276" s="249"/>
      <c r="B2276" s="249"/>
      <c r="C2276" s="242"/>
      <c r="D2276" s="227"/>
      <c r="E2276" s="227"/>
      <c r="F2276" s="229"/>
      <c r="G2276" s="105" t="s">
        <v>72</v>
      </c>
      <c r="H2276" s="57" t="s">
        <v>168</v>
      </c>
      <c r="I2276" s="50">
        <f>D2273*K2276</f>
        <v>16559.900000000001</v>
      </c>
      <c r="J2276" s="50">
        <f>I2276/D2273</f>
        <v>41</v>
      </c>
      <c r="K2276" s="50">
        <f>22+19</f>
        <v>41</v>
      </c>
    </row>
    <row r="2277" spans="1:161" x14ac:dyDescent="0.25">
      <c r="A2277" s="235">
        <f>A2273+1</f>
        <v>12</v>
      </c>
      <c r="B2277" s="235">
        <v>6984</v>
      </c>
      <c r="C2277" s="241" t="s">
        <v>318</v>
      </c>
      <c r="D2277" s="224">
        <v>651.1</v>
      </c>
      <c r="E2277" s="224" t="s">
        <v>68</v>
      </c>
      <c r="F2277" s="228">
        <v>2</v>
      </c>
      <c r="G2277" s="110"/>
      <c r="H2277" s="57" t="s">
        <v>66</v>
      </c>
      <c r="I2277" s="50">
        <f>SUM(I2278:I2280)</f>
        <v>141288.70000000001</v>
      </c>
      <c r="J2277" s="50">
        <f>SUM(J2278:J2280)</f>
        <v>217</v>
      </c>
      <c r="K2277" s="50">
        <f>SUM(K2278:K2280)</f>
        <v>217</v>
      </c>
    </row>
    <row r="2278" spans="1:161" ht="63" x14ac:dyDescent="0.25">
      <c r="A2278" s="249"/>
      <c r="B2278" s="249"/>
      <c r="C2278" s="242"/>
      <c r="D2278" s="227"/>
      <c r="E2278" s="227"/>
      <c r="F2278" s="229"/>
      <c r="G2278" s="102" t="s">
        <v>70</v>
      </c>
      <c r="H2278" s="57" t="s">
        <v>168</v>
      </c>
      <c r="I2278" s="50">
        <f>D2277*K2278</f>
        <v>89200.7</v>
      </c>
      <c r="J2278" s="50">
        <f>I2278/D2277</f>
        <v>137</v>
      </c>
      <c r="K2278" s="50">
        <f>116+21</f>
        <v>137</v>
      </c>
    </row>
    <row r="2279" spans="1:161" ht="63" x14ac:dyDescent="0.25">
      <c r="A2279" s="249"/>
      <c r="B2279" s="249"/>
      <c r="C2279" s="242"/>
      <c r="D2279" s="227"/>
      <c r="E2279" s="227"/>
      <c r="F2279" s="229"/>
      <c r="G2279" s="102" t="s">
        <v>71</v>
      </c>
      <c r="H2279" s="57" t="s">
        <v>168</v>
      </c>
      <c r="I2279" s="50">
        <f>D2277*K2279</f>
        <v>25392.9</v>
      </c>
      <c r="J2279" s="50">
        <f>I2279/D2277</f>
        <v>39</v>
      </c>
      <c r="K2279" s="50">
        <f>30+9</f>
        <v>39</v>
      </c>
    </row>
    <row r="2280" spans="1:161" ht="63" x14ac:dyDescent="0.25">
      <c r="A2280" s="249"/>
      <c r="B2280" s="249"/>
      <c r="C2280" s="243"/>
      <c r="D2280" s="227"/>
      <c r="E2280" s="227"/>
      <c r="F2280" s="230"/>
      <c r="G2280" s="102" t="s">
        <v>72</v>
      </c>
      <c r="H2280" s="57" t="s">
        <v>168</v>
      </c>
      <c r="I2280" s="50">
        <f>D2277*K2280</f>
        <v>26695.1</v>
      </c>
      <c r="J2280" s="50">
        <f>I2280/D2277</f>
        <v>41</v>
      </c>
      <c r="K2280" s="50">
        <f>22+19</f>
        <v>41</v>
      </c>
    </row>
    <row r="2281" spans="1:161" x14ac:dyDescent="0.25">
      <c r="A2281" s="235">
        <f>A2277+1</f>
        <v>13</v>
      </c>
      <c r="B2281" s="235">
        <v>6986</v>
      </c>
      <c r="C2281" s="241" t="s">
        <v>319</v>
      </c>
      <c r="D2281" s="224">
        <v>399.28</v>
      </c>
      <c r="E2281" s="224" t="s">
        <v>167</v>
      </c>
      <c r="F2281" s="228">
        <v>2</v>
      </c>
      <c r="G2281" s="110"/>
      <c r="H2281" s="57" t="s">
        <v>66</v>
      </c>
      <c r="I2281" s="50">
        <f>SUM(I2282:I2287)</f>
        <v>1615087.6</v>
      </c>
      <c r="J2281" s="50">
        <f>SUM(J2282:J2287)</f>
        <v>4045</v>
      </c>
      <c r="K2281" s="50">
        <f>SUM(K2282:K2287)</f>
        <v>4051</v>
      </c>
    </row>
    <row r="2282" spans="1:161" x14ac:dyDescent="0.25">
      <c r="A2282" s="249"/>
      <c r="B2282" s="249"/>
      <c r="C2282" s="242"/>
      <c r="D2282" s="227"/>
      <c r="E2282" s="227"/>
      <c r="F2282" s="229"/>
      <c r="G2282" s="216" t="s">
        <v>70</v>
      </c>
      <c r="H2282" s="69" t="s">
        <v>67</v>
      </c>
      <c r="I2282" s="50">
        <f>D2281*K2282</f>
        <v>1162304.08</v>
      </c>
      <c r="J2282" s="50">
        <f>I2282/D2281</f>
        <v>2911</v>
      </c>
      <c r="K2282" s="50">
        <v>2911</v>
      </c>
    </row>
    <row r="2283" spans="1:161" x14ac:dyDescent="0.25">
      <c r="A2283" s="249"/>
      <c r="B2283" s="249"/>
      <c r="C2283" s="242"/>
      <c r="D2283" s="227"/>
      <c r="E2283" s="227"/>
      <c r="F2283" s="229"/>
      <c r="G2283" s="222"/>
      <c r="H2283" s="69" t="s">
        <v>69</v>
      </c>
      <c r="I2283" s="1">
        <v>23158.240000000002</v>
      </c>
      <c r="J2283" s="50">
        <f>I2283/D2281</f>
        <v>58</v>
      </c>
      <c r="K2283" s="50">
        <v>62</v>
      </c>
    </row>
    <row r="2284" spans="1:161" ht="30" customHeight="1" x14ac:dyDescent="0.25">
      <c r="A2284" s="249"/>
      <c r="B2284" s="249"/>
      <c r="C2284" s="242"/>
      <c r="D2284" s="227"/>
      <c r="E2284" s="227"/>
      <c r="F2284" s="229"/>
      <c r="G2284" s="216" t="s">
        <v>71</v>
      </c>
      <c r="H2284" s="69" t="s">
        <v>67</v>
      </c>
      <c r="I2284" s="1">
        <f>D2281*K2284</f>
        <v>204830.64</v>
      </c>
      <c r="J2284" s="50">
        <f>I2284/D2281</f>
        <v>513</v>
      </c>
      <c r="K2284" s="50">
        <v>513</v>
      </c>
    </row>
    <row r="2285" spans="1:161" ht="30" customHeight="1" x14ac:dyDescent="0.25">
      <c r="A2285" s="249"/>
      <c r="B2285" s="249"/>
      <c r="C2285" s="242"/>
      <c r="D2285" s="227"/>
      <c r="E2285" s="227"/>
      <c r="F2285" s="229"/>
      <c r="G2285" s="222"/>
      <c r="H2285" s="69" t="s">
        <v>69</v>
      </c>
      <c r="I2285" s="1">
        <v>3992.8</v>
      </c>
      <c r="J2285" s="50">
        <f>I2285/D2281</f>
        <v>10</v>
      </c>
      <c r="K2285" s="50">
        <v>11</v>
      </c>
      <c r="L2285" s="41"/>
      <c r="M2285" s="41"/>
      <c r="N2285" s="41"/>
      <c r="O2285" s="41"/>
      <c r="P2285" s="41"/>
      <c r="Q2285" s="41"/>
      <c r="R2285" s="41"/>
      <c r="S2285" s="41"/>
      <c r="T2285" s="41"/>
      <c r="U2285" s="41"/>
      <c r="V2285" s="41"/>
      <c r="W2285" s="41"/>
      <c r="X2285" s="41"/>
      <c r="Y2285" s="41"/>
      <c r="Z2285" s="41"/>
      <c r="AA2285" s="41"/>
      <c r="AB2285" s="41"/>
      <c r="AC2285" s="41"/>
      <c r="AD2285" s="41"/>
      <c r="AE2285" s="41"/>
      <c r="AF2285" s="41"/>
      <c r="AG2285" s="41"/>
      <c r="AH2285" s="41"/>
      <c r="AI2285" s="41"/>
      <c r="AJ2285" s="41"/>
      <c r="AK2285" s="41"/>
      <c r="AL2285" s="41"/>
      <c r="AM2285" s="41"/>
      <c r="AN2285" s="41"/>
      <c r="AO2285" s="41"/>
      <c r="AP2285" s="41"/>
      <c r="AQ2285" s="41"/>
      <c r="AR2285" s="41"/>
      <c r="AS2285" s="41"/>
      <c r="AT2285" s="41"/>
      <c r="AU2285" s="41"/>
      <c r="AV2285" s="41"/>
      <c r="AW2285" s="41"/>
      <c r="AX2285" s="41"/>
      <c r="AY2285" s="41"/>
      <c r="AZ2285" s="41"/>
      <c r="BA2285" s="41"/>
      <c r="BB2285" s="41"/>
      <c r="BC2285" s="41"/>
      <c r="BD2285" s="41"/>
      <c r="BE2285" s="41"/>
      <c r="BF2285" s="41"/>
      <c r="BG2285" s="41"/>
      <c r="BH2285" s="41"/>
      <c r="BI2285" s="41"/>
      <c r="BJ2285" s="41"/>
      <c r="BK2285" s="41"/>
      <c r="BL2285" s="41"/>
      <c r="BM2285" s="41"/>
      <c r="BN2285" s="41"/>
      <c r="BO2285" s="41"/>
      <c r="BP2285" s="41"/>
      <c r="BQ2285" s="41"/>
      <c r="BR2285" s="41"/>
      <c r="BS2285" s="41"/>
      <c r="BT2285" s="41"/>
      <c r="BU2285" s="41"/>
      <c r="BV2285" s="41"/>
      <c r="BW2285" s="41"/>
      <c r="BX2285" s="41"/>
      <c r="BY2285" s="41"/>
      <c r="BZ2285" s="41"/>
      <c r="CA2285" s="41"/>
      <c r="CB2285" s="41"/>
      <c r="CC2285" s="41"/>
      <c r="CD2285" s="41"/>
      <c r="CE2285" s="41"/>
      <c r="CF2285" s="41"/>
      <c r="CG2285" s="41"/>
      <c r="CH2285" s="41"/>
      <c r="CI2285" s="41"/>
      <c r="CJ2285" s="41"/>
      <c r="CK2285" s="41"/>
      <c r="CL2285" s="41"/>
      <c r="CM2285" s="41"/>
      <c r="CN2285" s="41"/>
      <c r="CO2285" s="41"/>
      <c r="CP2285" s="41"/>
      <c r="CQ2285" s="41"/>
      <c r="CR2285" s="41"/>
      <c r="CS2285" s="41"/>
      <c r="CT2285" s="41"/>
      <c r="CU2285" s="41"/>
      <c r="CV2285" s="41"/>
      <c r="CW2285" s="41"/>
      <c r="CX2285" s="41"/>
      <c r="CY2285" s="41"/>
      <c r="CZ2285" s="41"/>
      <c r="DA2285" s="41"/>
      <c r="DB2285" s="41"/>
      <c r="DC2285" s="41"/>
      <c r="DD2285" s="41"/>
      <c r="DE2285" s="41"/>
      <c r="DF2285" s="41"/>
      <c r="DG2285" s="41"/>
      <c r="DH2285" s="41"/>
      <c r="DI2285" s="41"/>
      <c r="DJ2285" s="41"/>
      <c r="DK2285" s="41"/>
      <c r="DL2285" s="41"/>
      <c r="DM2285" s="41"/>
      <c r="DN2285" s="41"/>
      <c r="DO2285" s="41"/>
      <c r="DP2285" s="41"/>
      <c r="DQ2285" s="41"/>
      <c r="DR2285" s="41"/>
      <c r="DS2285" s="41"/>
      <c r="DT2285" s="41"/>
      <c r="DU2285" s="41"/>
      <c r="DV2285" s="41"/>
      <c r="DW2285" s="41"/>
      <c r="DX2285" s="41"/>
      <c r="DY2285" s="41"/>
      <c r="DZ2285" s="41"/>
      <c r="EA2285" s="41"/>
      <c r="EB2285" s="41"/>
      <c r="EC2285" s="41"/>
      <c r="ED2285" s="41"/>
      <c r="EE2285" s="41"/>
      <c r="EF2285" s="41"/>
      <c r="EG2285" s="41"/>
      <c r="EH2285" s="41"/>
      <c r="EI2285" s="41"/>
      <c r="EJ2285" s="41"/>
      <c r="EK2285" s="41"/>
      <c r="EL2285" s="41"/>
      <c r="EM2285" s="41"/>
      <c r="EN2285" s="41"/>
      <c r="EO2285" s="41"/>
      <c r="EP2285" s="41"/>
      <c r="EQ2285" s="41"/>
      <c r="ER2285" s="41"/>
      <c r="ES2285" s="41"/>
      <c r="ET2285" s="41"/>
      <c r="EU2285" s="41"/>
      <c r="EV2285" s="41"/>
      <c r="EW2285" s="41"/>
      <c r="EX2285" s="41"/>
      <c r="EY2285" s="41"/>
      <c r="EZ2285" s="41"/>
      <c r="FA2285" s="41"/>
      <c r="FB2285" s="41"/>
      <c r="FC2285" s="41"/>
      <c r="FD2285" s="41"/>
      <c r="FE2285" s="41"/>
    </row>
    <row r="2286" spans="1:161" ht="30" customHeight="1" x14ac:dyDescent="0.25">
      <c r="A2286" s="249"/>
      <c r="B2286" s="249"/>
      <c r="C2286" s="242"/>
      <c r="D2286" s="227"/>
      <c r="E2286" s="227"/>
      <c r="F2286" s="229"/>
      <c r="G2286" s="216" t="s">
        <v>72</v>
      </c>
      <c r="H2286" s="69" t="s">
        <v>67</v>
      </c>
      <c r="I2286" s="1">
        <f>D2281*K2286</f>
        <v>216409.76</v>
      </c>
      <c r="J2286" s="50">
        <f>I2286/D2281</f>
        <v>542</v>
      </c>
      <c r="K2286" s="50">
        <v>542</v>
      </c>
      <c r="L2286" s="41"/>
      <c r="M2286" s="41"/>
      <c r="N2286" s="41"/>
      <c r="O2286" s="41"/>
      <c r="P2286" s="41"/>
      <c r="Q2286" s="41"/>
      <c r="R2286" s="41"/>
      <c r="S2286" s="41"/>
      <c r="T2286" s="41"/>
      <c r="U2286" s="41"/>
      <c r="V2286" s="41"/>
      <c r="W2286" s="41"/>
      <c r="X2286" s="41"/>
      <c r="Y2286" s="41"/>
      <c r="Z2286" s="41"/>
      <c r="AA2286" s="41"/>
      <c r="AB2286" s="41"/>
      <c r="AC2286" s="41"/>
      <c r="AD2286" s="41"/>
      <c r="AE2286" s="41"/>
      <c r="AF2286" s="41"/>
      <c r="AG2286" s="41"/>
      <c r="AH2286" s="41"/>
      <c r="AI2286" s="41"/>
      <c r="AJ2286" s="41"/>
      <c r="AK2286" s="41"/>
      <c r="AL2286" s="41"/>
      <c r="AM2286" s="41"/>
      <c r="AN2286" s="41"/>
      <c r="AO2286" s="41"/>
      <c r="AP2286" s="41"/>
      <c r="AQ2286" s="41"/>
      <c r="AR2286" s="41"/>
      <c r="AS2286" s="41"/>
      <c r="AT2286" s="41"/>
      <c r="AU2286" s="41"/>
      <c r="AV2286" s="41"/>
      <c r="AW2286" s="41"/>
      <c r="AX2286" s="41"/>
      <c r="AY2286" s="41"/>
      <c r="AZ2286" s="41"/>
      <c r="BA2286" s="41"/>
      <c r="BB2286" s="41"/>
      <c r="BC2286" s="41"/>
      <c r="BD2286" s="41"/>
      <c r="BE2286" s="41"/>
      <c r="BF2286" s="41"/>
      <c r="BG2286" s="41"/>
      <c r="BH2286" s="41"/>
      <c r="BI2286" s="41"/>
      <c r="BJ2286" s="41"/>
      <c r="BK2286" s="41"/>
      <c r="BL2286" s="41"/>
      <c r="BM2286" s="41"/>
      <c r="BN2286" s="41"/>
      <c r="BO2286" s="41"/>
      <c r="BP2286" s="41"/>
      <c r="BQ2286" s="41"/>
      <c r="BR2286" s="41"/>
      <c r="BS2286" s="41"/>
      <c r="BT2286" s="41"/>
      <c r="BU2286" s="41"/>
      <c r="BV2286" s="41"/>
      <c r="BW2286" s="41"/>
      <c r="BX2286" s="41"/>
      <c r="BY2286" s="41"/>
      <c r="BZ2286" s="41"/>
      <c r="CA2286" s="41"/>
      <c r="CB2286" s="41"/>
      <c r="CC2286" s="41"/>
      <c r="CD2286" s="41"/>
      <c r="CE2286" s="41"/>
      <c r="CF2286" s="41"/>
      <c r="CG2286" s="41"/>
      <c r="CH2286" s="41"/>
      <c r="CI2286" s="41"/>
      <c r="CJ2286" s="41"/>
      <c r="CK2286" s="41"/>
      <c r="CL2286" s="41"/>
      <c r="CM2286" s="41"/>
      <c r="CN2286" s="41"/>
      <c r="CO2286" s="41"/>
      <c r="CP2286" s="41"/>
      <c r="CQ2286" s="41"/>
      <c r="CR2286" s="41"/>
      <c r="CS2286" s="41"/>
      <c r="CT2286" s="41"/>
      <c r="CU2286" s="41"/>
      <c r="CV2286" s="41"/>
      <c r="CW2286" s="41"/>
      <c r="CX2286" s="41"/>
      <c r="CY2286" s="41"/>
      <c r="CZ2286" s="41"/>
      <c r="DA2286" s="41"/>
      <c r="DB2286" s="41"/>
      <c r="DC2286" s="41"/>
      <c r="DD2286" s="41"/>
      <c r="DE2286" s="41"/>
      <c r="DF2286" s="41"/>
      <c r="DG2286" s="41"/>
      <c r="DH2286" s="41"/>
      <c r="DI2286" s="41"/>
      <c r="DJ2286" s="41"/>
      <c r="DK2286" s="41"/>
      <c r="DL2286" s="41"/>
      <c r="DM2286" s="41"/>
      <c r="DN2286" s="41"/>
      <c r="DO2286" s="41"/>
      <c r="DP2286" s="41"/>
      <c r="DQ2286" s="41"/>
      <c r="DR2286" s="41"/>
      <c r="DS2286" s="41"/>
      <c r="DT2286" s="41"/>
      <c r="DU2286" s="41"/>
      <c r="DV2286" s="41"/>
      <c r="DW2286" s="41"/>
      <c r="DX2286" s="41"/>
      <c r="DY2286" s="41"/>
      <c r="DZ2286" s="41"/>
      <c r="EA2286" s="41"/>
      <c r="EB2286" s="41"/>
      <c r="EC2286" s="41"/>
      <c r="ED2286" s="41"/>
      <c r="EE2286" s="41"/>
      <c r="EF2286" s="41"/>
      <c r="EG2286" s="41"/>
      <c r="EH2286" s="41"/>
      <c r="EI2286" s="41"/>
      <c r="EJ2286" s="41"/>
      <c r="EK2286" s="41"/>
      <c r="EL2286" s="41"/>
      <c r="EM2286" s="41"/>
      <c r="EN2286" s="41"/>
      <c r="EO2286" s="41"/>
      <c r="EP2286" s="41"/>
      <c r="EQ2286" s="41"/>
      <c r="ER2286" s="41"/>
      <c r="ES2286" s="41"/>
      <c r="ET2286" s="41"/>
      <c r="EU2286" s="41"/>
      <c r="EV2286" s="41"/>
      <c r="EW2286" s="41"/>
      <c r="EX2286" s="41"/>
      <c r="EY2286" s="41"/>
      <c r="EZ2286" s="41"/>
      <c r="FA2286" s="41"/>
      <c r="FB2286" s="41"/>
      <c r="FC2286" s="41"/>
      <c r="FD2286" s="41"/>
      <c r="FE2286" s="41"/>
    </row>
    <row r="2287" spans="1:161" ht="30" customHeight="1" x14ac:dyDescent="0.25">
      <c r="A2287" s="249"/>
      <c r="B2287" s="249"/>
      <c r="C2287" s="243"/>
      <c r="D2287" s="227"/>
      <c r="E2287" s="227"/>
      <c r="F2287" s="230"/>
      <c r="G2287" s="222"/>
      <c r="H2287" s="69" t="s">
        <v>69</v>
      </c>
      <c r="I2287" s="1">
        <v>4392.08</v>
      </c>
      <c r="J2287" s="50">
        <f>I2287/D2281</f>
        <v>11</v>
      </c>
      <c r="K2287" s="50">
        <v>12</v>
      </c>
      <c r="L2287" s="41"/>
      <c r="M2287" s="41"/>
      <c r="N2287" s="41"/>
      <c r="O2287" s="41"/>
      <c r="P2287" s="41"/>
      <c r="Q2287" s="41"/>
      <c r="R2287" s="41"/>
      <c r="S2287" s="41"/>
      <c r="T2287" s="41"/>
      <c r="U2287" s="41"/>
      <c r="V2287" s="41"/>
      <c r="W2287" s="41"/>
      <c r="X2287" s="41"/>
      <c r="Y2287" s="41"/>
      <c r="Z2287" s="41"/>
      <c r="AA2287" s="41"/>
      <c r="AB2287" s="41"/>
      <c r="AC2287" s="41"/>
      <c r="AD2287" s="41"/>
      <c r="AE2287" s="41"/>
      <c r="AF2287" s="41"/>
      <c r="AG2287" s="41"/>
      <c r="AH2287" s="41"/>
      <c r="AI2287" s="41"/>
      <c r="AJ2287" s="41"/>
      <c r="AK2287" s="41"/>
      <c r="AL2287" s="41"/>
      <c r="AM2287" s="41"/>
      <c r="AN2287" s="41"/>
      <c r="AO2287" s="41"/>
      <c r="AP2287" s="41"/>
      <c r="AQ2287" s="41"/>
      <c r="AR2287" s="41"/>
      <c r="AS2287" s="41"/>
      <c r="AT2287" s="41"/>
      <c r="AU2287" s="41"/>
      <c r="AV2287" s="41"/>
      <c r="AW2287" s="41"/>
      <c r="AX2287" s="41"/>
      <c r="AY2287" s="41"/>
      <c r="AZ2287" s="41"/>
      <c r="BA2287" s="41"/>
      <c r="BB2287" s="41"/>
      <c r="BC2287" s="41"/>
      <c r="BD2287" s="41"/>
      <c r="BE2287" s="41"/>
      <c r="BF2287" s="41"/>
      <c r="BG2287" s="41"/>
      <c r="BH2287" s="41"/>
      <c r="BI2287" s="41"/>
      <c r="BJ2287" s="41"/>
      <c r="BK2287" s="41"/>
      <c r="BL2287" s="41"/>
      <c r="BM2287" s="41"/>
      <c r="BN2287" s="41"/>
      <c r="BO2287" s="41"/>
      <c r="BP2287" s="41"/>
      <c r="BQ2287" s="41"/>
      <c r="BR2287" s="41"/>
      <c r="BS2287" s="41"/>
      <c r="BT2287" s="41"/>
      <c r="BU2287" s="41"/>
      <c r="BV2287" s="41"/>
      <c r="BW2287" s="41"/>
      <c r="BX2287" s="41"/>
      <c r="BY2287" s="41"/>
      <c r="BZ2287" s="41"/>
      <c r="CA2287" s="41"/>
      <c r="CB2287" s="41"/>
      <c r="CC2287" s="41"/>
      <c r="CD2287" s="41"/>
      <c r="CE2287" s="41"/>
      <c r="CF2287" s="41"/>
      <c r="CG2287" s="41"/>
      <c r="CH2287" s="41"/>
      <c r="CI2287" s="41"/>
      <c r="CJ2287" s="41"/>
      <c r="CK2287" s="41"/>
      <c r="CL2287" s="41"/>
      <c r="CM2287" s="41"/>
      <c r="CN2287" s="41"/>
      <c r="CO2287" s="41"/>
      <c r="CP2287" s="41"/>
      <c r="CQ2287" s="41"/>
      <c r="CR2287" s="41"/>
      <c r="CS2287" s="41"/>
      <c r="CT2287" s="41"/>
      <c r="CU2287" s="41"/>
      <c r="CV2287" s="41"/>
      <c r="CW2287" s="41"/>
      <c r="CX2287" s="41"/>
      <c r="CY2287" s="41"/>
      <c r="CZ2287" s="41"/>
      <c r="DA2287" s="41"/>
      <c r="DB2287" s="41"/>
      <c r="DC2287" s="41"/>
      <c r="DD2287" s="41"/>
      <c r="DE2287" s="41"/>
      <c r="DF2287" s="41"/>
      <c r="DG2287" s="41"/>
      <c r="DH2287" s="41"/>
      <c r="DI2287" s="41"/>
      <c r="DJ2287" s="41"/>
      <c r="DK2287" s="41"/>
      <c r="DL2287" s="41"/>
      <c r="DM2287" s="41"/>
      <c r="DN2287" s="41"/>
      <c r="DO2287" s="41"/>
      <c r="DP2287" s="41"/>
      <c r="DQ2287" s="41"/>
      <c r="DR2287" s="41"/>
      <c r="DS2287" s="41"/>
      <c r="DT2287" s="41"/>
      <c r="DU2287" s="41"/>
      <c r="DV2287" s="41"/>
      <c r="DW2287" s="41"/>
      <c r="DX2287" s="41"/>
      <c r="DY2287" s="41"/>
      <c r="DZ2287" s="41"/>
      <c r="EA2287" s="41"/>
      <c r="EB2287" s="41"/>
      <c r="EC2287" s="41"/>
      <c r="ED2287" s="41"/>
      <c r="EE2287" s="41"/>
      <c r="EF2287" s="41"/>
      <c r="EG2287" s="41"/>
      <c r="EH2287" s="41"/>
      <c r="EI2287" s="41"/>
      <c r="EJ2287" s="41"/>
      <c r="EK2287" s="41"/>
      <c r="EL2287" s="41"/>
      <c r="EM2287" s="41"/>
      <c r="EN2287" s="41"/>
      <c r="EO2287" s="41"/>
      <c r="EP2287" s="41"/>
      <c r="EQ2287" s="41"/>
      <c r="ER2287" s="41"/>
      <c r="ES2287" s="41"/>
      <c r="ET2287" s="41"/>
      <c r="EU2287" s="41"/>
      <c r="EV2287" s="41"/>
      <c r="EW2287" s="41"/>
      <c r="EX2287" s="41"/>
      <c r="EY2287" s="41"/>
      <c r="EZ2287" s="41"/>
      <c r="FA2287" s="41"/>
      <c r="FB2287" s="41"/>
      <c r="FC2287" s="41"/>
      <c r="FD2287" s="41"/>
      <c r="FE2287" s="41"/>
    </row>
    <row r="2288" spans="1:161" x14ac:dyDescent="0.25">
      <c r="A2288" s="235">
        <f>A2281+1</f>
        <v>14</v>
      </c>
      <c r="B2288" s="235">
        <v>6988</v>
      </c>
      <c r="C2288" s="241" t="s">
        <v>320</v>
      </c>
      <c r="D2288" s="224">
        <v>637.92999999999995</v>
      </c>
      <c r="E2288" s="224" t="s">
        <v>68</v>
      </c>
      <c r="F2288" s="228">
        <v>2</v>
      </c>
      <c r="G2288" s="110"/>
      <c r="H2288" s="57" t="s">
        <v>66</v>
      </c>
      <c r="I2288" s="50">
        <f>SUM(I2289:I2294)</f>
        <v>2584254.4300000002</v>
      </c>
      <c r="J2288" s="50">
        <f>SUM(J2289:J2294)</f>
        <v>4051</v>
      </c>
      <c r="K2288" s="50">
        <f>SUM(K2289:K2294)</f>
        <v>4051</v>
      </c>
      <c r="L2288" s="41"/>
      <c r="M2288" s="41"/>
      <c r="N2288" s="41"/>
      <c r="O2288" s="41"/>
      <c r="P2288" s="41"/>
      <c r="Q2288" s="41"/>
      <c r="R2288" s="41"/>
      <c r="S2288" s="41"/>
      <c r="T2288" s="41"/>
      <c r="U2288" s="41"/>
      <c r="V2288" s="41"/>
      <c r="W2288" s="41"/>
      <c r="X2288" s="41"/>
      <c r="Y2288" s="41"/>
      <c r="Z2288" s="41"/>
      <c r="AA2288" s="41"/>
      <c r="AB2288" s="41"/>
      <c r="AC2288" s="41"/>
      <c r="AD2288" s="41"/>
      <c r="AE2288" s="41"/>
      <c r="AF2288" s="41"/>
      <c r="AG2288" s="41"/>
      <c r="AH2288" s="41"/>
      <c r="AI2288" s="41"/>
      <c r="AJ2288" s="41"/>
      <c r="AK2288" s="41"/>
      <c r="AL2288" s="41"/>
      <c r="AM2288" s="41"/>
      <c r="AN2288" s="41"/>
      <c r="AO2288" s="41"/>
      <c r="AP2288" s="41"/>
      <c r="AQ2288" s="41"/>
      <c r="AR2288" s="41"/>
      <c r="AS2288" s="41"/>
      <c r="AT2288" s="41"/>
      <c r="AU2288" s="41"/>
      <c r="AV2288" s="41"/>
      <c r="AW2288" s="41"/>
      <c r="AX2288" s="41"/>
      <c r="AY2288" s="41"/>
      <c r="AZ2288" s="41"/>
      <c r="BA2288" s="41"/>
      <c r="BB2288" s="41"/>
      <c r="BC2288" s="41"/>
      <c r="BD2288" s="41"/>
      <c r="BE2288" s="41"/>
      <c r="BF2288" s="41"/>
      <c r="BG2288" s="41"/>
      <c r="BH2288" s="41"/>
      <c r="BI2288" s="41"/>
      <c r="BJ2288" s="41"/>
      <c r="BK2288" s="41"/>
      <c r="BL2288" s="41"/>
      <c r="BM2288" s="41"/>
      <c r="BN2288" s="41"/>
      <c r="BO2288" s="41"/>
      <c r="BP2288" s="41"/>
      <c r="BQ2288" s="41"/>
      <c r="BR2288" s="41"/>
      <c r="BS2288" s="41"/>
      <c r="BT2288" s="41"/>
      <c r="BU2288" s="41"/>
      <c r="BV2288" s="41"/>
      <c r="BW2288" s="41"/>
      <c r="BX2288" s="41"/>
      <c r="BY2288" s="41"/>
      <c r="BZ2288" s="41"/>
      <c r="CA2288" s="41"/>
      <c r="CB2288" s="41"/>
      <c r="CC2288" s="41"/>
      <c r="CD2288" s="41"/>
      <c r="CE2288" s="41"/>
      <c r="CF2288" s="41"/>
      <c r="CG2288" s="41"/>
      <c r="CH2288" s="41"/>
      <c r="CI2288" s="41"/>
      <c r="CJ2288" s="41"/>
      <c r="CK2288" s="41"/>
      <c r="CL2288" s="41"/>
      <c r="CM2288" s="41"/>
      <c r="CN2288" s="41"/>
      <c r="CO2288" s="41"/>
      <c r="CP2288" s="41"/>
      <c r="CQ2288" s="41"/>
      <c r="CR2288" s="41"/>
      <c r="CS2288" s="41"/>
      <c r="CT2288" s="41"/>
      <c r="CU2288" s="41"/>
      <c r="CV2288" s="41"/>
      <c r="CW2288" s="41"/>
      <c r="CX2288" s="41"/>
      <c r="CY2288" s="41"/>
      <c r="CZ2288" s="41"/>
      <c r="DA2288" s="41"/>
      <c r="DB2288" s="41"/>
      <c r="DC2288" s="41"/>
      <c r="DD2288" s="41"/>
      <c r="DE2288" s="41"/>
      <c r="DF2288" s="41"/>
      <c r="DG2288" s="41"/>
      <c r="DH2288" s="41"/>
      <c r="DI2288" s="41"/>
      <c r="DJ2288" s="41"/>
      <c r="DK2288" s="41"/>
      <c r="DL2288" s="41"/>
      <c r="DM2288" s="41"/>
      <c r="DN2288" s="41"/>
      <c r="DO2288" s="41"/>
      <c r="DP2288" s="41"/>
      <c r="DQ2288" s="41"/>
      <c r="DR2288" s="41"/>
      <c r="DS2288" s="41"/>
      <c r="DT2288" s="41"/>
      <c r="DU2288" s="41"/>
      <c r="DV2288" s="41"/>
      <c r="DW2288" s="41"/>
      <c r="DX2288" s="41"/>
      <c r="DY2288" s="41"/>
      <c r="DZ2288" s="41"/>
      <c r="EA2288" s="41"/>
      <c r="EB2288" s="41"/>
      <c r="EC2288" s="41"/>
      <c r="ED2288" s="41"/>
      <c r="EE2288" s="41"/>
      <c r="EF2288" s="41"/>
      <c r="EG2288" s="41"/>
      <c r="EH2288" s="41"/>
      <c r="EI2288" s="41"/>
      <c r="EJ2288" s="41"/>
      <c r="EK2288" s="41"/>
      <c r="EL2288" s="41"/>
      <c r="EM2288" s="41"/>
      <c r="EN2288" s="41"/>
      <c r="EO2288" s="41"/>
      <c r="EP2288" s="41"/>
      <c r="EQ2288" s="41"/>
      <c r="ER2288" s="41"/>
      <c r="ES2288" s="41"/>
      <c r="ET2288" s="41"/>
      <c r="EU2288" s="41"/>
      <c r="EV2288" s="41"/>
      <c r="EW2288" s="41"/>
      <c r="EX2288" s="41"/>
      <c r="EY2288" s="41"/>
      <c r="EZ2288" s="41"/>
      <c r="FA2288" s="41"/>
      <c r="FB2288" s="41"/>
      <c r="FC2288" s="41"/>
      <c r="FD2288" s="41"/>
      <c r="FE2288" s="41"/>
    </row>
    <row r="2289" spans="1:161" x14ac:dyDescent="0.25">
      <c r="A2289" s="249"/>
      <c r="B2289" s="249"/>
      <c r="C2289" s="242"/>
      <c r="D2289" s="227"/>
      <c r="E2289" s="227"/>
      <c r="F2289" s="229"/>
      <c r="G2289" s="216" t="s">
        <v>70</v>
      </c>
      <c r="H2289" s="69" t="s">
        <v>67</v>
      </c>
      <c r="I2289" s="50">
        <f>D2288*K2289</f>
        <v>1857014.23</v>
      </c>
      <c r="J2289" s="50">
        <f>I2289/D2288</f>
        <v>2911</v>
      </c>
      <c r="K2289" s="50">
        <v>2911</v>
      </c>
      <c r="L2289" s="41"/>
      <c r="M2289" s="41"/>
      <c r="N2289" s="41"/>
      <c r="O2289" s="41"/>
      <c r="P2289" s="41"/>
      <c r="Q2289" s="41"/>
      <c r="R2289" s="41"/>
      <c r="S2289" s="41"/>
      <c r="T2289" s="41"/>
      <c r="U2289" s="41"/>
      <c r="V2289" s="41"/>
      <c r="W2289" s="41"/>
      <c r="X2289" s="41"/>
      <c r="Y2289" s="41"/>
      <c r="Z2289" s="41"/>
      <c r="AA2289" s="41"/>
      <c r="AB2289" s="41"/>
      <c r="AC2289" s="41"/>
      <c r="AD2289" s="41"/>
      <c r="AE2289" s="41"/>
      <c r="AF2289" s="41"/>
      <c r="AG2289" s="41"/>
      <c r="AH2289" s="41"/>
      <c r="AI2289" s="41"/>
      <c r="AJ2289" s="41"/>
      <c r="AK2289" s="41"/>
      <c r="AL2289" s="41"/>
      <c r="AM2289" s="41"/>
      <c r="AN2289" s="41"/>
      <c r="AO2289" s="41"/>
      <c r="AP2289" s="41"/>
      <c r="AQ2289" s="41"/>
      <c r="AR2289" s="41"/>
      <c r="AS2289" s="41"/>
      <c r="AT2289" s="41"/>
      <c r="AU2289" s="41"/>
      <c r="AV2289" s="41"/>
      <c r="AW2289" s="41"/>
      <c r="AX2289" s="41"/>
      <c r="AY2289" s="41"/>
      <c r="AZ2289" s="41"/>
      <c r="BA2289" s="41"/>
      <c r="BB2289" s="41"/>
      <c r="BC2289" s="41"/>
      <c r="BD2289" s="41"/>
      <c r="BE2289" s="41"/>
      <c r="BF2289" s="41"/>
      <c r="BG2289" s="41"/>
      <c r="BH2289" s="41"/>
      <c r="BI2289" s="41"/>
      <c r="BJ2289" s="41"/>
      <c r="BK2289" s="41"/>
      <c r="BL2289" s="41"/>
      <c r="BM2289" s="41"/>
      <c r="BN2289" s="41"/>
      <c r="BO2289" s="41"/>
      <c r="BP2289" s="41"/>
      <c r="BQ2289" s="41"/>
      <c r="BR2289" s="41"/>
      <c r="BS2289" s="41"/>
      <c r="BT2289" s="41"/>
      <c r="BU2289" s="41"/>
      <c r="BV2289" s="41"/>
      <c r="BW2289" s="41"/>
      <c r="BX2289" s="41"/>
      <c r="BY2289" s="41"/>
      <c r="BZ2289" s="41"/>
      <c r="CA2289" s="41"/>
      <c r="CB2289" s="41"/>
      <c r="CC2289" s="41"/>
      <c r="CD2289" s="41"/>
      <c r="CE2289" s="41"/>
      <c r="CF2289" s="41"/>
      <c r="CG2289" s="41"/>
      <c r="CH2289" s="41"/>
      <c r="CI2289" s="41"/>
      <c r="CJ2289" s="41"/>
      <c r="CK2289" s="41"/>
      <c r="CL2289" s="41"/>
      <c r="CM2289" s="41"/>
      <c r="CN2289" s="41"/>
      <c r="CO2289" s="41"/>
      <c r="CP2289" s="41"/>
      <c r="CQ2289" s="41"/>
      <c r="CR2289" s="41"/>
      <c r="CS2289" s="41"/>
      <c r="CT2289" s="41"/>
      <c r="CU2289" s="41"/>
      <c r="CV2289" s="41"/>
      <c r="CW2289" s="41"/>
      <c r="CX2289" s="41"/>
      <c r="CY2289" s="41"/>
      <c r="CZ2289" s="41"/>
      <c r="DA2289" s="41"/>
      <c r="DB2289" s="41"/>
      <c r="DC2289" s="41"/>
      <c r="DD2289" s="41"/>
      <c r="DE2289" s="41"/>
      <c r="DF2289" s="41"/>
      <c r="DG2289" s="41"/>
      <c r="DH2289" s="41"/>
      <c r="DI2289" s="41"/>
      <c r="DJ2289" s="41"/>
      <c r="DK2289" s="41"/>
      <c r="DL2289" s="41"/>
      <c r="DM2289" s="41"/>
      <c r="DN2289" s="41"/>
      <c r="DO2289" s="41"/>
      <c r="DP2289" s="41"/>
      <c r="DQ2289" s="41"/>
      <c r="DR2289" s="41"/>
      <c r="DS2289" s="41"/>
      <c r="DT2289" s="41"/>
      <c r="DU2289" s="41"/>
      <c r="DV2289" s="41"/>
      <c r="DW2289" s="41"/>
      <c r="DX2289" s="41"/>
      <c r="DY2289" s="41"/>
      <c r="DZ2289" s="41"/>
      <c r="EA2289" s="41"/>
      <c r="EB2289" s="41"/>
      <c r="EC2289" s="41"/>
      <c r="ED2289" s="41"/>
      <c r="EE2289" s="41"/>
      <c r="EF2289" s="41"/>
      <c r="EG2289" s="41"/>
      <c r="EH2289" s="41"/>
      <c r="EI2289" s="41"/>
      <c r="EJ2289" s="41"/>
      <c r="EK2289" s="41"/>
      <c r="EL2289" s="41"/>
      <c r="EM2289" s="41"/>
      <c r="EN2289" s="41"/>
      <c r="EO2289" s="41"/>
      <c r="EP2289" s="41"/>
      <c r="EQ2289" s="41"/>
      <c r="ER2289" s="41"/>
      <c r="ES2289" s="41"/>
      <c r="ET2289" s="41"/>
      <c r="EU2289" s="41"/>
      <c r="EV2289" s="41"/>
      <c r="EW2289" s="41"/>
      <c r="EX2289" s="41"/>
      <c r="EY2289" s="41"/>
      <c r="EZ2289" s="41"/>
      <c r="FA2289" s="41"/>
      <c r="FB2289" s="41"/>
      <c r="FC2289" s="41"/>
      <c r="FD2289" s="41"/>
      <c r="FE2289" s="41"/>
    </row>
    <row r="2290" spans="1:161" x14ac:dyDescent="0.25">
      <c r="A2290" s="249"/>
      <c r="B2290" s="249"/>
      <c r="C2290" s="242"/>
      <c r="D2290" s="227"/>
      <c r="E2290" s="227"/>
      <c r="F2290" s="229"/>
      <c r="G2290" s="222"/>
      <c r="H2290" s="69" t="s">
        <v>69</v>
      </c>
      <c r="I2290" s="50">
        <f>D2288*K2290</f>
        <v>39551.660000000003</v>
      </c>
      <c r="J2290" s="50">
        <f>I2290/D2288</f>
        <v>62</v>
      </c>
      <c r="K2290" s="50">
        <v>62</v>
      </c>
      <c r="L2290" s="41"/>
      <c r="M2290" s="41"/>
      <c r="N2290" s="41"/>
      <c r="O2290" s="41"/>
      <c r="P2290" s="41"/>
      <c r="Q2290" s="41"/>
      <c r="R2290" s="41"/>
      <c r="S2290" s="41"/>
      <c r="T2290" s="41"/>
      <c r="U2290" s="41"/>
      <c r="V2290" s="41"/>
      <c r="W2290" s="41"/>
      <c r="X2290" s="41"/>
      <c r="Y2290" s="41"/>
      <c r="Z2290" s="41"/>
      <c r="AA2290" s="41"/>
      <c r="AB2290" s="41"/>
      <c r="AC2290" s="41"/>
      <c r="AD2290" s="41"/>
      <c r="AE2290" s="41"/>
      <c r="AF2290" s="41"/>
      <c r="AG2290" s="41"/>
      <c r="AH2290" s="41"/>
      <c r="AI2290" s="41"/>
      <c r="AJ2290" s="41"/>
      <c r="AK2290" s="41"/>
      <c r="AL2290" s="41"/>
      <c r="AM2290" s="41"/>
      <c r="AN2290" s="41"/>
      <c r="AO2290" s="41"/>
      <c r="AP2290" s="41"/>
      <c r="AQ2290" s="41"/>
      <c r="AR2290" s="41"/>
      <c r="AS2290" s="41"/>
      <c r="AT2290" s="41"/>
      <c r="AU2290" s="41"/>
      <c r="AV2290" s="41"/>
      <c r="AW2290" s="41"/>
      <c r="AX2290" s="41"/>
      <c r="AY2290" s="41"/>
      <c r="AZ2290" s="41"/>
      <c r="BA2290" s="41"/>
      <c r="BB2290" s="41"/>
      <c r="BC2290" s="41"/>
      <c r="BD2290" s="41"/>
      <c r="BE2290" s="41"/>
      <c r="BF2290" s="41"/>
      <c r="BG2290" s="41"/>
      <c r="BH2290" s="41"/>
      <c r="BI2290" s="41"/>
      <c r="BJ2290" s="41"/>
      <c r="BK2290" s="41"/>
      <c r="BL2290" s="41"/>
      <c r="BM2290" s="41"/>
      <c r="BN2290" s="41"/>
      <c r="BO2290" s="41"/>
      <c r="BP2290" s="41"/>
      <c r="BQ2290" s="41"/>
      <c r="BR2290" s="41"/>
      <c r="BS2290" s="41"/>
      <c r="BT2290" s="41"/>
      <c r="BU2290" s="41"/>
      <c r="BV2290" s="41"/>
      <c r="BW2290" s="41"/>
      <c r="BX2290" s="41"/>
      <c r="BY2290" s="41"/>
      <c r="BZ2290" s="41"/>
      <c r="CA2290" s="41"/>
      <c r="CB2290" s="41"/>
      <c r="CC2290" s="41"/>
      <c r="CD2290" s="41"/>
      <c r="CE2290" s="41"/>
      <c r="CF2290" s="41"/>
      <c r="CG2290" s="41"/>
      <c r="CH2290" s="41"/>
      <c r="CI2290" s="41"/>
      <c r="CJ2290" s="41"/>
      <c r="CK2290" s="41"/>
      <c r="CL2290" s="41"/>
      <c r="CM2290" s="41"/>
      <c r="CN2290" s="41"/>
      <c r="CO2290" s="41"/>
      <c r="CP2290" s="41"/>
      <c r="CQ2290" s="41"/>
      <c r="CR2290" s="41"/>
      <c r="CS2290" s="41"/>
      <c r="CT2290" s="41"/>
      <c r="CU2290" s="41"/>
      <c r="CV2290" s="41"/>
      <c r="CW2290" s="41"/>
      <c r="CX2290" s="41"/>
      <c r="CY2290" s="41"/>
      <c r="CZ2290" s="41"/>
      <c r="DA2290" s="41"/>
      <c r="DB2290" s="41"/>
      <c r="DC2290" s="41"/>
      <c r="DD2290" s="41"/>
      <c r="DE2290" s="41"/>
      <c r="DF2290" s="41"/>
      <c r="DG2290" s="41"/>
      <c r="DH2290" s="41"/>
      <c r="DI2290" s="41"/>
      <c r="DJ2290" s="41"/>
      <c r="DK2290" s="41"/>
      <c r="DL2290" s="41"/>
      <c r="DM2290" s="41"/>
      <c r="DN2290" s="41"/>
      <c r="DO2290" s="41"/>
      <c r="DP2290" s="41"/>
      <c r="DQ2290" s="41"/>
      <c r="DR2290" s="41"/>
      <c r="DS2290" s="41"/>
      <c r="DT2290" s="41"/>
      <c r="DU2290" s="41"/>
      <c r="DV2290" s="41"/>
      <c r="DW2290" s="41"/>
      <c r="DX2290" s="41"/>
      <c r="DY2290" s="41"/>
      <c r="DZ2290" s="41"/>
      <c r="EA2290" s="41"/>
      <c r="EB2290" s="41"/>
      <c r="EC2290" s="41"/>
      <c r="ED2290" s="41"/>
      <c r="EE2290" s="41"/>
      <c r="EF2290" s="41"/>
      <c r="EG2290" s="41"/>
      <c r="EH2290" s="41"/>
      <c r="EI2290" s="41"/>
      <c r="EJ2290" s="41"/>
      <c r="EK2290" s="41"/>
      <c r="EL2290" s="41"/>
      <c r="EM2290" s="41"/>
      <c r="EN2290" s="41"/>
      <c r="EO2290" s="41"/>
      <c r="EP2290" s="41"/>
      <c r="EQ2290" s="41"/>
      <c r="ER2290" s="41"/>
      <c r="ES2290" s="41"/>
      <c r="ET2290" s="41"/>
      <c r="EU2290" s="41"/>
      <c r="EV2290" s="41"/>
      <c r="EW2290" s="41"/>
      <c r="EX2290" s="41"/>
      <c r="EY2290" s="41"/>
      <c r="EZ2290" s="41"/>
      <c r="FA2290" s="41"/>
      <c r="FB2290" s="41"/>
      <c r="FC2290" s="41"/>
      <c r="FD2290" s="41"/>
      <c r="FE2290" s="41"/>
    </row>
    <row r="2291" spans="1:161" x14ac:dyDescent="0.25">
      <c r="A2291" s="249"/>
      <c r="B2291" s="249"/>
      <c r="C2291" s="242"/>
      <c r="D2291" s="227"/>
      <c r="E2291" s="227"/>
      <c r="F2291" s="229"/>
      <c r="G2291" s="216" t="s">
        <v>71</v>
      </c>
      <c r="H2291" s="69" t="s">
        <v>67</v>
      </c>
      <c r="I2291" s="50">
        <f>D2288*K2291</f>
        <v>327258.09000000003</v>
      </c>
      <c r="J2291" s="50">
        <f>I2291/D2288</f>
        <v>513</v>
      </c>
      <c r="K2291" s="50">
        <v>513</v>
      </c>
      <c r="L2291" s="41"/>
      <c r="M2291" s="41"/>
      <c r="N2291" s="41"/>
      <c r="O2291" s="41"/>
      <c r="P2291" s="41"/>
      <c r="Q2291" s="41"/>
      <c r="R2291" s="41"/>
      <c r="S2291" s="41"/>
      <c r="T2291" s="41"/>
      <c r="U2291" s="41"/>
      <c r="V2291" s="41"/>
      <c r="W2291" s="41"/>
      <c r="X2291" s="41"/>
      <c r="Y2291" s="41"/>
      <c r="Z2291" s="41"/>
      <c r="AA2291" s="41"/>
      <c r="AB2291" s="41"/>
      <c r="AC2291" s="41"/>
      <c r="AD2291" s="41"/>
      <c r="AE2291" s="41"/>
      <c r="AF2291" s="41"/>
      <c r="AG2291" s="41"/>
      <c r="AH2291" s="41"/>
      <c r="AI2291" s="41"/>
      <c r="AJ2291" s="41"/>
      <c r="AK2291" s="41"/>
      <c r="AL2291" s="41"/>
      <c r="AM2291" s="41"/>
      <c r="AN2291" s="41"/>
      <c r="AO2291" s="41"/>
      <c r="AP2291" s="41"/>
      <c r="AQ2291" s="41"/>
      <c r="AR2291" s="41"/>
      <c r="AS2291" s="41"/>
      <c r="AT2291" s="41"/>
      <c r="AU2291" s="41"/>
      <c r="AV2291" s="41"/>
      <c r="AW2291" s="41"/>
      <c r="AX2291" s="41"/>
      <c r="AY2291" s="41"/>
      <c r="AZ2291" s="41"/>
      <c r="BA2291" s="41"/>
      <c r="BB2291" s="41"/>
      <c r="BC2291" s="41"/>
      <c r="BD2291" s="41"/>
      <c r="BE2291" s="41"/>
      <c r="BF2291" s="41"/>
      <c r="BG2291" s="41"/>
      <c r="BH2291" s="41"/>
      <c r="BI2291" s="41"/>
      <c r="BJ2291" s="41"/>
      <c r="BK2291" s="41"/>
      <c r="BL2291" s="41"/>
      <c r="BM2291" s="41"/>
      <c r="BN2291" s="41"/>
      <c r="BO2291" s="41"/>
      <c r="BP2291" s="41"/>
      <c r="BQ2291" s="41"/>
      <c r="BR2291" s="41"/>
      <c r="BS2291" s="41"/>
      <c r="BT2291" s="41"/>
      <c r="BU2291" s="41"/>
      <c r="BV2291" s="41"/>
      <c r="BW2291" s="41"/>
      <c r="BX2291" s="41"/>
      <c r="BY2291" s="41"/>
      <c r="BZ2291" s="41"/>
      <c r="CA2291" s="41"/>
      <c r="CB2291" s="41"/>
      <c r="CC2291" s="41"/>
      <c r="CD2291" s="41"/>
      <c r="CE2291" s="41"/>
      <c r="CF2291" s="41"/>
      <c r="CG2291" s="41"/>
      <c r="CH2291" s="41"/>
      <c r="CI2291" s="41"/>
      <c r="CJ2291" s="41"/>
      <c r="CK2291" s="41"/>
      <c r="CL2291" s="41"/>
      <c r="CM2291" s="41"/>
      <c r="CN2291" s="41"/>
      <c r="CO2291" s="41"/>
      <c r="CP2291" s="41"/>
      <c r="CQ2291" s="41"/>
      <c r="CR2291" s="41"/>
      <c r="CS2291" s="41"/>
      <c r="CT2291" s="41"/>
      <c r="CU2291" s="41"/>
      <c r="CV2291" s="41"/>
      <c r="CW2291" s="41"/>
      <c r="CX2291" s="41"/>
      <c r="CY2291" s="41"/>
      <c r="CZ2291" s="41"/>
      <c r="DA2291" s="41"/>
      <c r="DB2291" s="41"/>
      <c r="DC2291" s="41"/>
      <c r="DD2291" s="41"/>
      <c r="DE2291" s="41"/>
      <c r="DF2291" s="41"/>
      <c r="DG2291" s="41"/>
      <c r="DH2291" s="41"/>
      <c r="DI2291" s="41"/>
      <c r="DJ2291" s="41"/>
      <c r="DK2291" s="41"/>
      <c r="DL2291" s="41"/>
      <c r="DM2291" s="41"/>
      <c r="DN2291" s="41"/>
      <c r="DO2291" s="41"/>
      <c r="DP2291" s="41"/>
      <c r="DQ2291" s="41"/>
      <c r="DR2291" s="41"/>
      <c r="DS2291" s="41"/>
      <c r="DT2291" s="41"/>
      <c r="DU2291" s="41"/>
      <c r="DV2291" s="41"/>
      <c r="DW2291" s="41"/>
      <c r="DX2291" s="41"/>
      <c r="DY2291" s="41"/>
      <c r="DZ2291" s="41"/>
      <c r="EA2291" s="41"/>
      <c r="EB2291" s="41"/>
      <c r="EC2291" s="41"/>
      <c r="ED2291" s="41"/>
      <c r="EE2291" s="41"/>
      <c r="EF2291" s="41"/>
      <c r="EG2291" s="41"/>
      <c r="EH2291" s="41"/>
      <c r="EI2291" s="41"/>
      <c r="EJ2291" s="41"/>
      <c r="EK2291" s="41"/>
      <c r="EL2291" s="41"/>
      <c r="EM2291" s="41"/>
      <c r="EN2291" s="41"/>
      <c r="EO2291" s="41"/>
      <c r="EP2291" s="41"/>
      <c r="EQ2291" s="41"/>
      <c r="ER2291" s="41"/>
      <c r="ES2291" s="41"/>
      <c r="ET2291" s="41"/>
      <c r="EU2291" s="41"/>
      <c r="EV2291" s="41"/>
      <c r="EW2291" s="41"/>
      <c r="EX2291" s="41"/>
      <c r="EY2291" s="41"/>
      <c r="EZ2291" s="41"/>
      <c r="FA2291" s="41"/>
      <c r="FB2291" s="41"/>
      <c r="FC2291" s="41"/>
      <c r="FD2291" s="41"/>
      <c r="FE2291" s="41"/>
    </row>
    <row r="2292" spans="1:161" x14ac:dyDescent="0.25">
      <c r="A2292" s="249"/>
      <c r="B2292" s="249"/>
      <c r="C2292" s="242"/>
      <c r="D2292" s="227"/>
      <c r="E2292" s="227"/>
      <c r="F2292" s="229"/>
      <c r="G2292" s="222"/>
      <c r="H2292" s="69" t="s">
        <v>69</v>
      </c>
      <c r="I2292" s="50">
        <f>D2288*K2292</f>
        <v>7017.23</v>
      </c>
      <c r="J2292" s="50">
        <f>I2292/D2288</f>
        <v>11</v>
      </c>
      <c r="K2292" s="50">
        <v>11</v>
      </c>
      <c r="L2292" s="41"/>
      <c r="M2292" s="41"/>
      <c r="N2292" s="41"/>
      <c r="O2292" s="41"/>
      <c r="P2292" s="41"/>
      <c r="Q2292" s="41"/>
      <c r="R2292" s="41"/>
      <c r="S2292" s="41"/>
      <c r="T2292" s="41"/>
      <c r="U2292" s="41"/>
      <c r="V2292" s="41"/>
      <c r="W2292" s="41"/>
      <c r="X2292" s="41"/>
      <c r="Y2292" s="41"/>
      <c r="Z2292" s="41"/>
      <c r="AA2292" s="41"/>
      <c r="AB2292" s="41"/>
      <c r="AC2292" s="41"/>
      <c r="AD2292" s="41"/>
      <c r="AE2292" s="41"/>
      <c r="AF2292" s="41"/>
      <c r="AG2292" s="41"/>
      <c r="AH2292" s="41"/>
      <c r="AI2292" s="41"/>
      <c r="AJ2292" s="41"/>
      <c r="AK2292" s="41"/>
      <c r="AL2292" s="41"/>
      <c r="AM2292" s="41"/>
      <c r="AN2292" s="41"/>
      <c r="AO2292" s="41"/>
      <c r="AP2292" s="41"/>
      <c r="AQ2292" s="41"/>
      <c r="AR2292" s="41"/>
      <c r="AS2292" s="41"/>
      <c r="AT2292" s="41"/>
      <c r="AU2292" s="41"/>
      <c r="AV2292" s="41"/>
      <c r="AW2292" s="41"/>
      <c r="AX2292" s="41"/>
      <c r="AY2292" s="41"/>
      <c r="AZ2292" s="41"/>
      <c r="BA2292" s="41"/>
      <c r="BB2292" s="41"/>
      <c r="BC2292" s="41"/>
      <c r="BD2292" s="41"/>
      <c r="BE2292" s="41"/>
      <c r="BF2292" s="41"/>
      <c r="BG2292" s="41"/>
      <c r="BH2292" s="41"/>
      <c r="BI2292" s="41"/>
      <c r="BJ2292" s="41"/>
      <c r="BK2292" s="41"/>
      <c r="BL2292" s="41"/>
      <c r="BM2292" s="41"/>
      <c r="BN2292" s="41"/>
      <c r="BO2292" s="41"/>
      <c r="BP2292" s="41"/>
      <c r="BQ2292" s="41"/>
      <c r="BR2292" s="41"/>
      <c r="BS2292" s="41"/>
      <c r="BT2292" s="41"/>
      <c r="BU2292" s="41"/>
      <c r="BV2292" s="41"/>
      <c r="BW2292" s="41"/>
      <c r="BX2292" s="41"/>
      <c r="BY2292" s="41"/>
      <c r="BZ2292" s="41"/>
      <c r="CA2292" s="41"/>
      <c r="CB2292" s="41"/>
      <c r="CC2292" s="41"/>
      <c r="CD2292" s="41"/>
      <c r="CE2292" s="41"/>
      <c r="CF2292" s="41"/>
      <c r="CG2292" s="41"/>
      <c r="CH2292" s="41"/>
      <c r="CI2292" s="41"/>
      <c r="CJ2292" s="41"/>
      <c r="CK2292" s="41"/>
      <c r="CL2292" s="41"/>
      <c r="CM2292" s="41"/>
      <c r="CN2292" s="41"/>
      <c r="CO2292" s="41"/>
      <c r="CP2292" s="41"/>
      <c r="CQ2292" s="41"/>
      <c r="CR2292" s="41"/>
      <c r="CS2292" s="41"/>
      <c r="CT2292" s="41"/>
      <c r="CU2292" s="41"/>
      <c r="CV2292" s="41"/>
      <c r="CW2292" s="41"/>
      <c r="CX2292" s="41"/>
      <c r="CY2292" s="41"/>
      <c r="CZ2292" s="41"/>
      <c r="DA2292" s="41"/>
      <c r="DB2292" s="41"/>
      <c r="DC2292" s="41"/>
      <c r="DD2292" s="41"/>
      <c r="DE2292" s="41"/>
      <c r="DF2292" s="41"/>
      <c r="DG2292" s="41"/>
      <c r="DH2292" s="41"/>
      <c r="DI2292" s="41"/>
      <c r="DJ2292" s="41"/>
      <c r="DK2292" s="41"/>
      <c r="DL2292" s="41"/>
      <c r="DM2292" s="41"/>
      <c r="DN2292" s="41"/>
      <c r="DO2292" s="41"/>
      <c r="DP2292" s="41"/>
      <c r="DQ2292" s="41"/>
      <c r="DR2292" s="41"/>
      <c r="DS2292" s="41"/>
      <c r="DT2292" s="41"/>
      <c r="DU2292" s="41"/>
      <c r="DV2292" s="41"/>
      <c r="DW2292" s="41"/>
      <c r="DX2292" s="41"/>
      <c r="DY2292" s="41"/>
      <c r="DZ2292" s="41"/>
      <c r="EA2292" s="41"/>
      <c r="EB2292" s="41"/>
      <c r="EC2292" s="41"/>
      <c r="ED2292" s="41"/>
      <c r="EE2292" s="41"/>
      <c r="EF2292" s="41"/>
      <c r="EG2292" s="41"/>
      <c r="EH2292" s="41"/>
      <c r="EI2292" s="41"/>
      <c r="EJ2292" s="41"/>
      <c r="EK2292" s="41"/>
      <c r="EL2292" s="41"/>
      <c r="EM2292" s="41"/>
      <c r="EN2292" s="41"/>
      <c r="EO2292" s="41"/>
      <c r="EP2292" s="41"/>
      <c r="EQ2292" s="41"/>
      <c r="ER2292" s="41"/>
      <c r="ES2292" s="41"/>
      <c r="ET2292" s="41"/>
      <c r="EU2292" s="41"/>
      <c r="EV2292" s="41"/>
      <c r="EW2292" s="41"/>
      <c r="EX2292" s="41"/>
      <c r="EY2292" s="41"/>
      <c r="EZ2292" s="41"/>
      <c r="FA2292" s="41"/>
      <c r="FB2292" s="41"/>
      <c r="FC2292" s="41"/>
      <c r="FD2292" s="41"/>
      <c r="FE2292" s="41"/>
    </row>
    <row r="2293" spans="1:161" x14ac:dyDescent="0.25">
      <c r="A2293" s="249"/>
      <c r="B2293" s="249"/>
      <c r="C2293" s="242"/>
      <c r="D2293" s="227"/>
      <c r="E2293" s="227"/>
      <c r="F2293" s="229"/>
      <c r="G2293" s="216" t="s">
        <v>72</v>
      </c>
      <c r="H2293" s="69" t="s">
        <v>67</v>
      </c>
      <c r="I2293" s="50">
        <f>D2288*K2293</f>
        <v>345758.06</v>
      </c>
      <c r="J2293" s="50">
        <f>I2293/D2288</f>
        <v>542</v>
      </c>
      <c r="K2293" s="50">
        <v>542</v>
      </c>
      <c r="L2293" s="41"/>
      <c r="M2293" s="41"/>
      <c r="N2293" s="41"/>
      <c r="O2293" s="41"/>
      <c r="P2293" s="41"/>
      <c r="Q2293" s="41"/>
      <c r="R2293" s="41"/>
      <c r="S2293" s="41"/>
      <c r="T2293" s="41"/>
      <c r="U2293" s="41"/>
      <c r="V2293" s="41"/>
      <c r="W2293" s="41"/>
      <c r="X2293" s="41"/>
      <c r="Y2293" s="41"/>
      <c r="Z2293" s="41"/>
      <c r="AA2293" s="41"/>
      <c r="AB2293" s="41"/>
      <c r="AC2293" s="41"/>
      <c r="AD2293" s="41"/>
      <c r="AE2293" s="41"/>
      <c r="AF2293" s="41"/>
      <c r="AG2293" s="41"/>
      <c r="AH2293" s="41"/>
      <c r="AI2293" s="41"/>
      <c r="AJ2293" s="41"/>
      <c r="AK2293" s="41"/>
      <c r="AL2293" s="41"/>
      <c r="AM2293" s="41"/>
      <c r="AN2293" s="41"/>
      <c r="AO2293" s="41"/>
      <c r="AP2293" s="41"/>
      <c r="AQ2293" s="41"/>
      <c r="AR2293" s="41"/>
      <c r="AS2293" s="41"/>
      <c r="AT2293" s="41"/>
      <c r="AU2293" s="41"/>
      <c r="AV2293" s="41"/>
      <c r="AW2293" s="41"/>
      <c r="AX2293" s="41"/>
      <c r="AY2293" s="41"/>
      <c r="AZ2293" s="41"/>
      <c r="BA2293" s="41"/>
      <c r="BB2293" s="41"/>
      <c r="BC2293" s="41"/>
      <c r="BD2293" s="41"/>
      <c r="BE2293" s="41"/>
      <c r="BF2293" s="41"/>
      <c r="BG2293" s="41"/>
      <c r="BH2293" s="41"/>
      <c r="BI2293" s="41"/>
      <c r="BJ2293" s="41"/>
      <c r="BK2293" s="41"/>
      <c r="BL2293" s="41"/>
      <c r="BM2293" s="41"/>
      <c r="BN2293" s="41"/>
      <c r="BO2293" s="41"/>
      <c r="BP2293" s="41"/>
      <c r="BQ2293" s="41"/>
      <c r="BR2293" s="41"/>
      <c r="BS2293" s="41"/>
      <c r="BT2293" s="41"/>
      <c r="BU2293" s="41"/>
      <c r="BV2293" s="41"/>
      <c r="BW2293" s="41"/>
      <c r="BX2293" s="41"/>
      <c r="BY2293" s="41"/>
      <c r="BZ2293" s="41"/>
      <c r="CA2293" s="41"/>
      <c r="CB2293" s="41"/>
      <c r="CC2293" s="41"/>
      <c r="CD2293" s="41"/>
      <c r="CE2293" s="41"/>
      <c r="CF2293" s="41"/>
      <c r="CG2293" s="41"/>
      <c r="CH2293" s="41"/>
      <c r="CI2293" s="41"/>
      <c r="CJ2293" s="41"/>
      <c r="CK2293" s="41"/>
      <c r="CL2293" s="41"/>
      <c r="CM2293" s="41"/>
      <c r="CN2293" s="41"/>
      <c r="CO2293" s="41"/>
      <c r="CP2293" s="41"/>
      <c r="CQ2293" s="41"/>
      <c r="CR2293" s="41"/>
      <c r="CS2293" s="41"/>
      <c r="CT2293" s="41"/>
      <c r="CU2293" s="41"/>
      <c r="CV2293" s="41"/>
      <c r="CW2293" s="41"/>
      <c r="CX2293" s="41"/>
      <c r="CY2293" s="41"/>
      <c r="CZ2293" s="41"/>
      <c r="DA2293" s="41"/>
      <c r="DB2293" s="41"/>
      <c r="DC2293" s="41"/>
      <c r="DD2293" s="41"/>
      <c r="DE2293" s="41"/>
      <c r="DF2293" s="41"/>
      <c r="DG2293" s="41"/>
      <c r="DH2293" s="41"/>
      <c r="DI2293" s="41"/>
      <c r="DJ2293" s="41"/>
      <c r="DK2293" s="41"/>
      <c r="DL2293" s="41"/>
      <c r="DM2293" s="41"/>
      <c r="DN2293" s="41"/>
      <c r="DO2293" s="41"/>
      <c r="DP2293" s="41"/>
      <c r="DQ2293" s="41"/>
      <c r="DR2293" s="41"/>
      <c r="DS2293" s="41"/>
      <c r="DT2293" s="41"/>
      <c r="DU2293" s="41"/>
      <c r="DV2293" s="41"/>
      <c r="DW2293" s="41"/>
      <c r="DX2293" s="41"/>
      <c r="DY2293" s="41"/>
      <c r="DZ2293" s="41"/>
      <c r="EA2293" s="41"/>
      <c r="EB2293" s="41"/>
      <c r="EC2293" s="41"/>
      <c r="ED2293" s="41"/>
      <c r="EE2293" s="41"/>
      <c r="EF2293" s="41"/>
      <c r="EG2293" s="41"/>
      <c r="EH2293" s="41"/>
      <c r="EI2293" s="41"/>
      <c r="EJ2293" s="41"/>
      <c r="EK2293" s="41"/>
      <c r="EL2293" s="41"/>
      <c r="EM2293" s="41"/>
      <c r="EN2293" s="41"/>
      <c r="EO2293" s="41"/>
      <c r="EP2293" s="41"/>
      <c r="EQ2293" s="41"/>
      <c r="ER2293" s="41"/>
      <c r="ES2293" s="41"/>
      <c r="ET2293" s="41"/>
      <c r="EU2293" s="41"/>
      <c r="EV2293" s="41"/>
      <c r="EW2293" s="41"/>
      <c r="EX2293" s="41"/>
      <c r="EY2293" s="41"/>
      <c r="EZ2293" s="41"/>
      <c r="FA2293" s="41"/>
      <c r="FB2293" s="41"/>
      <c r="FC2293" s="41"/>
      <c r="FD2293" s="41"/>
      <c r="FE2293" s="41"/>
    </row>
    <row r="2294" spans="1:161" x14ac:dyDescent="0.25">
      <c r="A2294" s="249"/>
      <c r="B2294" s="249"/>
      <c r="C2294" s="243"/>
      <c r="D2294" s="227"/>
      <c r="E2294" s="227"/>
      <c r="F2294" s="230"/>
      <c r="G2294" s="222"/>
      <c r="H2294" s="69" t="s">
        <v>69</v>
      </c>
      <c r="I2294" s="50">
        <f>D2288*K2294</f>
        <v>7655.16</v>
      </c>
      <c r="J2294" s="50">
        <f>I2294/D2288</f>
        <v>12</v>
      </c>
      <c r="K2294" s="50">
        <v>12</v>
      </c>
      <c r="L2294" s="41"/>
      <c r="M2294" s="41"/>
      <c r="N2294" s="41"/>
      <c r="O2294" s="41"/>
      <c r="P2294" s="41"/>
      <c r="Q2294" s="41"/>
      <c r="R2294" s="41"/>
      <c r="S2294" s="41"/>
      <c r="T2294" s="41"/>
      <c r="U2294" s="41"/>
      <c r="V2294" s="41"/>
      <c r="W2294" s="41"/>
      <c r="X2294" s="41"/>
      <c r="Y2294" s="41"/>
      <c r="Z2294" s="41"/>
      <c r="AA2294" s="41"/>
      <c r="AB2294" s="41"/>
      <c r="AC2294" s="41"/>
      <c r="AD2294" s="41"/>
      <c r="AE2294" s="41"/>
      <c r="AF2294" s="41"/>
      <c r="AG2294" s="41"/>
      <c r="AH2294" s="41"/>
      <c r="AI2294" s="41"/>
      <c r="AJ2294" s="41"/>
      <c r="AK2294" s="41"/>
      <c r="AL2294" s="41"/>
      <c r="AM2294" s="41"/>
      <c r="AN2294" s="41"/>
      <c r="AO2294" s="41"/>
      <c r="AP2294" s="41"/>
      <c r="AQ2294" s="41"/>
      <c r="AR2294" s="41"/>
      <c r="AS2294" s="41"/>
      <c r="AT2294" s="41"/>
      <c r="AU2294" s="41"/>
      <c r="AV2294" s="41"/>
      <c r="AW2294" s="41"/>
      <c r="AX2294" s="41"/>
      <c r="AY2294" s="41"/>
      <c r="AZ2294" s="41"/>
      <c r="BA2294" s="41"/>
      <c r="BB2294" s="41"/>
      <c r="BC2294" s="41"/>
      <c r="BD2294" s="41"/>
      <c r="BE2294" s="41"/>
      <c r="BF2294" s="41"/>
      <c r="BG2294" s="41"/>
      <c r="BH2294" s="41"/>
      <c r="BI2294" s="41"/>
      <c r="BJ2294" s="41"/>
      <c r="BK2294" s="41"/>
      <c r="BL2294" s="41"/>
      <c r="BM2294" s="41"/>
      <c r="BN2294" s="41"/>
      <c r="BO2294" s="41"/>
      <c r="BP2294" s="41"/>
      <c r="BQ2294" s="41"/>
      <c r="BR2294" s="41"/>
      <c r="BS2294" s="41"/>
      <c r="BT2294" s="41"/>
      <c r="BU2294" s="41"/>
      <c r="BV2294" s="41"/>
      <c r="BW2294" s="41"/>
      <c r="BX2294" s="41"/>
      <c r="BY2294" s="41"/>
      <c r="BZ2294" s="41"/>
      <c r="CA2294" s="41"/>
      <c r="CB2294" s="41"/>
      <c r="CC2294" s="41"/>
      <c r="CD2294" s="41"/>
      <c r="CE2294" s="41"/>
      <c r="CF2294" s="41"/>
      <c r="CG2294" s="41"/>
      <c r="CH2294" s="41"/>
      <c r="CI2294" s="41"/>
      <c r="CJ2294" s="41"/>
      <c r="CK2294" s="41"/>
      <c r="CL2294" s="41"/>
      <c r="CM2294" s="41"/>
      <c r="CN2294" s="41"/>
      <c r="CO2294" s="41"/>
      <c r="CP2294" s="41"/>
      <c r="CQ2294" s="41"/>
      <c r="CR2294" s="41"/>
      <c r="CS2294" s="41"/>
      <c r="CT2294" s="41"/>
      <c r="CU2294" s="41"/>
      <c r="CV2294" s="41"/>
      <c r="CW2294" s="41"/>
      <c r="CX2294" s="41"/>
      <c r="CY2294" s="41"/>
      <c r="CZ2294" s="41"/>
      <c r="DA2294" s="41"/>
      <c r="DB2294" s="41"/>
      <c r="DC2294" s="41"/>
      <c r="DD2294" s="41"/>
      <c r="DE2294" s="41"/>
      <c r="DF2294" s="41"/>
      <c r="DG2294" s="41"/>
      <c r="DH2294" s="41"/>
      <c r="DI2294" s="41"/>
      <c r="DJ2294" s="41"/>
      <c r="DK2294" s="41"/>
      <c r="DL2294" s="41"/>
      <c r="DM2294" s="41"/>
      <c r="DN2294" s="41"/>
      <c r="DO2294" s="41"/>
      <c r="DP2294" s="41"/>
      <c r="DQ2294" s="41"/>
      <c r="DR2294" s="41"/>
      <c r="DS2294" s="41"/>
      <c r="DT2294" s="41"/>
      <c r="DU2294" s="41"/>
      <c r="DV2294" s="41"/>
      <c r="DW2294" s="41"/>
      <c r="DX2294" s="41"/>
      <c r="DY2294" s="41"/>
      <c r="DZ2294" s="41"/>
      <c r="EA2294" s="41"/>
      <c r="EB2294" s="41"/>
      <c r="EC2294" s="41"/>
      <c r="ED2294" s="41"/>
      <c r="EE2294" s="41"/>
      <c r="EF2294" s="41"/>
      <c r="EG2294" s="41"/>
      <c r="EH2294" s="41"/>
      <c r="EI2294" s="41"/>
      <c r="EJ2294" s="41"/>
      <c r="EK2294" s="41"/>
      <c r="EL2294" s="41"/>
      <c r="EM2294" s="41"/>
      <c r="EN2294" s="41"/>
      <c r="EO2294" s="41"/>
      <c r="EP2294" s="41"/>
      <c r="EQ2294" s="41"/>
      <c r="ER2294" s="41"/>
      <c r="ES2294" s="41"/>
      <c r="ET2294" s="41"/>
      <c r="EU2294" s="41"/>
      <c r="EV2294" s="41"/>
      <c r="EW2294" s="41"/>
      <c r="EX2294" s="41"/>
      <c r="EY2294" s="41"/>
      <c r="EZ2294" s="41"/>
      <c r="FA2294" s="41"/>
      <c r="FB2294" s="41"/>
      <c r="FC2294" s="41"/>
      <c r="FD2294" s="41"/>
      <c r="FE2294" s="41"/>
    </row>
    <row r="2295" spans="1:161" x14ac:dyDescent="0.25">
      <c r="A2295" s="235">
        <f>A2288+1</f>
        <v>15</v>
      </c>
      <c r="B2295" s="235">
        <v>6931</v>
      </c>
      <c r="C2295" s="241" t="s">
        <v>321</v>
      </c>
      <c r="D2295" s="224">
        <v>3585.5</v>
      </c>
      <c r="E2295" s="224" t="s">
        <v>64</v>
      </c>
      <c r="F2295" s="228">
        <v>5</v>
      </c>
      <c r="G2295" s="110"/>
      <c r="H2295" s="57" t="s">
        <v>66</v>
      </c>
      <c r="I2295" s="50">
        <f>SUM(I2296:I2296)</f>
        <v>535494.43000000005</v>
      </c>
      <c r="J2295" s="50">
        <f>SUM(J2296:J2296)</f>
        <v>149.35</v>
      </c>
      <c r="K2295" s="50">
        <f>SUM(K2296:K2296)</f>
        <v>180</v>
      </c>
    </row>
    <row r="2296" spans="1:161" ht="63" x14ac:dyDescent="0.25">
      <c r="A2296" s="249"/>
      <c r="B2296" s="249"/>
      <c r="C2296" s="242"/>
      <c r="D2296" s="227"/>
      <c r="E2296" s="227"/>
      <c r="F2296" s="229"/>
      <c r="G2296" s="102" t="s">
        <v>65</v>
      </c>
      <c r="H2296" s="57" t="s">
        <v>178</v>
      </c>
      <c r="I2296" s="1">
        <v>535494.43000000005</v>
      </c>
      <c r="J2296" s="50">
        <f>I2296/D2295</f>
        <v>149.35</v>
      </c>
      <c r="K2296" s="1">
        <f>147+33</f>
        <v>180</v>
      </c>
    </row>
    <row r="2297" spans="1:161" x14ac:dyDescent="0.25">
      <c r="A2297" s="235">
        <f>A2295+1</f>
        <v>16</v>
      </c>
      <c r="B2297" s="235">
        <v>6818</v>
      </c>
      <c r="C2297" s="241" t="s">
        <v>322</v>
      </c>
      <c r="D2297" s="224">
        <v>636.4</v>
      </c>
      <c r="E2297" s="224" t="s">
        <v>68</v>
      </c>
      <c r="F2297" s="228">
        <v>2</v>
      </c>
      <c r="G2297" s="110"/>
      <c r="H2297" s="57" t="s">
        <v>66</v>
      </c>
      <c r="I2297" s="50">
        <f>SUM(I2298:I2300)</f>
        <v>138098.79999999999</v>
      </c>
      <c r="J2297" s="50">
        <f>SUM(J2298:J2300)</f>
        <v>217</v>
      </c>
      <c r="K2297" s="50">
        <f>SUM(K2298:K2300)</f>
        <v>217</v>
      </c>
      <c r="L2297" s="41"/>
      <c r="M2297" s="41"/>
      <c r="N2297" s="41"/>
      <c r="O2297" s="41"/>
      <c r="P2297" s="41"/>
      <c r="Q2297" s="41"/>
      <c r="R2297" s="41"/>
      <c r="S2297" s="41"/>
      <c r="T2297" s="41"/>
      <c r="U2297" s="41"/>
      <c r="V2297" s="41"/>
      <c r="W2297" s="41"/>
      <c r="X2297" s="41"/>
      <c r="Y2297" s="41"/>
      <c r="Z2297" s="41"/>
      <c r="AA2297" s="41"/>
      <c r="AB2297" s="41"/>
      <c r="AC2297" s="41"/>
      <c r="AD2297" s="41"/>
      <c r="AE2297" s="41"/>
      <c r="AF2297" s="41"/>
      <c r="AG2297" s="41"/>
      <c r="AH2297" s="41"/>
      <c r="AI2297" s="41"/>
      <c r="AJ2297" s="41"/>
      <c r="AK2297" s="41"/>
      <c r="AL2297" s="41"/>
      <c r="AM2297" s="41"/>
      <c r="AN2297" s="41"/>
      <c r="AO2297" s="41"/>
      <c r="AP2297" s="41"/>
      <c r="AQ2297" s="41"/>
      <c r="AR2297" s="41"/>
      <c r="AS2297" s="41"/>
      <c r="AT2297" s="41"/>
      <c r="AU2297" s="41"/>
      <c r="AV2297" s="41"/>
      <c r="AW2297" s="41"/>
      <c r="AX2297" s="41"/>
      <c r="AY2297" s="41"/>
      <c r="AZ2297" s="41"/>
      <c r="BA2297" s="41"/>
      <c r="BB2297" s="41"/>
      <c r="BC2297" s="41"/>
      <c r="BD2297" s="41"/>
      <c r="BE2297" s="41"/>
      <c r="BF2297" s="41"/>
      <c r="BG2297" s="41"/>
      <c r="BH2297" s="41"/>
      <c r="BI2297" s="41"/>
      <c r="BJ2297" s="41"/>
      <c r="BK2297" s="41"/>
      <c r="BL2297" s="41"/>
      <c r="BM2297" s="41"/>
      <c r="BN2297" s="41"/>
      <c r="BO2297" s="41"/>
      <c r="BP2297" s="41"/>
      <c r="BQ2297" s="41"/>
      <c r="BR2297" s="41"/>
      <c r="BS2297" s="41"/>
      <c r="BT2297" s="41"/>
      <c r="BU2297" s="41"/>
      <c r="BV2297" s="41"/>
      <c r="BW2297" s="41"/>
      <c r="BX2297" s="41"/>
      <c r="BY2297" s="41"/>
      <c r="BZ2297" s="41"/>
      <c r="CA2297" s="41"/>
      <c r="CB2297" s="41"/>
      <c r="CC2297" s="41"/>
      <c r="CD2297" s="41"/>
      <c r="CE2297" s="41"/>
      <c r="CF2297" s="41"/>
      <c r="CG2297" s="41"/>
      <c r="CH2297" s="41"/>
      <c r="CI2297" s="41"/>
      <c r="CJ2297" s="41"/>
      <c r="CK2297" s="41"/>
      <c r="CL2297" s="41"/>
      <c r="CM2297" s="41"/>
      <c r="CN2297" s="41"/>
      <c r="CO2297" s="41"/>
      <c r="CP2297" s="41"/>
      <c r="CQ2297" s="41"/>
      <c r="CR2297" s="41"/>
      <c r="CS2297" s="41"/>
      <c r="CT2297" s="41"/>
      <c r="CU2297" s="41"/>
      <c r="CV2297" s="41"/>
      <c r="CW2297" s="41"/>
      <c r="CX2297" s="41"/>
      <c r="CY2297" s="41"/>
      <c r="CZ2297" s="41"/>
      <c r="DA2297" s="41"/>
      <c r="DB2297" s="41"/>
      <c r="DC2297" s="41"/>
      <c r="DD2297" s="41"/>
      <c r="DE2297" s="41"/>
      <c r="DF2297" s="41"/>
      <c r="DG2297" s="41"/>
      <c r="DH2297" s="41"/>
      <c r="DI2297" s="41"/>
      <c r="DJ2297" s="41"/>
      <c r="DK2297" s="41"/>
      <c r="DL2297" s="41"/>
      <c r="DM2297" s="41"/>
      <c r="DN2297" s="41"/>
      <c r="DO2297" s="41"/>
      <c r="DP2297" s="41"/>
      <c r="DQ2297" s="41"/>
      <c r="DR2297" s="41"/>
      <c r="DS2297" s="41"/>
      <c r="DT2297" s="41"/>
      <c r="DU2297" s="41"/>
      <c r="DV2297" s="41"/>
      <c r="DW2297" s="41"/>
      <c r="DX2297" s="41"/>
      <c r="DY2297" s="41"/>
      <c r="DZ2297" s="41"/>
      <c r="EA2297" s="41"/>
      <c r="EB2297" s="41"/>
      <c r="EC2297" s="41"/>
      <c r="ED2297" s="41"/>
      <c r="EE2297" s="41"/>
      <c r="EF2297" s="41"/>
      <c r="EG2297" s="41"/>
      <c r="EH2297" s="41"/>
      <c r="EI2297" s="41"/>
      <c r="EJ2297" s="41"/>
      <c r="EK2297" s="41"/>
      <c r="EL2297" s="41"/>
      <c r="EM2297" s="41"/>
      <c r="EN2297" s="41"/>
      <c r="EO2297" s="41"/>
      <c r="EP2297" s="41"/>
      <c r="EQ2297" s="41"/>
      <c r="ER2297" s="41"/>
      <c r="ES2297" s="41"/>
      <c r="ET2297" s="41"/>
      <c r="EU2297" s="41"/>
      <c r="EV2297" s="41"/>
      <c r="EW2297" s="41"/>
      <c r="EX2297" s="41"/>
      <c r="EY2297" s="41"/>
      <c r="EZ2297" s="41"/>
      <c r="FA2297" s="41"/>
      <c r="FB2297" s="41"/>
      <c r="FC2297" s="41"/>
      <c r="FD2297" s="41"/>
      <c r="FE2297" s="41"/>
    </row>
    <row r="2298" spans="1:161" ht="63" x14ac:dyDescent="0.25">
      <c r="A2298" s="249"/>
      <c r="B2298" s="249"/>
      <c r="C2298" s="242"/>
      <c r="D2298" s="227"/>
      <c r="E2298" s="227"/>
      <c r="F2298" s="229"/>
      <c r="G2298" s="102" t="s">
        <v>70</v>
      </c>
      <c r="H2298" s="57" t="s">
        <v>168</v>
      </c>
      <c r="I2298" s="50">
        <f>D2297*K2298</f>
        <v>87186.8</v>
      </c>
      <c r="J2298" s="50">
        <f>I2298/D2297</f>
        <v>137</v>
      </c>
      <c r="K2298" s="50">
        <f>116+21</f>
        <v>137</v>
      </c>
      <c r="L2298" s="41"/>
      <c r="M2298" s="41"/>
      <c r="N2298" s="41"/>
      <c r="O2298" s="41"/>
      <c r="P2298" s="41"/>
      <c r="Q2298" s="41"/>
      <c r="R2298" s="41"/>
      <c r="S2298" s="41"/>
      <c r="T2298" s="41"/>
      <c r="U2298" s="41"/>
      <c r="V2298" s="41"/>
      <c r="W2298" s="41"/>
      <c r="X2298" s="41"/>
      <c r="Y2298" s="41"/>
      <c r="Z2298" s="41"/>
      <c r="AA2298" s="41"/>
      <c r="AB2298" s="41"/>
      <c r="AC2298" s="41"/>
      <c r="AD2298" s="41"/>
      <c r="AE2298" s="41"/>
      <c r="AF2298" s="41"/>
      <c r="AG2298" s="41"/>
      <c r="AH2298" s="41"/>
      <c r="AI2298" s="41"/>
      <c r="AJ2298" s="41"/>
      <c r="AK2298" s="41"/>
      <c r="AL2298" s="41"/>
      <c r="AM2298" s="41"/>
      <c r="AN2298" s="41"/>
      <c r="AO2298" s="41"/>
      <c r="AP2298" s="41"/>
      <c r="AQ2298" s="41"/>
      <c r="AR2298" s="41"/>
      <c r="AS2298" s="41"/>
      <c r="AT2298" s="41"/>
      <c r="AU2298" s="41"/>
      <c r="AV2298" s="41"/>
      <c r="AW2298" s="41"/>
      <c r="AX2298" s="41"/>
      <c r="AY2298" s="41"/>
      <c r="AZ2298" s="41"/>
      <c r="BA2298" s="41"/>
      <c r="BB2298" s="41"/>
      <c r="BC2298" s="41"/>
      <c r="BD2298" s="41"/>
      <c r="BE2298" s="41"/>
      <c r="BF2298" s="41"/>
      <c r="BG2298" s="41"/>
      <c r="BH2298" s="41"/>
      <c r="BI2298" s="41"/>
      <c r="BJ2298" s="41"/>
      <c r="BK2298" s="41"/>
      <c r="BL2298" s="41"/>
      <c r="BM2298" s="41"/>
      <c r="BN2298" s="41"/>
      <c r="BO2298" s="41"/>
      <c r="BP2298" s="41"/>
      <c r="BQ2298" s="41"/>
      <c r="BR2298" s="41"/>
      <c r="BS2298" s="41"/>
      <c r="BT2298" s="41"/>
      <c r="BU2298" s="41"/>
      <c r="BV2298" s="41"/>
      <c r="BW2298" s="41"/>
      <c r="BX2298" s="41"/>
      <c r="BY2298" s="41"/>
      <c r="BZ2298" s="41"/>
      <c r="CA2298" s="41"/>
      <c r="CB2298" s="41"/>
      <c r="CC2298" s="41"/>
      <c r="CD2298" s="41"/>
      <c r="CE2298" s="41"/>
      <c r="CF2298" s="41"/>
      <c r="CG2298" s="41"/>
      <c r="CH2298" s="41"/>
      <c r="CI2298" s="41"/>
      <c r="CJ2298" s="41"/>
      <c r="CK2298" s="41"/>
      <c r="CL2298" s="41"/>
      <c r="CM2298" s="41"/>
      <c r="CN2298" s="41"/>
      <c r="CO2298" s="41"/>
      <c r="CP2298" s="41"/>
      <c r="CQ2298" s="41"/>
      <c r="CR2298" s="41"/>
      <c r="CS2298" s="41"/>
      <c r="CT2298" s="41"/>
      <c r="CU2298" s="41"/>
      <c r="CV2298" s="41"/>
      <c r="CW2298" s="41"/>
      <c r="CX2298" s="41"/>
      <c r="CY2298" s="41"/>
      <c r="CZ2298" s="41"/>
      <c r="DA2298" s="41"/>
      <c r="DB2298" s="41"/>
      <c r="DC2298" s="41"/>
      <c r="DD2298" s="41"/>
      <c r="DE2298" s="41"/>
      <c r="DF2298" s="41"/>
      <c r="DG2298" s="41"/>
      <c r="DH2298" s="41"/>
      <c r="DI2298" s="41"/>
      <c r="DJ2298" s="41"/>
      <c r="DK2298" s="41"/>
      <c r="DL2298" s="41"/>
      <c r="DM2298" s="41"/>
      <c r="DN2298" s="41"/>
      <c r="DO2298" s="41"/>
      <c r="DP2298" s="41"/>
      <c r="DQ2298" s="41"/>
      <c r="DR2298" s="41"/>
      <c r="DS2298" s="41"/>
      <c r="DT2298" s="41"/>
      <c r="DU2298" s="41"/>
      <c r="DV2298" s="41"/>
      <c r="DW2298" s="41"/>
      <c r="DX2298" s="41"/>
      <c r="DY2298" s="41"/>
      <c r="DZ2298" s="41"/>
      <c r="EA2298" s="41"/>
      <c r="EB2298" s="41"/>
      <c r="EC2298" s="41"/>
      <c r="ED2298" s="41"/>
      <c r="EE2298" s="41"/>
      <c r="EF2298" s="41"/>
      <c r="EG2298" s="41"/>
      <c r="EH2298" s="41"/>
      <c r="EI2298" s="41"/>
      <c r="EJ2298" s="41"/>
      <c r="EK2298" s="41"/>
      <c r="EL2298" s="41"/>
      <c r="EM2298" s="41"/>
      <c r="EN2298" s="41"/>
      <c r="EO2298" s="41"/>
      <c r="EP2298" s="41"/>
      <c r="EQ2298" s="41"/>
      <c r="ER2298" s="41"/>
      <c r="ES2298" s="41"/>
      <c r="ET2298" s="41"/>
      <c r="EU2298" s="41"/>
      <c r="EV2298" s="41"/>
      <c r="EW2298" s="41"/>
      <c r="EX2298" s="41"/>
      <c r="EY2298" s="41"/>
      <c r="EZ2298" s="41"/>
      <c r="FA2298" s="41"/>
      <c r="FB2298" s="41"/>
      <c r="FC2298" s="41"/>
      <c r="FD2298" s="41"/>
      <c r="FE2298" s="41"/>
    </row>
    <row r="2299" spans="1:161" ht="63" x14ac:dyDescent="0.25">
      <c r="A2299" s="249"/>
      <c r="B2299" s="249"/>
      <c r="C2299" s="242"/>
      <c r="D2299" s="227"/>
      <c r="E2299" s="227"/>
      <c r="F2299" s="229"/>
      <c r="G2299" s="102" t="s">
        <v>71</v>
      </c>
      <c r="H2299" s="57" t="s">
        <v>168</v>
      </c>
      <c r="I2299" s="50">
        <f>D2297*K2299</f>
        <v>24819.599999999999</v>
      </c>
      <c r="J2299" s="50">
        <f>I2299/D2297</f>
        <v>39</v>
      </c>
      <c r="K2299" s="50">
        <f>30+9</f>
        <v>39</v>
      </c>
      <c r="L2299" s="41"/>
      <c r="M2299" s="41"/>
      <c r="N2299" s="41"/>
      <c r="O2299" s="41"/>
      <c r="P2299" s="41"/>
      <c r="Q2299" s="41"/>
      <c r="R2299" s="41"/>
      <c r="S2299" s="41"/>
      <c r="T2299" s="41"/>
      <c r="U2299" s="41"/>
      <c r="V2299" s="41"/>
      <c r="W2299" s="41"/>
      <c r="X2299" s="41"/>
      <c r="Y2299" s="41"/>
      <c r="Z2299" s="41"/>
      <c r="AA2299" s="41"/>
      <c r="AB2299" s="41"/>
      <c r="AC2299" s="41"/>
      <c r="AD2299" s="41"/>
      <c r="AE2299" s="41"/>
      <c r="AF2299" s="41"/>
      <c r="AG2299" s="41"/>
      <c r="AH2299" s="41"/>
      <c r="AI2299" s="41"/>
      <c r="AJ2299" s="41"/>
      <c r="AK2299" s="41"/>
      <c r="AL2299" s="41"/>
      <c r="AM2299" s="41"/>
      <c r="AN2299" s="41"/>
      <c r="AO2299" s="41"/>
      <c r="AP2299" s="41"/>
      <c r="AQ2299" s="41"/>
      <c r="AR2299" s="41"/>
      <c r="AS2299" s="41"/>
      <c r="AT2299" s="41"/>
      <c r="AU2299" s="41"/>
      <c r="AV2299" s="41"/>
      <c r="AW2299" s="41"/>
      <c r="AX2299" s="41"/>
      <c r="AY2299" s="41"/>
      <c r="AZ2299" s="41"/>
      <c r="BA2299" s="41"/>
      <c r="BB2299" s="41"/>
      <c r="BC2299" s="41"/>
      <c r="BD2299" s="41"/>
      <c r="BE2299" s="41"/>
      <c r="BF2299" s="41"/>
      <c r="BG2299" s="41"/>
      <c r="BH2299" s="41"/>
      <c r="BI2299" s="41"/>
      <c r="BJ2299" s="41"/>
      <c r="BK2299" s="41"/>
      <c r="BL2299" s="41"/>
      <c r="BM2299" s="41"/>
      <c r="BN2299" s="41"/>
      <c r="BO2299" s="41"/>
      <c r="BP2299" s="41"/>
      <c r="BQ2299" s="41"/>
      <c r="BR2299" s="41"/>
      <c r="BS2299" s="41"/>
      <c r="BT2299" s="41"/>
      <c r="BU2299" s="41"/>
      <c r="BV2299" s="41"/>
      <c r="BW2299" s="41"/>
      <c r="BX2299" s="41"/>
      <c r="BY2299" s="41"/>
      <c r="BZ2299" s="41"/>
      <c r="CA2299" s="41"/>
      <c r="CB2299" s="41"/>
      <c r="CC2299" s="41"/>
      <c r="CD2299" s="41"/>
      <c r="CE2299" s="41"/>
      <c r="CF2299" s="41"/>
      <c r="CG2299" s="41"/>
      <c r="CH2299" s="41"/>
      <c r="CI2299" s="41"/>
      <c r="CJ2299" s="41"/>
      <c r="CK2299" s="41"/>
      <c r="CL2299" s="41"/>
      <c r="CM2299" s="41"/>
      <c r="CN2299" s="41"/>
      <c r="CO2299" s="41"/>
      <c r="CP2299" s="41"/>
      <c r="CQ2299" s="41"/>
      <c r="CR2299" s="41"/>
      <c r="CS2299" s="41"/>
      <c r="CT2299" s="41"/>
      <c r="CU2299" s="41"/>
      <c r="CV2299" s="41"/>
      <c r="CW2299" s="41"/>
      <c r="CX2299" s="41"/>
      <c r="CY2299" s="41"/>
      <c r="CZ2299" s="41"/>
      <c r="DA2299" s="41"/>
      <c r="DB2299" s="41"/>
      <c r="DC2299" s="41"/>
      <c r="DD2299" s="41"/>
      <c r="DE2299" s="41"/>
      <c r="DF2299" s="41"/>
      <c r="DG2299" s="41"/>
      <c r="DH2299" s="41"/>
      <c r="DI2299" s="41"/>
      <c r="DJ2299" s="41"/>
      <c r="DK2299" s="41"/>
      <c r="DL2299" s="41"/>
      <c r="DM2299" s="41"/>
      <c r="DN2299" s="41"/>
      <c r="DO2299" s="41"/>
      <c r="DP2299" s="41"/>
      <c r="DQ2299" s="41"/>
      <c r="DR2299" s="41"/>
      <c r="DS2299" s="41"/>
      <c r="DT2299" s="41"/>
      <c r="DU2299" s="41"/>
      <c r="DV2299" s="41"/>
      <c r="DW2299" s="41"/>
      <c r="DX2299" s="41"/>
      <c r="DY2299" s="41"/>
      <c r="DZ2299" s="41"/>
      <c r="EA2299" s="41"/>
      <c r="EB2299" s="41"/>
      <c r="EC2299" s="41"/>
      <c r="ED2299" s="41"/>
      <c r="EE2299" s="41"/>
      <c r="EF2299" s="41"/>
      <c r="EG2299" s="41"/>
      <c r="EH2299" s="41"/>
      <c r="EI2299" s="41"/>
      <c r="EJ2299" s="41"/>
      <c r="EK2299" s="41"/>
      <c r="EL2299" s="41"/>
      <c r="EM2299" s="41"/>
      <c r="EN2299" s="41"/>
      <c r="EO2299" s="41"/>
      <c r="EP2299" s="41"/>
      <c r="EQ2299" s="41"/>
      <c r="ER2299" s="41"/>
      <c r="ES2299" s="41"/>
      <c r="ET2299" s="41"/>
      <c r="EU2299" s="41"/>
      <c r="EV2299" s="41"/>
      <c r="EW2299" s="41"/>
      <c r="EX2299" s="41"/>
      <c r="EY2299" s="41"/>
      <c r="EZ2299" s="41"/>
      <c r="FA2299" s="41"/>
      <c r="FB2299" s="41"/>
      <c r="FC2299" s="41"/>
      <c r="FD2299" s="41"/>
      <c r="FE2299" s="41"/>
    </row>
    <row r="2300" spans="1:161" ht="63" x14ac:dyDescent="0.25">
      <c r="A2300" s="249"/>
      <c r="B2300" s="249"/>
      <c r="C2300" s="243"/>
      <c r="D2300" s="227"/>
      <c r="E2300" s="227"/>
      <c r="F2300" s="230"/>
      <c r="G2300" s="102" t="s">
        <v>72</v>
      </c>
      <c r="H2300" s="57" t="s">
        <v>168</v>
      </c>
      <c r="I2300" s="50">
        <f>D2297*K2300</f>
        <v>26092.400000000001</v>
      </c>
      <c r="J2300" s="50">
        <f>I2300/D2297</f>
        <v>41</v>
      </c>
      <c r="K2300" s="50">
        <f>22+19</f>
        <v>41</v>
      </c>
      <c r="L2300" s="41"/>
      <c r="M2300" s="41"/>
      <c r="N2300" s="41"/>
      <c r="O2300" s="41"/>
      <c r="P2300" s="41"/>
      <c r="Q2300" s="41"/>
      <c r="R2300" s="41"/>
      <c r="S2300" s="41"/>
      <c r="T2300" s="41"/>
      <c r="U2300" s="41"/>
      <c r="V2300" s="41"/>
      <c r="W2300" s="41"/>
      <c r="X2300" s="41"/>
      <c r="Y2300" s="41"/>
      <c r="Z2300" s="41"/>
      <c r="AA2300" s="41"/>
      <c r="AB2300" s="41"/>
      <c r="AC2300" s="41"/>
      <c r="AD2300" s="41"/>
      <c r="AE2300" s="41"/>
      <c r="AF2300" s="41"/>
      <c r="AG2300" s="41"/>
      <c r="AH2300" s="41"/>
      <c r="AI2300" s="41"/>
      <c r="AJ2300" s="41"/>
      <c r="AK2300" s="41"/>
      <c r="AL2300" s="41"/>
      <c r="AM2300" s="41"/>
      <c r="AN2300" s="41"/>
      <c r="AO2300" s="41"/>
      <c r="AP2300" s="41"/>
      <c r="AQ2300" s="41"/>
      <c r="AR2300" s="41"/>
      <c r="AS2300" s="41"/>
      <c r="AT2300" s="41"/>
      <c r="AU2300" s="41"/>
      <c r="AV2300" s="41"/>
      <c r="AW2300" s="41"/>
      <c r="AX2300" s="41"/>
      <c r="AY2300" s="41"/>
      <c r="AZ2300" s="41"/>
      <c r="BA2300" s="41"/>
      <c r="BB2300" s="41"/>
      <c r="BC2300" s="41"/>
      <c r="BD2300" s="41"/>
      <c r="BE2300" s="41"/>
      <c r="BF2300" s="41"/>
      <c r="BG2300" s="41"/>
      <c r="BH2300" s="41"/>
      <c r="BI2300" s="41"/>
      <c r="BJ2300" s="41"/>
      <c r="BK2300" s="41"/>
      <c r="BL2300" s="41"/>
      <c r="BM2300" s="41"/>
      <c r="BN2300" s="41"/>
      <c r="BO2300" s="41"/>
      <c r="BP2300" s="41"/>
      <c r="BQ2300" s="41"/>
      <c r="BR2300" s="41"/>
      <c r="BS2300" s="41"/>
      <c r="BT2300" s="41"/>
      <c r="BU2300" s="41"/>
      <c r="BV2300" s="41"/>
      <c r="BW2300" s="41"/>
      <c r="BX2300" s="41"/>
      <c r="BY2300" s="41"/>
      <c r="BZ2300" s="41"/>
      <c r="CA2300" s="41"/>
      <c r="CB2300" s="41"/>
      <c r="CC2300" s="41"/>
      <c r="CD2300" s="41"/>
      <c r="CE2300" s="41"/>
      <c r="CF2300" s="41"/>
      <c r="CG2300" s="41"/>
      <c r="CH2300" s="41"/>
      <c r="CI2300" s="41"/>
      <c r="CJ2300" s="41"/>
      <c r="CK2300" s="41"/>
      <c r="CL2300" s="41"/>
      <c r="CM2300" s="41"/>
      <c r="CN2300" s="41"/>
      <c r="CO2300" s="41"/>
      <c r="CP2300" s="41"/>
      <c r="CQ2300" s="41"/>
      <c r="CR2300" s="41"/>
      <c r="CS2300" s="41"/>
      <c r="CT2300" s="41"/>
      <c r="CU2300" s="41"/>
      <c r="CV2300" s="41"/>
      <c r="CW2300" s="41"/>
      <c r="CX2300" s="41"/>
      <c r="CY2300" s="41"/>
      <c r="CZ2300" s="41"/>
      <c r="DA2300" s="41"/>
      <c r="DB2300" s="41"/>
      <c r="DC2300" s="41"/>
      <c r="DD2300" s="41"/>
      <c r="DE2300" s="41"/>
      <c r="DF2300" s="41"/>
      <c r="DG2300" s="41"/>
      <c r="DH2300" s="41"/>
      <c r="DI2300" s="41"/>
      <c r="DJ2300" s="41"/>
      <c r="DK2300" s="41"/>
      <c r="DL2300" s="41"/>
      <c r="DM2300" s="41"/>
      <c r="DN2300" s="41"/>
      <c r="DO2300" s="41"/>
      <c r="DP2300" s="41"/>
      <c r="DQ2300" s="41"/>
      <c r="DR2300" s="41"/>
      <c r="DS2300" s="41"/>
      <c r="DT2300" s="41"/>
      <c r="DU2300" s="41"/>
      <c r="DV2300" s="41"/>
      <c r="DW2300" s="41"/>
      <c r="DX2300" s="41"/>
      <c r="DY2300" s="41"/>
      <c r="DZ2300" s="41"/>
      <c r="EA2300" s="41"/>
      <c r="EB2300" s="41"/>
      <c r="EC2300" s="41"/>
      <c r="ED2300" s="41"/>
      <c r="EE2300" s="41"/>
      <c r="EF2300" s="41"/>
      <c r="EG2300" s="41"/>
      <c r="EH2300" s="41"/>
      <c r="EI2300" s="41"/>
      <c r="EJ2300" s="41"/>
      <c r="EK2300" s="41"/>
      <c r="EL2300" s="41"/>
      <c r="EM2300" s="41"/>
      <c r="EN2300" s="41"/>
      <c r="EO2300" s="41"/>
      <c r="EP2300" s="41"/>
      <c r="EQ2300" s="41"/>
      <c r="ER2300" s="41"/>
      <c r="ES2300" s="41"/>
      <c r="ET2300" s="41"/>
      <c r="EU2300" s="41"/>
      <c r="EV2300" s="41"/>
      <c r="EW2300" s="41"/>
      <c r="EX2300" s="41"/>
      <c r="EY2300" s="41"/>
      <c r="EZ2300" s="41"/>
      <c r="FA2300" s="41"/>
      <c r="FB2300" s="41"/>
      <c r="FC2300" s="41"/>
      <c r="FD2300" s="41"/>
      <c r="FE2300" s="41"/>
    </row>
    <row r="2301" spans="1:161" x14ac:dyDescent="0.25">
      <c r="A2301" s="237">
        <f>A2297+1</f>
        <v>17</v>
      </c>
      <c r="B2301" s="237">
        <v>8006</v>
      </c>
      <c r="C2301" s="241" t="s">
        <v>323</v>
      </c>
      <c r="D2301" s="224">
        <v>637.20000000000005</v>
      </c>
      <c r="E2301" s="220" t="s">
        <v>68</v>
      </c>
      <c r="F2301" s="228">
        <v>2</v>
      </c>
      <c r="G2301" s="110"/>
      <c r="H2301" s="57" t="s">
        <v>66</v>
      </c>
      <c r="I2301" s="50">
        <f>I2302</f>
        <v>26762.400000000001</v>
      </c>
      <c r="J2301" s="50">
        <f t="shared" ref="J2301" si="68">J2302</f>
        <v>42</v>
      </c>
      <c r="K2301" s="50">
        <f t="shared" ref="K2301" si="69">K2302</f>
        <v>42</v>
      </c>
      <c r="L2301" s="41"/>
      <c r="M2301" s="41"/>
      <c r="N2301" s="41"/>
      <c r="O2301" s="41"/>
      <c r="P2301" s="41"/>
      <c r="Q2301" s="41"/>
      <c r="R2301" s="41"/>
      <c r="S2301" s="41"/>
      <c r="T2301" s="41"/>
      <c r="U2301" s="41"/>
      <c r="V2301" s="41"/>
      <c r="W2301" s="41"/>
      <c r="X2301" s="41"/>
      <c r="Y2301" s="41"/>
      <c r="Z2301" s="41"/>
      <c r="AA2301" s="41"/>
      <c r="AB2301" s="41"/>
      <c r="AC2301" s="41"/>
      <c r="AD2301" s="41"/>
      <c r="AE2301" s="41"/>
      <c r="AF2301" s="41"/>
      <c r="AG2301" s="41"/>
      <c r="AH2301" s="41"/>
      <c r="AI2301" s="41"/>
      <c r="AJ2301" s="41"/>
      <c r="AK2301" s="41"/>
      <c r="AL2301" s="41"/>
      <c r="AM2301" s="41"/>
      <c r="AN2301" s="41"/>
      <c r="AO2301" s="41"/>
      <c r="AP2301" s="41"/>
      <c r="AQ2301" s="41"/>
      <c r="AR2301" s="41"/>
      <c r="AS2301" s="41"/>
      <c r="AT2301" s="41"/>
      <c r="AU2301" s="41"/>
      <c r="AV2301" s="41"/>
      <c r="AW2301" s="41"/>
      <c r="AX2301" s="41"/>
      <c r="AY2301" s="41"/>
      <c r="AZ2301" s="41"/>
      <c r="BA2301" s="41"/>
      <c r="BB2301" s="41"/>
      <c r="BC2301" s="41"/>
      <c r="BD2301" s="41"/>
      <c r="BE2301" s="41"/>
      <c r="BF2301" s="41"/>
      <c r="BG2301" s="41"/>
      <c r="BH2301" s="41"/>
      <c r="BI2301" s="41"/>
      <c r="BJ2301" s="41"/>
      <c r="BK2301" s="41"/>
      <c r="BL2301" s="41"/>
      <c r="BM2301" s="41"/>
      <c r="BN2301" s="41"/>
      <c r="BO2301" s="41"/>
      <c r="BP2301" s="41"/>
      <c r="BQ2301" s="41"/>
      <c r="BR2301" s="41"/>
      <c r="BS2301" s="41"/>
      <c r="BT2301" s="41"/>
      <c r="BU2301" s="41"/>
      <c r="BV2301" s="41"/>
      <c r="BW2301" s="41"/>
      <c r="BX2301" s="41"/>
      <c r="BY2301" s="41"/>
      <c r="BZ2301" s="41"/>
      <c r="CA2301" s="41"/>
      <c r="CB2301" s="41"/>
      <c r="CC2301" s="41"/>
      <c r="CD2301" s="41"/>
      <c r="CE2301" s="41"/>
      <c r="CF2301" s="41"/>
      <c r="CG2301" s="41"/>
      <c r="CH2301" s="41"/>
      <c r="CI2301" s="41"/>
      <c r="CJ2301" s="41"/>
      <c r="CK2301" s="41"/>
      <c r="CL2301" s="41"/>
      <c r="CM2301" s="41"/>
      <c r="CN2301" s="41"/>
      <c r="CO2301" s="41"/>
      <c r="CP2301" s="41"/>
      <c r="CQ2301" s="41"/>
      <c r="CR2301" s="41"/>
      <c r="CS2301" s="41"/>
      <c r="CT2301" s="41"/>
      <c r="CU2301" s="41"/>
      <c r="CV2301" s="41"/>
      <c r="CW2301" s="41"/>
      <c r="CX2301" s="41"/>
      <c r="CY2301" s="41"/>
      <c r="CZ2301" s="41"/>
      <c r="DA2301" s="41"/>
      <c r="DB2301" s="41"/>
      <c r="DC2301" s="41"/>
      <c r="DD2301" s="41"/>
      <c r="DE2301" s="41"/>
      <c r="DF2301" s="41"/>
      <c r="DG2301" s="41"/>
      <c r="DH2301" s="41"/>
      <c r="DI2301" s="41"/>
      <c r="DJ2301" s="41"/>
      <c r="DK2301" s="41"/>
      <c r="DL2301" s="41"/>
      <c r="DM2301" s="41"/>
      <c r="DN2301" s="41"/>
      <c r="DO2301" s="41"/>
      <c r="DP2301" s="41"/>
      <c r="DQ2301" s="41"/>
      <c r="DR2301" s="41"/>
      <c r="DS2301" s="41"/>
      <c r="DT2301" s="41"/>
      <c r="DU2301" s="41"/>
      <c r="DV2301" s="41"/>
      <c r="DW2301" s="41"/>
      <c r="DX2301" s="41"/>
      <c r="DY2301" s="41"/>
      <c r="DZ2301" s="41"/>
      <c r="EA2301" s="41"/>
      <c r="EB2301" s="41"/>
      <c r="EC2301" s="41"/>
      <c r="ED2301" s="41"/>
      <c r="EE2301" s="41"/>
      <c r="EF2301" s="41"/>
      <c r="EG2301" s="41"/>
      <c r="EH2301" s="41"/>
      <c r="EI2301" s="41"/>
      <c r="EJ2301" s="41"/>
      <c r="EK2301" s="41"/>
      <c r="EL2301" s="41"/>
      <c r="EM2301" s="41"/>
      <c r="EN2301" s="41"/>
      <c r="EO2301" s="41"/>
      <c r="EP2301" s="41"/>
      <c r="EQ2301" s="41"/>
      <c r="ER2301" s="41"/>
      <c r="ES2301" s="41"/>
      <c r="ET2301" s="41"/>
      <c r="EU2301" s="41"/>
      <c r="EV2301" s="41"/>
      <c r="EW2301" s="41"/>
      <c r="EX2301" s="41"/>
      <c r="EY2301" s="41"/>
      <c r="EZ2301" s="41"/>
      <c r="FA2301" s="41"/>
      <c r="FB2301" s="41"/>
      <c r="FC2301" s="41"/>
      <c r="FD2301" s="41"/>
      <c r="FE2301" s="41"/>
    </row>
    <row r="2302" spans="1:161" ht="63" x14ac:dyDescent="0.25">
      <c r="A2302" s="249"/>
      <c r="B2302" s="249"/>
      <c r="C2302" s="243"/>
      <c r="D2302" s="224"/>
      <c r="E2302" s="227"/>
      <c r="F2302" s="230"/>
      <c r="G2302" s="102" t="s">
        <v>71</v>
      </c>
      <c r="H2302" s="57" t="s">
        <v>168</v>
      </c>
      <c r="I2302" s="50">
        <f>D2301*K2302</f>
        <v>26762.400000000001</v>
      </c>
      <c r="J2302" s="50">
        <f>I2302/D2301</f>
        <v>42</v>
      </c>
      <c r="K2302" s="50">
        <f>21+21</f>
        <v>42</v>
      </c>
      <c r="L2302" s="41"/>
      <c r="M2302" s="41"/>
      <c r="N2302" s="41"/>
      <c r="O2302" s="41"/>
      <c r="P2302" s="41"/>
      <c r="Q2302" s="41"/>
      <c r="R2302" s="41"/>
      <c r="S2302" s="41"/>
      <c r="T2302" s="41"/>
      <c r="U2302" s="41"/>
      <c r="V2302" s="41"/>
      <c r="W2302" s="41"/>
      <c r="X2302" s="41"/>
      <c r="Y2302" s="41"/>
      <c r="Z2302" s="41"/>
      <c r="AA2302" s="41"/>
      <c r="AB2302" s="41"/>
      <c r="AC2302" s="41"/>
      <c r="AD2302" s="41"/>
      <c r="AE2302" s="41"/>
      <c r="AF2302" s="41"/>
      <c r="AG2302" s="41"/>
      <c r="AH2302" s="41"/>
      <c r="AI2302" s="41"/>
      <c r="AJ2302" s="41"/>
      <c r="AK2302" s="41"/>
      <c r="AL2302" s="41"/>
      <c r="AM2302" s="41"/>
      <c r="AN2302" s="41"/>
      <c r="AO2302" s="41"/>
      <c r="AP2302" s="41"/>
      <c r="AQ2302" s="41"/>
      <c r="AR2302" s="41"/>
      <c r="AS2302" s="41"/>
      <c r="AT2302" s="41"/>
      <c r="AU2302" s="41"/>
      <c r="AV2302" s="41"/>
      <c r="AW2302" s="41"/>
      <c r="AX2302" s="41"/>
      <c r="AY2302" s="41"/>
      <c r="AZ2302" s="41"/>
      <c r="BA2302" s="41"/>
      <c r="BB2302" s="41"/>
      <c r="BC2302" s="41"/>
      <c r="BD2302" s="41"/>
      <c r="BE2302" s="41"/>
      <c r="BF2302" s="41"/>
      <c r="BG2302" s="41"/>
      <c r="BH2302" s="41"/>
      <c r="BI2302" s="41"/>
      <c r="BJ2302" s="41"/>
      <c r="BK2302" s="41"/>
      <c r="BL2302" s="41"/>
      <c r="BM2302" s="41"/>
      <c r="BN2302" s="41"/>
      <c r="BO2302" s="41"/>
      <c r="BP2302" s="41"/>
      <c r="BQ2302" s="41"/>
      <c r="BR2302" s="41"/>
      <c r="BS2302" s="41"/>
      <c r="BT2302" s="41"/>
      <c r="BU2302" s="41"/>
      <c r="BV2302" s="41"/>
      <c r="BW2302" s="41"/>
      <c r="BX2302" s="41"/>
      <c r="BY2302" s="41"/>
      <c r="BZ2302" s="41"/>
      <c r="CA2302" s="41"/>
      <c r="CB2302" s="41"/>
      <c r="CC2302" s="41"/>
      <c r="CD2302" s="41"/>
      <c r="CE2302" s="41"/>
      <c r="CF2302" s="41"/>
      <c r="CG2302" s="41"/>
      <c r="CH2302" s="41"/>
      <c r="CI2302" s="41"/>
      <c r="CJ2302" s="41"/>
      <c r="CK2302" s="41"/>
      <c r="CL2302" s="41"/>
      <c r="CM2302" s="41"/>
      <c r="CN2302" s="41"/>
      <c r="CO2302" s="41"/>
      <c r="CP2302" s="41"/>
      <c r="CQ2302" s="41"/>
      <c r="CR2302" s="41"/>
      <c r="CS2302" s="41"/>
      <c r="CT2302" s="41"/>
      <c r="CU2302" s="41"/>
      <c r="CV2302" s="41"/>
      <c r="CW2302" s="41"/>
      <c r="CX2302" s="41"/>
      <c r="CY2302" s="41"/>
      <c r="CZ2302" s="41"/>
      <c r="DA2302" s="41"/>
      <c r="DB2302" s="41"/>
      <c r="DC2302" s="41"/>
      <c r="DD2302" s="41"/>
      <c r="DE2302" s="41"/>
      <c r="DF2302" s="41"/>
      <c r="DG2302" s="41"/>
      <c r="DH2302" s="41"/>
      <c r="DI2302" s="41"/>
      <c r="DJ2302" s="41"/>
      <c r="DK2302" s="41"/>
      <c r="DL2302" s="41"/>
      <c r="DM2302" s="41"/>
      <c r="DN2302" s="41"/>
      <c r="DO2302" s="41"/>
      <c r="DP2302" s="41"/>
      <c r="DQ2302" s="41"/>
      <c r="DR2302" s="41"/>
      <c r="DS2302" s="41"/>
      <c r="DT2302" s="41"/>
      <c r="DU2302" s="41"/>
      <c r="DV2302" s="41"/>
      <c r="DW2302" s="41"/>
      <c r="DX2302" s="41"/>
      <c r="DY2302" s="41"/>
      <c r="DZ2302" s="41"/>
      <c r="EA2302" s="41"/>
      <c r="EB2302" s="41"/>
      <c r="EC2302" s="41"/>
      <c r="ED2302" s="41"/>
      <c r="EE2302" s="41"/>
      <c r="EF2302" s="41"/>
      <c r="EG2302" s="41"/>
      <c r="EH2302" s="41"/>
      <c r="EI2302" s="41"/>
      <c r="EJ2302" s="41"/>
      <c r="EK2302" s="41"/>
      <c r="EL2302" s="41"/>
      <c r="EM2302" s="41"/>
      <c r="EN2302" s="41"/>
      <c r="EO2302" s="41"/>
      <c r="EP2302" s="41"/>
      <c r="EQ2302" s="41"/>
      <c r="ER2302" s="41"/>
      <c r="ES2302" s="41"/>
      <c r="ET2302" s="41"/>
      <c r="EU2302" s="41"/>
      <c r="EV2302" s="41"/>
      <c r="EW2302" s="41"/>
      <c r="EX2302" s="41"/>
      <c r="EY2302" s="41"/>
      <c r="EZ2302" s="41"/>
      <c r="FA2302" s="41"/>
      <c r="FB2302" s="41"/>
      <c r="FC2302" s="41"/>
      <c r="FD2302" s="41"/>
      <c r="FE2302" s="41"/>
    </row>
    <row r="2303" spans="1:161" x14ac:dyDescent="0.25">
      <c r="A2303" s="237">
        <f>A2301+1</f>
        <v>18</v>
      </c>
      <c r="B2303" s="237">
        <v>8005</v>
      </c>
      <c r="C2303" s="241" t="s">
        <v>324</v>
      </c>
      <c r="D2303" s="220">
        <v>657.6</v>
      </c>
      <c r="E2303" s="220" t="s">
        <v>68</v>
      </c>
      <c r="F2303" s="228">
        <v>2</v>
      </c>
      <c r="G2303" s="110"/>
      <c r="H2303" s="57" t="s">
        <v>66</v>
      </c>
      <c r="I2303" s="50">
        <f>I2304</f>
        <v>27619.200000000001</v>
      </c>
      <c r="J2303" s="50">
        <f t="shared" ref="J2303:K2303" si="70">J2304</f>
        <v>42</v>
      </c>
      <c r="K2303" s="50">
        <f t="shared" si="70"/>
        <v>42</v>
      </c>
      <c r="L2303" s="41"/>
      <c r="M2303" s="41"/>
      <c r="N2303" s="41"/>
      <c r="O2303" s="41"/>
      <c r="P2303" s="41"/>
      <c r="Q2303" s="41"/>
      <c r="R2303" s="41"/>
      <c r="S2303" s="41"/>
      <c r="T2303" s="41"/>
      <c r="U2303" s="41"/>
      <c r="V2303" s="41"/>
      <c r="W2303" s="41"/>
      <c r="X2303" s="41"/>
      <c r="Y2303" s="41"/>
      <c r="Z2303" s="41"/>
      <c r="AA2303" s="41"/>
      <c r="AB2303" s="41"/>
      <c r="AC2303" s="41"/>
      <c r="AD2303" s="41"/>
      <c r="AE2303" s="41"/>
      <c r="AF2303" s="41"/>
      <c r="AG2303" s="41"/>
      <c r="AH2303" s="41"/>
      <c r="AI2303" s="41"/>
      <c r="AJ2303" s="41"/>
      <c r="AK2303" s="41"/>
      <c r="AL2303" s="41"/>
      <c r="AM2303" s="41"/>
      <c r="AN2303" s="41"/>
      <c r="AO2303" s="41"/>
      <c r="AP2303" s="41"/>
      <c r="AQ2303" s="41"/>
      <c r="AR2303" s="41"/>
      <c r="AS2303" s="41"/>
      <c r="AT2303" s="41"/>
      <c r="AU2303" s="41"/>
      <c r="AV2303" s="41"/>
      <c r="AW2303" s="41"/>
      <c r="AX2303" s="41"/>
      <c r="AY2303" s="41"/>
      <c r="AZ2303" s="41"/>
      <c r="BA2303" s="41"/>
      <c r="BB2303" s="41"/>
      <c r="BC2303" s="41"/>
      <c r="BD2303" s="41"/>
      <c r="BE2303" s="41"/>
      <c r="BF2303" s="41"/>
      <c r="BG2303" s="41"/>
      <c r="BH2303" s="41"/>
      <c r="BI2303" s="41"/>
      <c r="BJ2303" s="41"/>
      <c r="BK2303" s="41"/>
      <c r="BL2303" s="41"/>
      <c r="BM2303" s="41"/>
      <c r="BN2303" s="41"/>
      <c r="BO2303" s="41"/>
      <c r="BP2303" s="41"/>
      <c r="BQ2303" s="41"/>
      <c r="BR2303" s="41"/>
      <c r="BS2303" s="41"/>
      <c r="BT2303" s="41"/>
      <c r="BU2303" s="41"/>
      <c r="BV2303" s="41"/>
      <c r="BW2303" s="41"/>
      <c r="BX2303" s="41"/>
      <c r="BY2303" s="41"/>
      <c r="BZ2303" s="41"/>
      <c r="CA2303" s="41"/>
      <c r="CB2303" s="41"/>
      <c r="CC2303" s="41"/>
      <c r="CD2303" s="41"/>
      <c r="CE2303" s="41"/>
      <c r="CF2303" s="41"/>
      <c r="CG2303" s="41"/>
      <c r="CH2303" s="41"/>
      <c r="CI2303" s="41"/>
      <c r="CJ2303" s="41"/>
      <c r="CK2303" s="41"/>
      <c r="CL2303" s="41"/>
      <c r="CM2303" s="41"/>
      <c r="CN2303" s="41"/>
      <c r="CO2303" s="41"/>
      <c r="CP2303" s="41"/>
      <c r="CQ2303" s="41"/>
      <c r="CR2303" s="41"/>
      <c r="CS2303" s="41"/>
      <c r="CT2303" s="41"/>
      <c r="CU2303" s="41"/>
      <c r="CV2303" s="41"/>
      <c r="CW2303" s="41"/>
      <c r="CX2303" s="41"/>
      <c r="CY2303" s="41"/>
      <c r="CZ2303" s="41"/>
      <c r="DA2303" s="41"/>
      <c r="DB2303" s="41"/>
      <c r="DC2303" s="41"/>
      <c r="DD2303" s="41"/>
      <c r="DE2303" s="41"/>
      <c r="DF2303" s="41"/>
      <c r="DG2303" s="41"/>
      <c r="DH2303" s="41"/>
      <c r="DI2303" s="41"/>
      <c r="DJ2303" s="41"/>
      <c r="DK2303" s="41"/>
      <c r="DL2303" s="41"/>
      <c r="DM2303" s="41"/>
      <c r="DN2303" s="41"/>
      <c r="DO2303" s="41"/>
      <c r="DP2303" s="41"/>
      <c r="DQ2303" s="41"/>
      <c r="DR2303" s="41"/>
      <c r="DS2303" s="41"/>
      <c r="DT2303" s="41"/>
      <c r="DU2303" s="41"/>
      <c r="DV2303" s="41"/>
      <c r="DW2303" s="41"/>
      <c r="DX2303" s="41"/>
      <c r="DY2303" s="41"/>
      <c r="DZ2303" s="41"/>
      <c r="EA2303" s="41"/>
      <c r="EB2303" s="41"/>
      <c r="EC2303" s="41"/>
      <c r="ED2303" s="41"/>
      <c r="EE2303" s="41"/>
      <c r="EF2303" s="41"/>
      <c r="EG2303" s="41"/>
      <c r="EH2303" s="41"/>
      <c r="EI2303" s="41"/>
      <c r="EJ2303" s="41"/>
      <c r="EK2303" s="41"/>
      <c r="EL2303" s="41"/>
      <c r="EM2303" s="41"/>
      <c r="EN2303" s="41"/>
      <c r="EO2303" s="41"/>
      <c r="EP2303" s="41"/>
      <c r="EQ2303" s="41"/>
      <c r="ER2303" s="41"/>
      <c r="ES2303" s="41"/>
      <c r="ET2303" s="41"/>
      <c r="EU2303" s="41"/>
      <c r="EV2303" s="41"/>
      <c r="EW2303" s="41"/>
      <c r="EX2303" s="41"/>
      <c r="EY2303" s="41"/>
      <c r="EZ2303" s="41"/>
      <c r="FA2303" s="41"/>
      <c r="FB2303" s="41"/>
      <c r="FC2303" s="41"/>
      <c r="FD2303" s="41"/>
      <c r="FE2303" s="41"/>
    </row>
    <row r="2304" spans="1:161" ht="63" x14ac:dyDescent="0.25">
      <c r="A2304" s="249"/>
      <c r="B2304" s="249"/>
      <c r="C2304" s="243"/>
      <c r="D2304" s="227"/>
      <c r="E2304" s="227"/>
      <c r="F2304" s="230"/>
      <c r="G2304" s="102" t="s">
        <v>71</v>
      </c>
      <c r="H2304" s="57" t="s">
        <v>168</v>
      </c>
      <c r="I2304" s="50">
        <f>D2303*K2304</f>
        <v>27619.200000000001</v>
      </c>
      <c r="J2304" s="50">
        <f>I2304/D2303</f>
        <v>42</v>
      </c>
      <c r="K2304" s="50">
        <f>21+21</f>
        <v>42</v>
      </c>
      <c r="L2304" s="41"/>
      <c r="M2304" s="41"/>
      <c r="N2304" s="41"/>
      <c r="O2304" s="41"/>
      <c r="P2304" s="41"/>
      <c r="Q2304" s="41"/>
      <c r="R2304" s="41"/>
      <c r="S2304" s="41"/>
      <c r="T2304" s="41"/>
      <c r="U2304" s="41"/>
      <c r="V2304" s="41"/>
      <c r="W2304" s="41"/>
      <c r="X2304" s="41"/>
      <c r="Y2304" s="41"/>
      <c r="Z2304" s="41"/>
      <c r="AA2304" s="41"/>
      <c r="AB2304" s="41"/>
      <c r="AC2304" s="41"/>
      <c r="AD2304" s="41"/>
      <c r="AE2304" s="41"/>
      <c r="AF2304" s="41"/>
      <c r="AG2304" s="41"/>
      <c r="AH2304" s="41"/>
      <c r="AI2304" s="41"/>
      <c r="AJ2304" s="41"/>
      <c r="AK2304" s="41"/>
      <c r="AL2304" s="41"/>
      <c r="AM2304" s="41"/>
      <c r="AN2304" s="41"/>
      <c r="AO2304" s="41"/>
      <c r="AP2304" s="41"/>
      <c r="AQ2304" s="41"/>
      <c r="AR2304" s="41"/>
      <c r="AS2304" s="41"/>
      <c r="AT2304" s="41"/>
      <c r="AU2304" s="41"/>
      <c r="AV2304" s="41"/>
      <c r="AW2304" s="41"/>
      <c r="AX2304" s="41"/>
      <c r="AY2304" s="41"/>
      <c r="AZ2304" s="41"/>
      <c r="BA2304" s="41"/>
      <c r="BB2304" s="41"/>
      <c r="BC2304" s="41"/>
      <c r="BD2304" s="41"/>
      <c r="BE2304" s="41"/>
      <c r="BF2304" s="41"/>
      <c r="BG2304" s="41"/>
      <c r="BH2304" s="41"/>
      <c r="BI2304" s="41"/>
      <c r="BJ2304" s="41"/>
      <c r="BK2304" s="41"/>
      <c r="BL2304" s="41"/>
      <c r="BM2304" s="41"/>
      <c r="BN2304" s="41"/>
      <c r="BO2304" s="41"/>
      <c r="BP2304" s="41"/>
      <c r="BQ2304" s="41"/>
      <c r="BR2304" s="41"/>
      <c r="BS2304" s="41"/>
      <c r="BT2304" s="41"/>
      <c r="BU2304" s="41"/>
      <c r="BV2304" s="41"/>
      <c r="BW2304" s="41"/>
      <c r="BX2304" s="41"/>
      <c r="BY2304" s="41"/>
      <c r="BZ2304" s="41"/>
      <c r="CA2304" s="41"/>
      <c r="CB2304" s="41"/>
      <c r="CC2304" s="41"/>
      <c r="CD2304" s="41"/>
      <c r="CE2304" s="41"/>
      <c r="CF2304" s="41"/>
      <c r="CG2304" s="41"/>
      <c r="CH2304" s="41"/>
      <c r="CI2304" s="41"/>
      <c r="CJ2304" s="41"/>
      <c r="CK2304" s="41"/>
      <c r="CL2304" s="41"/>
      <c r="CM2304" s="41"/>
      <c r="CN2304" s="41"/>
      <c r="CO2304" s="41"/>
      <c r="CP2304" s="41"/>
      <c r="CQ2304" s="41"/>
      <c r="CR2304" s="41"/>
      <c r="CS2304" s="41"/>
      <c r="CT2304" s="41"/>
      <c r="CU2304" s="41"/>
      <c r="CV2304" s="41"/>
      <c r="CW2304" s="41"/>
      <c r="CX2304" s="41"/>
      <c r="CY2304" s="41"/>
      <c r="CZ2304" s="41"/>
      <c r="DA2304" s="41"/>
      <c r="DB2304" s="41"/>
      <c r="DC2304" s="41"/>
      <c r="DD2304" s="41"/>
      <c r="DE2304" s="41"/>
      <c r="DF2304" s="41"/>
      <c r="DG2304" s="41"/>
      <c r="DH2304" s="41"/>
      <c r="DI2304" s="41"/>
      <c r="DJ2304" s="41"/>
      <c r="DK2304" s="41"/>
      <c r="DL2304" s="41"/>
      <c r="DM2304" s="41"/>
      <c r="DN2304" s="41"/>
      <c r="DO2304" s="41"/>
      <c r="DP2304" s="41"/>
      <c r="DQ2304" s="41"/>
      <c r="DR2304" s="41"/>
      <c r="DS2304" s="41"/>
      <c r="DT2304" s="41"/>
      <c r="DU2304" s="41"/>
      <c r="DV2304" s="41"/>
      <c r="DW2304" s="41"/>
      <c r="DX2304" s="41"/>
      <c r="DY2304" s="41"/>
      <c r="DZ2304" s="41"/>
      <c r="EA2304" s="41"/>
      <c r="EB2304" s="41"/>
      <c r="EC2304" s="41"/>
      <c r="ED2304" s="41"/>
      <c r="EE2304" s="41"/>
      <c r="EF2304" s="41"/>
      <c r="EG2304" s="41"/>
      <c r="EH2304" s="41"/>
      <c r="EI2304" s="41"/>
      <c r="EJ2304" s="41"/>
      <c r="EK2304" s="41"/>
      <c r="EL2304" s="41"/>
      <c r="EM2304" s="41"/>
      <c r="EN2304" s="41"/>
      <c r="EO2304" s="41"/>
      <c r="EP2304" s="41"/>
      <c r="EQ2304" s="41"/>
      <c r="ER2304" s="41"/>
      <c r="ES2304" s="41"/>
      <c r="ET2304" s="41"/>
      <c r="EU2304" s="41"/>
      <c r="EV2304" s="41"/>
      <c r="EW2304" s="41"/>
      <c r="EX2304" s="41"/>
      <c r="EY2304" s="41"/>
      <c r="EZ2304" s="41"/>
      <c r="FA2304" s="41"/>
      <c r="FB2304" s="41"/>
      <c r="FC2304" s="41"/>
      <c r="FD2304" s="41"/>
      <c r="FE2304" s="41"/>
    </row>
    <row r="2305" spans="1:161" x14ac:dyDescent="0.25">
      <c r="A2305" s="235">
        <f>A2303+1</f>
        <v>19</v>
      </c>
      <c r="B2305" s="235">
        <v>6868</v>
      </c>
      <c r="C2305" s="241" t="s">
        <v>325</v>
      </c>
      <c r="D2305" s="224">
        <v>701</v>
      </c>
      <c r="E2305" s="224" t="s">
        <v>68</v>
      </c>
      <c r="F2305" s="228">
        <v>2</v>
      </c>
      <c r="G2305" s="110"/>
      <c r="H2305" s="57" t="s">
        <v>66</v>
      </c>
      <c r="I2305" s="50">
        <f>SUM(I2306:I2307)</f>
        <v>125479</v>
      </c>
      <c r="J2305" s="50">
        <f>SUM(J2306:J2307)</f>
        <v>179</v>
      </c>
      <c r="K2305" s="50">
        <f>SUM(K2306:K2307)</f>
        <v>179</v>
      </c>
    </row>
    <row r="2306" spans="1:161" ht="63" x14ac:dyDescent="0.25">
      <c r="A2306" s="249"/>
      <c r="B2306" s="249"/>
      <c r="C2306" s="242"/>
      <c r="D2306" s="227"/>
      <c r="E2306" s="227"/>
      <c r="F2306" s="229"/>
      <c r="G2306" s="102" t="s">
        <v>70</v>
      </c>
      <c r="H2306" s="57" t="s">
        <v>168</v>
      </c>
      <c r="I2306" s="50">
        <f>D2305*K2306</f>
        <v>96037</v>
      </c>
      <c r="J2306" s="50">
        <f>I2306/D2305</f>
        <v>137</v>
      </c>
      <c r="K2306" s="50">
        <f>116+21</f>
        <v>137</v>
      </c>
      <c r="L2306" s="41"/>
      <c r="M2306" s="41"/>
      <c r="N2306" s="41"/>
      <c r="O2306" s="41"/>
      <c r="P2306" s="41"/>
      <c r="Q2306" s="41"/>
      <c r="R2306" s="41"/>
      <c r="S2306" s="41"/>
      <c r="T2306" s="41"/>
      <c r="U2306" s="41"/>
      <c r="V2306" s="41"/>
      <c r="W2306" s="41"/>
      <c r="X2306" s="41"/>
      <c r="Y2306" s="41"/>
      <c r="Z2306" s="41"/>
      <c r="AA2306" s="41"/>
      <c r="AB2306" s="41"/>
      <c r="AC2306" s="41"/>
      <c r="AD2306" s="41"/>
      <c r="AE2306" s="41"/>
      <c r="AF2306" s="41"/>
      <c r="AG2306" s="41"/>
      <c r="AH2306" s="41"/>
      <c r="AI2306" s="41"/>
      <c r="AJ2306" s="41"/>
      <c r="AK2306" s="41"/>
      <c r="AL2306" s="41"/>
      <c r="AM2306" s="41"/>
      <c r="AN2306" s="41"/>
      <c r="AO2306" s="41"/>
      <c r="AP2306" s="41"/>
      <c r="AQ2306" s="41"/>
      <c r="AR2306" s="41"/>
      <c r="AS2306" s="41"/>
      <c r="AT2306" s="41"/>
      <c r="AU2306" s="41"/>
      <c r="AV2306" s="41"/>
      <c r="AW2306" s="41"/>
      <c r="AX2306" s="41"/>
      <c r="AY2306" s="41"/>
      <c r="AZ2306" s="41"/>
      <c r="BA2306" s="41"/>
      <c r="BB2306" s="41"/>
      <c r="BC2306" s="41"/>
      <c r="BD2306" s="41"/>
      <c r="BE2306" s="41"/>
      <c r="BF2306" s="41"/>
      <c r="BG2306" s="41"/>
      <c r="BH2306" s="41"/>
      <c r="BI2306" s="41"/>
      <c r="BJ2306" s="41"/>
      <c r="BK2306" s="41"/>
      <c r="BL2306" s="41"/>
      <c r="BM2306" s="41"/>
      <c r="BN2306" s="41"/>
      <c r="BO2306" s="41"/>
      <c r="BP2306" s="41"/>
      <c r="BQ2306" s="41"/>
      <c r="BR2306" s="41"/>
      <c r="BS2306" s="41"/>
      <c r="BT2306" s="41"/>
      <c r="BU2306" s="41"/>
      <c r="BV2306" s="41"/>
      <c r="BW2306" s="41"/>
      <c r="BX2306" s="41"/>
      <c r="BY2306" s="41"/>
      <c r="BZ2306" s="41"/>
      <c r="CA2306" s="41"/>
      <c r="CB2306" s="41"/>
      <c r="CC2306" s="41"/>
      <c r="CD2306" s="41"/>
      <c r="CE2306" s="41"/>
      <c r="CF2306" s="41"/>
      <c r="CG2306" s="41"/>
      <c r="CH2306" s="41"/>
      <c r="CI2306" s="41"/>
      <c r="CJ2306" s="41"/>
      <c r="CK2306" s="41"/>
      <c r="CL2306" s="41"/>
      <c r="CM2306" s="41"/>
      <c r="CN2306" s="41"/>
      <c r="CO2306" s="41"/>
      <c r="CP2306" s="41"/>
      <c r="CQ2306" s="41"/>
      <c r="CR2306" s="41"/>
      <c r="CS2306" s="41"/>
      <c r="CT2306" s="41"/>
      <c r="CU2306" s="41"/>
      <c r="CV2306" s="41"/>
      <c r="CW2306" s="41"/>
      <c r="CX2306" s="41"/>
      <c r="CY2306" s="41"/>
      <c r="CZ2306" s="41"/>
      <c r="DA2306" s="41"/>
      <c r="DB2306" s="41"/>
      <c r="DC2306" s="41"/>
      <c r="DD2306" s="41"/>
      <c r="DE2306" s="41"/>
      <c r="DF2306" s="41"/>
      <c r="DG2306" s="41"/>
      <c r="DH2306" s="41"/>
      <c r="DI2306" s="41"/>
      <c r="DJ2306" s="41"/>
      <c r="DK2306" s="41"/>
      <c r="DL2306" s="41"/>
      <c r="DM2306" s="41"/>
      <c r="DN2306" s="41"/>
      <c r="DO2306" s="41"/>
      <c r="DP2306" s="41"/>
      <c r="DQ2306" s="41"/>
      <c r="DR2306" s="41"/>
      <c r="DS2306" s="41"/>
      <c r="DT2306" s="41"/>
      <c r="DU2306" s="41"/>
      <c r="DV2306" s="41"/>
      <c r="DW2306" s="41"/>
      <c r="DX2306" s="41"/>
      <c r="DY2306" s="41"/>
      <c r="DZ2306" s="41"/>
      <c r="EA2306" s="41"/>
      <c r="EB2306" s="41"/>
      <c r="EC2306" s="41"/>
      <c r="ED2306" s="41"/>
      <c r="EE2306" s="41"/>
      <c r="EF2306" s="41"/>
      <c r="EG2306" s="41"/>
      <c r="EH2306" s="41"/>
      <c r="EI2306" s="41"/>
      <c r="EJ2306" s="41"/>
      <c r="EK2306" s="41"/>
      <c r="EL2306" s="41"/>
      <c r="EM2306" s="41"/>
      <c r="EN2306" s="41"/>
      <c r="EO2306" s="41"/>
      <c r="EP2306" s="41"/>
      <c r="EQ2306" s="41"/>
      <c r="ER2306" s="41"/>
      <c r="ES2306" s="41"/>
      <c r="ET2306" s="41"/>
      <c r="EU2306" s="41"/>
      <c r="EV2306" s="41"/>
      <c r="EW2306" s="41"/>
      <c r="EX2306" s="41"/>
      <c r="EY2306" s="41"/>
      <c r="EZ2306" s="41"/>
      <c r="FA2306" s="41"/>
      <c r="FB2306" s="41"/>
      <c r="FC2306" s="41"/>
      <c r="FD2306" s="41"/>
      <c r="FE2306" s="41"/>
    </row>
    <row r="2307" spans="1:161" ht="63" x14ac:dyDescent="0.25">
      <c r="A2307" s="249"/>
      <c r="B2307" s="249"/>
      <c r="C2307" s="242"/>
      <c r="D2307" s="227"/>
      <c r="E2307" s="227"/>
      <c r="F2307" s="229"/>
      <c r="G2307" s="102" t="s">
        <v>71</v>
      </c>
      <c r="H2307" s="57" t="s">
        <v>168</v>
      </c>
      <c r="I2307" s="50">
        <f>D2305*K2307</f>
        <v>29442</v>
      </c>
      <c r="J2307" s="50">
        <f>I2307/D2305</f>
        <v>42</v>
      </c>
      <c r="K2307" s="50">
        <f>21+21</f>
        <v>42</v>
      </c>
      <c r="L2307" s="41"/>
      <c r="M2307" s="41"/>
      <c r="N2307" s="41"/>
      <c r="O2307" s="41"/>
      <c r="P2307" s="41"/>
      <c r="Q2307" s="41"/>
      <c r="R2307" s="41"/>
      <c r="S2307" s="41"/>
      <c r="T2307" s="41"/>
      <c r="U2307" s="41"/>
      <c r="V2307" s="41"/>
      <c r="W2307" s="41"/>
      <c r="X2307" s="41"/>
      <c r="Y2307" s="41"/>
      <c r="Z2307" s="41"/>
      <c r="AA2307" s="41"/>
      <c r="AB2307" s="41"/>
      <c r="AC2307" s="41"/>
      <c r="AD2307" s="41"/>
      <c r="AE2307" s="41"/>
      <c r="AF2307" s="41"/>
      <c r="AG2307" s="41"/>
      <c r="AH2307" s="41"/>
      <c r="AI2307" s="41"/>
      <c r="AJ2307" s="41"/>
      <c r="AK2307" s="41"/>
      <c r="AL2307" s="41"/>
      <c r="AM2307" s="41"/>
      <c r="AN2307" s="41"/>
      <c r="AO2307" s="41"/>
      <c r="AP2307" s="41"/>
      <c r="AQ2307" s="41"/>
      <c r="AR2307" s="41"/>
      <c r="AS2307" s="41"/>
      <c r="AT2307" s="41"/>
      <c r="AU2307" s="41"/>
      <c r="AV2307" s="41"/>
      <c r="AW2307" s="41"/>
      <c r="AX2307" s="41"/>
      <c r="AY2307" s="41"/>
      <c r="AZ2307" s="41"/>
      <c r="BA2307" s="41"/>
      <c r="BB2307" s="41"/>
      <c r="BC2307" s="41"/>
      <c r="BD2307" s="41"/>
      <c r="BE2307" s="41"/>
      <c r="BF2307" s="41"/>
      <c r="BG2307" s="41"/>
      <c r="BH2307" s="41"/>
      <c r="BI2307" s="41"/>
      <c r="BJ2307" s="41"/>
      <c r="BK2307" s="41"/>
      <c r="BL2307" s="41"/>
      <c r="BM2307" s="41"/>
      <c r="BN2307" s="41"/>
      <c r="BO2307" s="41"/>
      <c r="BP2307" s="41"/>
      <c r="BQ2307" s="41"/>
      <c r="BR2307" s="41"/>
      <c r="BS2307" s="41"/>
      <c r="BT2307" s="41"/>
      <c r="BU2307" s="41"/>
      <c r="BV2307" s="41"/>
      <c r="BW2307" s="41"/>
      <c r="BX2307" s="41"/>
      <c r="BY2307" s="41"/>
      <c r="BZ2307" s="41"/>
      <c r="CA2307" s="41"/>
      <c r="CB2307" s="41"/>
      <c r="CC2307" s="41"/>
      <c r="CD2307" s="41"/>
      <c r="CE2307" s="41"/>
      <c r="CF2307" s="41"/>
      <c r="CG2307" s="41"/>
      <c r="CH2307" s="41"/>
      <c r="CI2307" s="41"/>
      <c r="CJ2307" s="41"/>
      <c r="CK2307" s="41"/>
      <c r="CL2307" s="41"/>
      <c r="CM2307" s="41"/>
      <c r="CN2307" s="41"/>
      <c r="CO2307" s="41"/>
      <c r="CP2307" s="41"/>
      <c r="CQ2307" s="41"/>
      <c r="CR2307" s="41"/>
      <c r="CS2307" s="41"/>
      <c r="CT2307" s="41"/>
      <c r="CU2307" s="41"/>
      <c r="CV2307" s="41"/>
      <c r="CW2307" s="41"/>
      <c r="CX2307" s="41"/>
      <c r="CY2307" s="41"/>
      <c r="CZ2307" s="41"/>
      <c r="DA2307" s="41"/>
      <c r="DB2307" s="41"/>
      <c r="DC2307" s="41"/>
      <c r="DD2307" s="41"/>
      <c r="DE2307" s="41"/>
      <c r="DF2307" s="41"/>
      <c r="DG2307" s="41"/>
      <c r="DH2307" s="41"/>
      <c r="DI2307" s="41"/>
      <c r="DJ2307" s="41"/>
      <c r="DK2307" s="41"/>
      <c r="DL2307" s="41"/>
      <c r="DM2307" s="41"/>
      <c r="DN2307" s="41"/>
      <c r="DO2307" s="41"/>
      <c r="DP2307" s="41"/>
      <c r="DQ2307" s="41"/>
      <c r="DR2307" s="41"/>
      <c r="DS2307" s="41"/>
      <c r="DT2307" s="41"/>
      <c r="DU2307" s="41"/>
      <c r="DV2307" s="41"/>
      <c r="DW2307" s="41"/>
      <c r="DX2307" s="41"/>
      <c r="DY2307" s="41"/>
      <c r="DZ2307" s="41"/>
      <c r="EA2307" s="41"/>
      <c r="EB2307" s="41"/>
      <c r="EC2307" s="41"/>
      <c r="ED2307" s="41"/>
      <c r="EE2307" s="41"/>
      <c r="EF2307" s="41"/>
      <c r="EG2307" s="41"/>
      <c r="EH2307" s="41"/>
      <c r="EI2307" s="41"/>
      <c r="EJ2307" s="41"/>
      <c r="EK2307" s="41"/>
      <c r="EL2307" s="41"/>
      <c r="EM2307" s="41"/>
      <c r="EN2307" s="41"/>
      <c r="EO2307" s="41"/>
      <c r="EP2307" s="41"/>
      <c r="EQ2307" s="41"/>
      <c r="ER2307" s="41"/>
      <c r="ES2307" s="41"/>
      <c r="ET2307" s="41"/>
      <c r="EU2307" s="41"/>
      <c r="EV2307" s="41"/>
      <c r="EW2307" s="41"/>
      <c r="EX2307" s="41"/>
      <c r="EY2307" s="41"/>
      <c r="EZ2307" s="41"/>
      <c r="FA2307" s="41"/>
      <c r="FB2307" s="41"/>
      <c r="FC2307" s="41"/>
      <c r="FD2307" s="41"/>
      <c r="FE2307" s="41"/>
    </row>
    <row r="2308" spans="1:161" x14ac:dyDescent="0.25">
      <c r="A2308" s="235">
        <f>A2305+1</f>
        <v>20</v>
      </c>
      <c r="B2308" s="235">
        <v>6999</v>
      </c>
      <c r="C2308" s="241" t="s">
        <v>326</v>
      </c>
      <c r="D2308" s="224">
        <v>383.7</v>
      </c>
      <c r="E2308" s="224" t="s">
        <v>68</v>
      </c>
      <c r="F2308" s="228">
        <v>2</v>
      </c>
      <c r="G2308" s="94"/>
      <c r="H2308" s="95" t="s">
        <v>66</v>
      </c>
      <c r="I2308" s="1">
        <f>SUM(I2309:I2310)</f>
        <v>29544.9</v>
      </c>
      <c r="J2308" s="1">
        <f>SUM(J2309:J2310)</f>
        <v>77</v>
      </c>
      <c r="K2308" s="1">
        <f>SUM(K2309:K2310)</f>
        <v>77</v>
      </c>
      <c r="L2308" s="41"/>
      <c r="M2308" s="41"/>
      <c r="N2308" s="41"/>
      <c r="O2308" s="41"/>
      <c r="P2308" s="41"/>
      <c r="Q2308" s="41"/>
      <c r="R2308" s="41"/>
      <c r="S2308" s="41"/>
      <c r="T2308" s="41"/>
      <c r="U2308" s="41"/>
      <c r="V2308" s="41"/>
      <c r="W2308" s="41"/>
      <c r="X2308" s="41"/>
      <c r="Y2308" s="41"/>
      <c r="Z2308" s="41"/>
      <c r="AA2308" s="41"/>
      <c r="AB2308" s="41"/>
      <c r="AC2308" s="41"/>
      <c r="AD2308" s="41"/>
      <c r="AE2308" s="41"/>
      <c r="AF2308" s="41"/>
      <c r="AG2308" s="41"/>
      <c r="AH2308" s="41"/>
      <c r="AI2308" s="41"/>
      <c r="AJ2308" s="41"/>
      <c r="AK2308" s="41"/>
      <c r="AL2308" s="41"/>
      <c r="AM2308" s="41"/>
      <c r="AN2308" s="41"/>
      <c r="AO2308" s="41"/>
      <c r="AP2308" s="41"/>
      <c r="AQ2308" s="41"/>
      <c r="AR2308" s="41"/>
      <c r="AS2308" s="41"/>
      <c r="AT2308" s="41"/>
      <c r="AU2308" s="41"/>
      <c r="AV2308" s="41"/>
      <c r="AW2308" s="41"/>
      <c r="AX2308" s="41"/>
      <c r="AY2308" s="41"/>
      <c r="AZ2308" s="41"/>
      <c r="BA2308" s="41"/>
      <c r="BB2308" s="41"/>
      <c r="BC2308" s="41"/>
      <c r="BD2308" s="41"/>
      <c r="BE2308" s="41"/>
      <c r="BF2308" s="41"/>
      <c r="BG2308" s="41"/>
      <c r="BH2308" s="41"/>
      <c r="BI2308" s="41"/>
      <c r="BJ2308" s="41"/>
      <c r="BK2308" s="41"/>
      <c r="BL2308" s="41"/>
      <c r="BM2308" s="41"/>
      <c r="BN2308" s="41"/>
      <c r="BO2308" s="41"/>
      <c r="BP2308" s="41"/>
      <c r="BQ2308" s="41"/>
      <c r="BR2308" s="41"/>
      <c r="BS2308" s="41"/>
      <c r="BT2308" s="41"/>
      <c r="BU2308" s="41"/>
      <c r="BV2308" s="41"/>
      <c r="BW2308" s="41"/>
      <c r="BX2308" s="41"/>
      <c r="BY2308" s="41"/>
      <c r="BZ2308" s="41"/>
      <c r="CA2308" s="41"/>
      <c r="CB2308" s="41"/>
      <c r="CC2308" s="41"/>
      <c r="CD2308" s="41"/>
      <c r="CE2308" s="41"/>
      <c r="CF2308" s="41"/>
      <c r="CG2308" s="41"/>
      <c r="CH2308" s="41"/>
      <c r="CI2308" s="41"/>
      <c r="CJ2308" s="41"/>
      <c r="CK2308" s="41"/>
      <c r="CL2308" s="41"/>
      <c r="CM2308" s="41"/>
      <c r="CN2308" s="41"/>
      <c r="CO2308" s="41"/>
      <c r="CP2308" s="41"/>
      <c r="CQ2308" s="41"/>
      <c r="CR2308" s="41"/>
      <c r="CS2308" s="41"/>
      <c r="CT2308" s="41"/>
      <c r="CU2308" s="41"/>
      <c r="CV2308" s="41"/>
      <c r="CW2308" s="41"/>
      <c r="CX2308" s="41"/>
      <c r="CY2308" s="41"/>
      <c r="CZ2308" s="41"/>
      <c r="DA2308" s="41"/>
      <c r="DB2308" s="41"/>
      <c r="DC2308" s="41"/>
      <c r="DD2308" s="41"/>
      <c r="DE2308" s="41"/>
      <c r="DF2308" s="41"/>
      <c r="DG2308" s="41"/>
      <c r="DH2308" s="41"/>
      <c r="DI2308" s="41"/>
      <c r="DJ2308" s="41"/>
      <c r="DK2308" s="41"/>
      <c r="DL2308" s="41"/>
      <c r="DM2308" s="41"/>
      <c r="DN2308" s="41"/>
      <c r="DO2308" s="41"/>
      <c r="DP2308" s="41"/>
      <c r="DQ2308" s="41"/>
      <c r="DR2308" s="41"/>
      <c r="DS2308" s="41"/>
      <c r="DT2308" s="41"/>
      <c r="DU2308" s="41"/>
      <c r="DV2308" s="41"/>
      <c r="DW2308" s="41"/>
      <c r="DX2308" s="41"/>
      <c r="DY2308" s="41"/>
      <c r="DZ2308" s="41"/>
      <c r="EA2308" s="41"/>
      <c r="EB2308" s="41"/>
      <c r="EC2308" s="41"/>
      <c r="ED2308" s="41"/>
      <c r="EE2308" s="41"/>
      <c r="EF2308" s="41"/>
      <c r="EG2308" s="41"/>
      <c r="EH2308" s="41"/>
      <c r="EI2308" s="41"/>
      <c r="EJ2308" s="41"/>
      <c r="EK2308" s="41"/>
      <c r="EL2308" s="41"/>
      <c r="EM2308" s="41"/>
      <c r="EN2308" s="41"/>
      <c r="EO2308" s="41"/>
      <c r="EP2308" s="41"/>
      <c r="EQ2308" s="41"/>
      <c r="ER2308" s="41"/>
      <c r="ES2308" s="41"/>
      <c r="ET2308" s="41"/>
      <c r="EU2308" s="41"/>
      <c r="EV2308" s="41"/>
      <c r="EW2308" s="41"/>
      <c r="EX2308" s="41"/>
      <c r="EY2308" s="41"/>
      <c r="EZ2308" s="41"/>
      <c r="FA2308" s="41"/>
      <c r="FB2308" s="41"/>
      <c r="FC2308" s="41"/>
      <c r="FD2308" s="41"/>
      <c r="FE2308" s="41"/>
    </row>
    <row r="2309" spans="1:161" ht="63" x14ac:dyDescent="0.25">
      <c r="A2309" s="249"/>
      <c r="B2309" s="249"/>
      <c r="C2309" s="242"/>
      <c r="D2309" s="227"/>
      <c r="E2309" s="227"/>
      <c r="F2309" s="229"/>
      <c r="G2309" s="168" t="s">
        <v>77</v>
      </c>
      <c r="H2309" s="95" t="s">
        <v>168</v>
      </c>
      <c r="I2309" s="1">
        <f>D2308*K2309</f>
        <v>18801.3</v>
      </c>
      <c r="J2309" s="1">
        <f>I2309/D2308</f>
        <v>49</v>
      </c>
      <c r="K2309" s="1">
        <f>28+21</f>
        <v>49</v>
      </c>
      <c r="L2309" s="41"/>
      <c r="M2309" s="41"/>
      <c r="N2309" s="41"/>
      <c r="O2309" s="41"/>
      <c r="P2309" s="41"/>
      <c r="Q2309" s="41"/>
      <c r="R2309" s="41"/>
      <c r="S2309" s="41"/>
      <c r="T2309" s="41"/>
      <c r="U2309" s="41"/>
      <c r="V2309" s="41"/>
      <c r="W2309" s="41"/>
      <c r="X2309" s="41"/>
      <c r="Y2309" s="41"/>
      <c r="Z2309" s="41"/>
      <c r="AA2309" s="41"/>
      <c r="AB2309" s="41"/>
      <c r="AC2309" s="41"/>
      <c r="AD2309" s="41"/>
      <c r="AE2309" s="41"/>
      <c r="AF2309" s="41"/>
      <c r="AG2309" s="41"/>
      <c r="AH2309" s="41"/>
      <c r="AI2309" s="41"/>
      <c r="AJ2309" s="41"/>
      <c r="AK2309" s="41"/>
      <c r="AL2309" s="41"/>
      <c r="AM2309" s="41"/>
      <c r="AN2309" s="41"/>
      <c r="AO2309" s="41"/>
      <c r="AP2309" s="41"/>
      <c r="AQ2309" s="41"/>
      <c r="AR2309" s="41"/>
      <c r="AS2309" s="41"/>
      <c r="AT2309" s="41"/>
      <c r="AU2309" s="41"/>
      <c r="AV2309" s="41"/>
      <c r="AW2309" s="41"/>
      <c r="AX2309" s="41"/>
      <c r="AY2309" s="41"/>
      <c r="AZ2309" s="41"/>
      <c r="BA2309" s="41"/>
      <c r="BB2309" s="41"/>
      <c r="BC2309" s="41"/>
      <c r="BD2309" s="41"/>
      <c r="BE2309" s="41"/>
      <c r="BF2309" s="41"/>
      <c r="BG2309" s="41"/>
      <c r="BH2309" s="41"/>
      <c r="BI2309" s="41"/>
      <c r="BJ2309" s="41"/>
      <c r="BK2309" s="41"/>
      <c r="BL2309" s="41"/>
      <c r="BM2309" s="41"/>
      <c r="BN2309" s="41"/>
      <c r="BO2309" s="41"/>
      <c r="BP2309" s="41"/>
      <c r="BQ2309" s="41"/>
      <c r="BR2309" s="41"/>
      <c r="BS2309" s="41"/>
      <c r="BT2309" s="41"/>
      <c r="BU2309" s="41"/>
      <c r="BV2309" s="41"/>
      <c r="BW2309" s="41"/>
      <c r="BX2309" s="41"/>
      <c r="BY2309" s="41"/>
      <c r="BZ2309" s="41"/>
      <c r="CA2309" s="41"/>
      <c r="CB2309" s="41"/>
      <c r="CC2309" s="41"/>
      <c r="CD2309" s="41"/>
      <c r="CE2309" s="41"/>
      <c r="CF2309" s="41"/>
      <c r="CG2309" s="41"/>
      <c r="CH2309" s="41"/>
      <c r="CI2309" s="41"/>
      <c r="CJ2309" s="41"/>
      <c r="CK2309" s="41"/>
      <c r="CL2309" s="41"/>
      <c r="CM2309" s="41"/>
      <c r="CN2309" s="41"/>
      <c r="CO2309" s="41"/>
      <c r="CP2309" s="41"/>
      <c r="CQ2309" s="41"/>
      <c r="CR2309" s="41"/>
      <c r="CS2309" s="41"/>
      <c r="CT2309" s="41"/>
      <c r="CU2309" s="41"/>
      <c r="CV2309" s="41"/>
      <c r="CW2309" s="41"/>
      <c r="CX2309" s="41"/>
      <c r="CY2309" s="41"/>
      <c r="CZ2309" s="41"/>
      <c r="DA2309" s="41"/>
      <c r="DB2309" s="41"/>
      <c r="DC2309" s="41"/>
      <c r="DD2309" s="41"/>
      <c r="DE2309" s="41"/>
      <c r="DF2309" s="41"/>
      <c r="DG2309" s="41"/>
      <c r="DH2309" s="41"/>
      <c r="DI2309" s="41"/>
      <c r="DJ2309" s="41"/>
      <c r="DK2309" s="41"/>
      <c r="DL2309" s="41"/>
      <c r="DM2309" s="41"/>
      <c r="DN2309" s="41"/>
      <c r="DO2309" s="41"/>
      <c r="DP2309" s="41"/>
      <c r="DQ2309" s="41"/>
      <c r="DR2309" s="41"/>
      <c r="DS2309" s="41"/>
      <c r="DT2309" s="41"/>
      <c r="DU2309" s="41"/>
      <c r="DV2309" s="41"/>
      <c r="DW2309" s="41"/>
      <c r="DX2309" s="41"/>
      <c r="DY2309" s="41"/>
      <c r="DZ2309" s="41"/>
      <c r="EA2309" s="41"/>
      <c r="EB2309" s="41"/>
      <c r="EC2309" s="41"/>
      <c r="ED2309" s="41"/>
      <c r="EE2309" s="41"/>
      <c r="EF2309" s="41"/>
      <c r="EG2309" s="41"/>
      <c r="EH2309" s="41"/>
      <c r="EI2309" s="41"/>
      <c r="EJ2309" s="41"/>
      <c r="EK2309" s="41"/>
      <c r="EL2309" s="41"/>
      <c r="EM2309" s="41"/>
      <c r="EN2309" s="41"/>
      <c r="EO2309" s="41"/>
      <c r="EP2309" s="41"/>
      <c r="EQ2309" s="41"/>
      <c r="ER2309" s="41"/>
      <c r="ES2309" s="41"/>
      <c r="ET2309" s="41"/>
      <c r="EU2309" s="41"/>
      <c r="EV2309" s="41"/>
      <c r="EW2309" s="41"/>
      <c r="EX2309" s="41"/>
      <c r="EY2309" s="41"/>
      <c r="EZ2309" s="41"/>
      <c r="FA2309" s="41"/>
      <c r="FB2309" s="41"/>
      <c r="FC2309" s="41"/>
      <c r="FD2309" s="41"/>
      <c r="FE2309" s="41"/>
    </row>
    <row r="2310" spans="1:161" ht="63" x14ac:dyDescent="0.25">
      <c r="A2310" s="249"/>
      <c r="B2310" s="249"/>
      <c r="C2310" s="242"/>
      <c r="D2310" s="227"/>
      <c r="E2310" s="227"/>
      <c r="F2310" s="229"/>
      <c r="G2310" s="168" t="s">
        <v>78</v>
      </c>
      <c r="H2310" s="95" t="s">
        <v>168</v>
      </c>
      <c r="I2310" s="1">
        <f>D2308*K2310</f>
        <v>10743.6</v>
      </c>
      <c r="J2310" s="1">
        <f>I2310/D2308</f>
        <v>28</v>
      </c>
      <c r="K2310" s="1">
        <f>19+9</f>
        <v>28</v>
      </c>
      <c r="L2310" s="41"/>
      <c r="M2310" s="41"/>
      <c r="N2310" s="41"/>
      <c r="O2310" s="41"/>
      <c r="P2310" s="41"/>
      <c r="Q2310" s="41"/>
      <c r="R2310" s="41"/>
      <c r="S2310" s="41"/>
      <c r="T2310" s="41"/>
      <c r="U2310" s="41"/>
      <c r="V2310" s="41"/>
      <c r="W2310" s="41"/>
      <c r="X2310" s="41"/>
      <c r="Y2310" s="41"/>
      <c r="Z2310" s="41"/>
      <c r="AA2310" s="41"/>
      <c r="AB2310" s="41"/>
      <c r="AC2310" s="41"/>
      <c r="AD2310" s="41"/>
      <c r="AE2310" s="41"/>
      <c r="AF2310" s="41"/>
      <c r="AG2310" s="41"/>
      <c r="AH2310" s="41"/>
      <c r="AI2310" s="41"/>
      <c r="AJ2310" s="41"/>
      <c r="AK2310" s="41"/>
      <c r="AL2310" s="41"/>
      <c r="AM2310" s="41"/>
      <c r="AN2310" s="41"/>
      <c r="AO2310" s="41"/>
      <c r="AP2310" s="41"/>
      <c r="AQ2310" s="41"/>
      <c r="AR2310" s="41"/>
      <c r="AS2310" s="41"/>
      <c r="AT2310" s="41"/>
      <c r="AU2310" s="41"/>
      <c r="AV2310" s="41"/>
      <c r="AW2310" s="41"/>
      <c r="AX2310" s="41"/>
      <c r="AY2310" s="41"/>
      <c r="AZ2310" s="41"/>
      <c r="BA2310" s="41"/>
      <c r="BB2310" s="41"/>
      <c r="BC2310" s="41"/>
      <c r="BD2310" s="41"/>
      <c r="BE2310" s="41"/>
      <c r="BF2310" s="41"/>
      <c r="BG2310" s="41"/>
      <c r="BH2310" s="41"/>
      <c r="BI2310" s="41"/>
      <c r="BJ2310" s="41"/>
      <c r="BK2310" s="41"/>
      <c r="BL2310" s="41"/>
      <c r="BM2310" s="41"/>
      <c r="BN2310" s="41"/>
      <c r="BO2310" s="41"/>
      <c r="BP2310" s="41"/>
      <c r="BQ2310" s="41"/>
      <c r="BR2310" s="41"/>
      <c r="BS2310" s="41"/>
      <c r="BT2310" s="41"/>
      <c r="BU2310" s="41"/>
      <c r="BV2310" s="41"/>
      <c r="BW2310" s="41"/>
      <c r="BX2310" s="41"/>
      <c r="BY2310" s="41"/>
      <c r="BZ2310" s="41"/>
      <c r="CA2310" s="41"/>
      <c r="CB2310" s="41"/>
      <c r="CC2310" s="41"/>
      <c r="CD2310" s="41"/>
      <c r="CE2310" s="41"/>
      <c r="CF2310" s="41"/>
      <c r="CG2310" s="41"/>
      <c r="CH2310" s="41"/>
      <c r="CI2310" s="41"/>
      <c r="CJ2310" s="41"/>
      <c r="CK2310" s="41"/>
      <c r="CL2310" s="41"/>
      <c r="CM2310" s="41"/>
      <c r="CN2310" s="41"/>
      <c r="CO2310" s="41"/>
      <c r="CP2310" s="41"/>
      <c r="CQ2310" s="41"/>
      <c r="CR2310" s="41"/>
      <c r="CS2310" s="41"/>
      <c r="CT2310" s="41"/>
      <c r="CU2310" s="41"/>
      <c r="CV2310" s="41"/>
      <c r="CW2310" s="41"/>
      <c r="CX2310" s="41"/>
      <c r="CY2310" s="41"/>
      <c r="CZ2310" s="41"/>
      <c r="DA2310" s="41"/>
      <c r="DB2310" s="41"/>
      <c r="DC2310" s="41"/>
      <c r="DD2310" s="41"/>
      <c r="DE2310" s="41"/>
      <c r="DF2310" s="41"/>
      <c r="DG2310" s="41"/>
      <c r="DH2310" s="41"/>
      <c r="DI2310" s="41"/>
      <c r="DJ2310" s="41"/>
      <c r="DK2310" s="41"/>
      <c r="DL2310" s="41"/>
      <c r="DM2310" s="41"/>
      <c r="DN2310" s="41"/>
      <c r="DO2310" s="41"/>
      <c r="DP2310" s="41"/>
      <c r="DQ2310" s="41"/>
      <c r="DR2310" s="41"/>
      <c r="DS2310" s="41"/>
      <c r="DT2310" s="41"/>
      <c r="DU2310" s="41"/>
      <c r="DV2310" s="41"/>
      <c r="DW2310" s="41"/>
      <c r="DX2310" s="41"/>
      <c r="DY2310" s="41"/>
      <c r="DZ2310" s="41"/>
      <c r="EA2310" s="41"/>
      <c r="EB2310" s="41"/>
      <c r="EC2310" s="41"/>
      <c r="ED2310" s="41"/>
      <c r="EE2310" s="41"/>
      <c r="EF2310" s="41"/>
      <c r="EG2310" s="41"/>
      <c r="EH2310" s="41"/>
      <c r="EI2310" s="41"/>
      <c r="EJ2310" s="41"/>
      <c r="EK2310" s="41"/>
      <c r="EL2310" s="41"/>
      <c r="EM2310" s="41"/>
      <c r="EN2310" s="41"/>
      <c r="EO2310" s="41"/>
      <c r="EP2310" s="41"/>
      <c r="EQ2310" s="41"/>
      <c r="ER2310" s="41"/>
      <c r="ES2310" s="41"/>
      <c r="ET2310" s="41"/>
      <c r="EU2310" s="41"/>
      <c r="EV2310" s="41"/>
      <c r="EW2310" s="41"/>
      <c r="EX2310" s="41"/>
      <c r="EY2310" s="41"/>
      <c r="EZ2310" s="41"/>
      <c r="FA2310" s="41"/>
      <c r="FB2310" s="41"/>
      <c r="FC2310" s="41"/>
      <c r="FD2310" s="41"/>
      <c r="FE2310" s="41"/>
    </row>
    <row r="2311" spans="1:161" x14ac:dyDescent="0.25">
      <c r="A2311" s="235">
        <f>A2308+1</f>
        <v>21</v>
      </c>
      <c r="B2311" s="235">
        <v>7061</v>
      </c>
      <c r="C2311" s="241" t="s">
        <v>327</v>
      </c>
      <c r="D2311" s="224">
        <v>390</v>
      </c>
      <c r="E2311" s="224" t="s">
        <v>167</v>
      </c>
      <c r="F2311" s="228">
        <v>2</v>
      </c>
      <c r="G2311" s="110"/>
      <c r="H2311" s="57" t="s">
        <v>66</v>
      </c>
      <c r="I2311" s="50">
        <f>SUM(I2312:I2312)</f>
        <v>53430</v>
      </c>
      <c r="J2311" s="50">
        <f>SUM(J2312:J2312)</f>
        <v>137</v>
      </c>
      <c r="K2311" s="50">
        <f>SUM(K2312:K2312)</f>
        <v>137</v>
      </c>
      <c r="L2311" s="41"/>
      <c r="M2311" s="41"/>
      <c r="N2311" s="41"/>
      <c r="O2311" s="41"/>
      <c r="P2311" s="41"/>
      <c r="Q2311" s="41"/>
      <c r="R2311" s="41"/>
      <c r="S2311" s="41"/>
      <c r="T2311" s="41"/>
      <c r="U2311" s="41"/>
      <c r="V2311" s="41"/>
      <c r="W2311" s="41"/>
      <c r="X2311" s="41"/>
      <c r="Y2311" s="41"/>
      <c r="Z2311" s="41"/>
      <c r="AA2311" s="41"/>
      <c r="AB2311" s="41"/>
      <c r="AC2311" s="41"/>
      <c r="AD2311" s="41"/>
      <c r="AE2311" s="41"/>
      <c r="AF2311" s="41"/>
      <c r="AG2311" s="41"/>
      <c r="AH2311" s="41"/>
      <c r="AI2311" s="41"/>
      <c r="AJ2311" s="41"/>
      <c r="AK2311" s="41"/>
      <c r="AL2311" s="41"/>
      <c r="AM2311" s="41"/>
      <c r="AN2311" s="41"/>
      <c r="AO2311" s="41"/>
      <c r="AP2311" s="41"/>
      <c r="AQ2311" s="41"/>
      <c r="AR2311" s="41"/>
      <c r="AS2311" s="41"/>
      <c r="AT2311" s="41"/>
      <c r="AU2311" s="41"/>
      <c r="AV2311" s="41"/>
      <c r="AW2311" s="41"/>
      <c r="AX2311" s="41"/>
      <c r="AY2311" s="41"/>
      <c r="AZ2311" s="41"/>
      <c r="BA2311" s="41"/>
      <c r="BB2311" s="41"/>
      <c r="BC2311" s="41"/>
      <c r="BD2311" s="41"/>
      <c r="BE2311" s="41"/>
      <c r="BF2311" s="41"/>
      <c r="BG2311" s="41"/>
      <c r="BH2311" s="41"/>
      <c r="BI2311" s="41"/>
      <c r="BJ2311" s="41"/>
      <c r="BK2311" s="41"/>
      <c r="BL2311" s="41"/>
      <c r="BM2311" s="41"/>
      <c r="BN2311" s="41"/>
      <c r="BO2311" s="41"/>
      <c r="BP2311" s="41"/>
      <c r="BQ2311" s="41"/>
      <c r="BR2311" s="41"/>
      <c r="BS2311" s="41"/>
      <c r="BT2311" s="41"/>
      <c r="BU2311" s="41"/>
      <c r="BV2311" s="41"/>
      <c r="BW2311" s="41"/>
      <c r="BX2311" s="41"/>
      <c r="BY2311" s="41"/>
      <c r="BZ2311" s="41"/>
      <c r="CA2311" s="41"/>
      <c r="CB2311" s="41"/>
      <c r="CC2311" s="41"/>
      <c r="CD2311" s="41"/>
      <c r="CE2311" s="41"/>
      <c r="CF2311" s="41"/>
      <c r="CG2311" s="41"/>
      <c r="CH2311" s="41"/>
      <c r="CI2311" s="41"/>
      <c r="CJ2311" s="41"/>
      <c r="CK2311" s="41"/>
      <c r="CL2311" s="41"/>
      <c r="CM2311" s="41"/>
      <c r="CN2311" s="41"/>
      <c r="CO2311" s="41"/>
      <c r="CP2311" s="41"/>
      <c r="CQ2311" s="41"/>
      <c r="CR2311" s="41"/>
      <c r="CS2311" s="41"/>
      <c r="CT2311" s="41"/>
      <c r="CU2311" s="41"/>
      <c r="CV2311" s="41"/>
      <c r="CW2311" s="41"/>
      <c r="CX2311" s="41"/>
      <c r="CY2311" s="41"/>
      <c r="CZ2311" s="41"/>
      <c r="DA2311" s="41"/>
      <c r="DB2311" s="41"/>
      <c r="DC2311" s="41"/>
      <c r="DD2311" s="41"/>
      <c r="DE2311" s="41"/>
      <c r="DF2311" s="41"/>
      <c r="DG2311" s="41"/>
      <c r="DH2311" s="41"/>
      <c r="DI2311" s="41"/>
      <c r="DJ2311" s="41"/>
      <c r="DK2311" s="41"/>
      <c r="DL2311" s="41"/>
      <c r="DM2311" s="41"/>
      <c r="DN2311" s="41"/>
      <c r="DO2311" s="41"/>
      <c r="DP2311" s="41"/>
      <c r="DQ2311" s="41"/>
      <c r="DR2311" s="41"/>
      <c r="DS2311" s="41"/>
      <c r="DT2311" s="41"/>
      <c r="DU2311" s="41"/>
      <c r="DV2311" s="41"/>
      <c r="DW2311" s="41"/>
      <c r="DX2311" s="41"/>
      <c r="DY2311" s="41"/>
      <c r="DZ2311" s="41"/>
      <c r="EA2311" s="41"/>
      <c r="EB2311" s="41"/>
      <c r="EC2311" s="41"/>
      <c r="ED2311" s="41"/>
      <c r="EE2311" s="41"/>
      <c r="EF2311" s="41"/>
      <c r="EG2311" s="41"/>
      <c r="EH2311" s="41"/>
      <c r="EI2311" s="41"/>
      <c r="EJ2311" s="41"/>
      <c r="EK2311" s="41"/>
      <c r="EL2311" s="41"/>
      <c r="EM2311" s="41"/>
      <c r="EN2311" s="41"/>
      <c r="EO2311" s="41"/>
      <c r="EP2311" s="41"/>
      <c r="EQ2311" s="41"/>
      <c r="ER2311" s="41"/>
      <c r="ES2311" s="41"/>
      <c r="ET2311" s="41"/>
      <c r="EU2311" s="41"/>
      <c r="EV2311" s="41"/>
      <c r="EW2311" s="41"/>
      <c r="EX2311" s="41"/>
      <c r="EY2311" s="41"/>
      <c r="EZ2311" s="41"/>
      <c r="FA2311" s="41"/>
      <c r="FB2311" s="41"/>
      <c r="FC2311" s="41"/>
      <c r="FD2311" s="41"/>
      <c r="FE2311" s="41"/>
    </row>
    <row r="2312" spans="1:161" ht="63" x14ac:dyDescent="0.25">
      <c r="A2312" s="249"/>
      <c r="B2312" s="249"/>
      <c r="C2312" s="242"/>
      <c r="D2312" s="227"/>
      <c r="E2312" s="227"/>
      <c r="F2312" s="229"/>
      <c r="G2312" s="102" t="s">
        <v>70</v>
      </c>
      <c r="H2312" s="57" t="s">
        <v>168</v>
      </c>
      <c r="I2312" s="50">
        <f>D2311*K2312</f>
        <v>53430</v>
      </c>
      <c r="J2312" s="50">
        <f>I2312/D2311</f>
        <v>137</v>
      </c>
      <c r="K2312" s="50">
        <f>116+21</f>
        <v>137</v>
      </c>
      <c r="L2312" s="41"/>
      <c r="M2312" s="41"/>
      <c r="N2312" s="41"/>
      <c r="O2312" s="41"/>
      <c r="P2312" s="41"/>
      <c r="Q2312" s="41"/>
      <c r="R2312" s="41"/>
      <c r="S2312" s="41"/>
      <c r="T2312" s="41"/>
      <c r="U2312" s="41"/>
      <c r="V2312" s="41"/>
      <c r="W2312" s="41"/>
      <c r="X2312" s="41"/>
      <c r="Y2312" s="41"/>
      <c r="Z2312" s="41"/>
      <c r="AA2312" s="41"/>
      <c r="AB2312" s="41"/>
      <c r="AC2312" s="41"/>
      <c r="AD2312" s="41"/>
      <c r="AE2312" s="41"/>
      <c r="AF2312" s="41"/>
      <c r="AG2312" s="41"/>
      <c r="AH2312" s="41"/>
      <c r="AI2312" s="41"/>
      <c r="AJ2312" s="41"/>
      <c r="AK2312" s="41"/>
      <c r="AL2312" s="41"/>
      <c r="AM2312" s="41"/>
      <c r="AN2312" s="41"/>
      <c r="AO2312" s="41"/>
      <c r="AP2312" s="41"/>
      <c r="AQ2312" s="41"/>
      <c r="AR2312" s="41"/>
      <c r="AS2312" s="41"/>
      <c r="AT2312" s="41"/>
      <c r="AU2312" s="41"/>
      <c r="AV2312" s="41"/>
      <c r="AW2312" s="41"/>
      <c r="AX2312" s="41"/>
      <c r="AY2312" s="41"/>
      <c r="AZ2312" s="41"/>
      <c r="BA2312" s="41"/>
      <c r="BB2312" s="41"/>
      <c r="BC2312" s="41"/>
      <c r="BD2312" s="41"/>
      <c r="BE2312" s="41"/>
      <c r="BF2312" s="41"/>
      <c r="BG2312" s="41"/>
      <c r="BH2312" s="41"/>
      <c r="BI2312" s="41"/>
      <c r="BJ2312" s="41"/>
      <c r="BK2312" s="41"/>
      <c r="BL2312" s="41"/>
      <c r="BM2312" s="41"/>
      <c r="BN2312" s="41"/>
      <c r="BO2312" s="41"/>
      <c r="BP2312" s="41"/>
      <c r="BQ2312" s="41"/>
      <c r="BR2312" s="41"/>
      <c r="BS2312" s="41"/>
      <c r="BT2312" s="41"/>
      <c r="BU2312" s="41"/>
      <c r="BV2312" s="41"/>
      <c r="BW2312" s="41"/>
      <c r="BX2312" s="41"/>
      <c r="BY2312" s="41"/>
      <c r="BZ2312" s="41"/>
      <c r="CA2312" s="41"/>
      <c r="CB2312" s="41"/>
      <c r="CC2312" s="41"/>
      <c r="CD2312" s="41"/>
      <c r="CE2312" s="41"/>
      <c r="CF2312" s="41"/>
      <c r="CG2312" s="41"/>
      <c r="CH2312" s="41"/>
      <c r="CI2312" s="41"/>
      <c r="CJ2312" s="41"/>
      <c r="CK2312" s="41"/>
      <c r="CL2312" s="41"/>
      <c r="CM2312" s="41"/>
      <c r="CN2312" s="41"/>
      <c r="CO2312" s="41"/>
      <c r="CP2312" s="41"/>
      <c r="CQ2312" s="41"/>
      <c r="CR2312" s="41"/>
      <c r="CS2312" s="41"/>
      <c r="CT2312" s="41"/>
      <c r="CU2312" s="41"/>
      <c r="CV2312" s="41"/>
      <c r="CW2312" s="41"/>
      <c r="CX2312" s="41"/>
      <c r="CY2312" s="41"/>
      <c r="CZ2312" s="41"/>
      <c r="DA2312" s="41"/>
      <c r="DB2312" s="41"/>
      <c r="DC2312" s="41"/>
      <c r="DD2312" s="41"/>
      <c r="DE2312" s="41"/>
      <c r="DF2312" s="41"/>
      <c r="DG2312" s="41"/>
      <c r="DH2312" s="41"/>
      <c r="DI2312" s="41"/>
      <c r="DJ2312" s="41"/>
      <c r="DK2312" s="41"/>
      <c r="DL2312" s="41"/>
      <c r="DM2312" s="41"/>
      <c r="DN2312" s="41"/>
      <c r="DO2312" s="41"/>
      <c r="DP2312" s="41"/>
      <c r="DQ2312" s="41"/>
      <c r="DR2312" s="41"/>
      <c r="DS2312" s="41"/>
      <c r="DT2312" s="41"/>
      <c r="DU2312" s="41"/>
      <c r="DV2312" s="41"/>
      <c r="DW2312" s="41"/>
      <c r="DX2312" s="41"/>
      <c r="DY2312" s="41"/>
      <c r="DZ2312" s="41"/>
      <c r="EA2312" s="41"/>
      <c r="EB2312" s="41"/>
      <c r="EC2312" s="41"/>
      <c r="ED2312" s="41"/>
      <c r="EE2312" s="41"/>
      <c r="EF2312" s="41"/>
      <c r="EG2312" s="41"/>
      <c r="EH2312" s="41"/>
      <c r="EI2312" s="41"/>
      <c r="EJ2312" s="41"/>
      <c r="EK2312" s="41"/>
      <c r="EL2312" s="41"/>
      <c r="EM2312" s="41"/>
      <c r="EN2312" s="41"/>
      <c r="EO2312" s="41"/>
      <c r="EP2312" s="41"/>
      <c r="EQ2312" s="41"/>
      <c r="ER2312" s="41"/>
      <c r="ES2312" s="41"/>
      <c r="ET2312" s="41"/>
      <c r="EU2312" s="41"/>
      <c r="EV2312" s="41"/>
      <c r="EW2312" s="41"/>
      <c r="EX2312" s="41"/>
      <c r="EY2312" s="41"/>
      <c r="EZ2312" s="41"/>
      <c r="FA2312" s="41"/>
      <c r="FB2312" s="41"/>
      <c r="FC2312" s="41"/>
      <c r="FD2312" s="41"/>
      <c r="FE2312" s="41"/>
    </row>
    <row r="2313" spans="1:161" x14ac:dyDescent="0.25">
      <c r="A2313" s="235">
        <f>A2311+1</f>
        <v>22</v>
      </c>
      <c r="B2313" s="235">
        <v>7080</v>
      </c>
      <c r="C2313" s="241" t="s">
        <v>328</v>
      </c>
      <c r="D2313" s="224">
        <v>507.5</v>
      </c>
      <c r="E2313" s="224" t="s">
        <v>167</v>
      </c>
      <c r="F2313" s="228">
        <v>2</v>
      </c>
      <c r="G2313" s="110"/>
      <c r="H2313" s="57" t="s">
        <v>66</v>
      </c>
      <c r="I2313" s="50">
        <f>SUM(I2314:I2315)</f>
        <v>90842.5</v>
      </c>
      <c r="J2313" s="50">
        <f>SUM(J2314:J2315)</f>
        <v>179</v>
      </c>
      <c r="K2313" s="50">
        <f>SUM(K2314:K2315)</f>
        <v>179</v>
      </c>
      <c r="L2313" s="41"/>
      <c r="M2313" s="41"/>
      <c r="N2313" s="41"/>
      <c r="O2313" s="41"/>
      <c r="P2313" s="41"/>
      <c r="Q2313" s="41"/>
      <c r="R2313" s="41"/>
      <c r="S2313" s="41"/>
      <c r="T2313" s="41"/>
      <c r="U2313" s="41"/>
      <c r="V2313" s="41"/>
      <c r="W2313" s="41"/>
      <c r="X2313" s="41"/>
      <c r="Y2313" s="41"/>
      <c r="Z2313" s="41"/>
      <c r="AA2313" s="41"/>
      <c r="AB2313" s="41"/>
      <c r="AC2313" s="41"/>
      <c r="AD2313" s="41"/>
      <c r="AE2313" s="41"/>
      <c r="AF2313" s="41"/>
      <c r="AG2313" s="41"/>
      <c r="AH2313" s="41"/>
      <c r="AI2313" s="41"/>
      <c r="AJ2313" s="41"/>
      <c r="AK2313" s="41"/>
      <c r="AL2313" s="41"/>
      <c r="AM2313" s="41"/>
      <c r="AN2313" s="41"/>
      <c r="AO2313" s="41"/>
      <c r="AP2313" s="41"/>
      <c r="AQ2313" s="41"/>
      <c r="AR2313" s="41"/>
      <c r="AS2313" s="41"/>
      <c r="AT2313" s="41"/>
      <c r="AU2313" s="41"/>
      <c r="AV2313" s="41"/>
      <c r="AW2313" s="41"/>
      <c r="AX2313" s="41"/>
      <c r="AY2313" s="41"/>
      <c r="AZ2313" s="41"/>
      <c r="BA2313" s="41"/>
      <c r="BB2313" s="41"/>
      <c r="BC2313" s="41"/>
      <c r="BD2313" s="41"/>
      <c r="BE2313" s="41"/>
      <c r="BF2313" s="41"/>
      <c r="BG2313" s="41"/>
      <c r="BH2313" s="41"/>
      <c r="BI2313" s="41"/>
      <c r="BJ2313" s="41"/>
      <c r="BK2313" s="41"/>
      <c r="BL2313" s="41"/>
      <c r="BM2313" s="41"/>
      <c r="BN2313" s="41"/>
      <c r="BO2313" s="41"/>
      <c r="BP2313" s="41"/>
      <c r="BQ2313" s="41"/>
      <c r="BR2313" s="41"/>
      <c r="BS2313" s="41"/>
      <c r="BT2313" s="41"/>
      <c r="BU2313" s="41"/>
      <c r="BV2313" s="41"/>
      <c r="BW2313" s="41"/>
      <c r="BX2313" s="41"/>
      <c r="BY2313" s="41"/>
      <c r="BZ2313" s="41"/>
      <c r="CA2313" s="41"/>
      <c r="CB2313" s="41"/>
      <c r="CC2313" s="41"/>
      <c r="CD2313" s="41"/>
      <c r="CE2313" s="41"/>
      <c r="CF2313" s="41"/>
      <c r="CG2313" s="41"/>
      <c r="CH2313" s="41"/>
      <c r="CI2313" s="41"/>
      <c r="CJ2313" s="41"/>
      <c r="CK2313" s="41"/>
      <c r="CL2313" s="41"/>
      <c r="CM2313" s="41"/>
      <c r="CN2313" s="41"/>
      <c r="CO2313" s="41"/>
      <c r="CP2313" s="41"/>
      <c r="CQ2313" s="41"/>
      <c r="CR2313" s="41"/>
      <c r="CS2313" s="41"/>
      <c r="CT2313" s="41"/>
      <c r="CU2313" s="41"/>
      <c r="CV2313" s="41"/>
      <c r="CW2313" s="41"/>
      <c r="CX2313" s="41"/>
      <c r="CY2313" s="41"/>
      <c r="CZ2313" s="41"/>
      <c r="DA2313" s="41"/>
      <c r="DB2313" s="41"/>
      <c r="DC2313" s="41"/>
      <c r="DD2313" s="41"/>
      <c r="DE2313" s="41"/>
      <c r="DF2313" s="41"/>
      <c r="DG2313" s="41"/>
      <c r="DH2313" s="41"/>
      <c r="DI2313" s="41"/>
      <c r="DJ2313" s="41"/>
      <c r="DK2313" s="41"/>
      <c r="DL2313" s="41"/>
      <c r="DM2313" s="41"/>
      <c r="DN2313" s="41"/>
      <c r="DO2313" s="41"/>
      <c r="DP2313" s="41"/>
      <c r="DQ2313" s="41"/>
      <c r="DR2313" s="41"/>
      <c r="DS2313" s="41"/>
      <c r="DT2313" s="41"/>
      <c r="DU2313" s="41"/>
      <c r="DV2313" s="41"/>
      <c r="DW2313" s="41"/>
      <c r="DX2313" s="41"/>
      <c r="DY2313" s="41"/>
      <c r="DZ2313" s="41"/>
      <c r="EA2313" s="41"/>
      <c r="EB2313" s="41"/>
      <c r="EC2313" s="41"/>
      <c r="ED2313" s="41"/>
      <c r="EE2313" s="41"/>
      <c r="EF2313" s="41"/>
      <c r="EG2313" s="41"/>
      <c r="EH2313" s="41"/>
      <c r="EI2313" s="41"/>
      <c r="EJ2313" s="41"/>
      <c r="EK2313" s="41"/>
      <c r="EL2313" s="41"/>
      <c r="EM2313" s="41"/>
      <c r="EN2313" s="41"/>
      <c r="EO2313" s="41"/>
      <c r="EP2313" s="41"/>
      <c r="EQ2313" s="41"/>
      <c r="ER2313" s="41"/>
      <c r="ES2313" s="41"/>
      <c r="ET2313" s="41"/>
      <c r="EU2313" s="41"/>
      <c r="EV2313" s="41"/>
      <c r="EW2313" s="41"/>
      <c r="EX2313" s="41"/>
      <c r="EY2313" s="41"/>
      <c r="EZ2313" s="41"/>
      <c r="FA2313" s="41"/>
      <c r="FB2313" s="41"/>
      <c r="FC2313" s="41"/>
      <c r="FD2313" s="41"/>
      <c r="FE2313" s="41"/>
    </row>
    <row r="2314" spans="1:161" ht="63" x14ac:dyDescent="0.25">
      <c r="A2314" s="249"/>
      <c r="B2314" s="249"/>
      <c r="C2314" s="242"/>
      <c r="D2314" s="227"/>
      <c r="E2314" s="227"/>
      <c r="F2314" s="229"/>
      <c r="G2314" s="102" t="s">
        <v>70</v>
      </c>
      <c r="H2314" s="57" t="s">
        <v>168</v>
      </c>
      <c r="I2314" s="50">
        <f>D2313*K2314</f>
        <v>69527.5</v>
      </c>
      <c r="J2314" s="50">
        <f>I2314/D2313</f>
        <v>137</v>
      </c>
      <c r="K2314" s="50">
        <f>116+21</f>
        <v>137</v>
      </c>
      <c r="L2314" s="41"/>
      <c r="M2314" s="41"/>
      <c r="N2314" s="41"/>
      <c r="O2314" s="41"/>
      <c r="P2314" s="41"/>
      <c r="Q2314" s="41"/>
      <c r="R2314" s="41"/>
      <c r="S2314" s="41"/>
      <c r="T2314" s="41"/>
      <c r="U2314" s="41"/>
      <c r="V2314" s="41"/>
      <c r="W2314" s="41"/>
      <c r="X2314" s="41"/>
      <c r="Y2314" s="41"/>
      <c r="Z2314" s="41"/>
      <c r="AA2314" s="41"/>
      <c r="AB2314" s="41"/>
      <c r="AC2314" s="41"/>
      <c r="AD2314" s="41"/>
      <c r="AE2314" s="41"/>
      <c r="AF2314" s="41"/>
      <c r="AG2314" s="41"/>
      <c r="AH2314" s="41"/>
      <c r="AI2314" s="41"/>
      <c r="AJ2314" s="41"/>
      <c r="AK2314" s="41"/>
      <c r="AL2314" s="41"/>
      <c r="AM2314" s="41"/>
      <c r="AN2314" s="41"/>
      <c r="AO2314" s="41"/>
      <c r="AP2314" s="41"/>
      <c r="AQ2314" s="41"/>
      <c r="AR2314" s="41"/>
      <c r="AS2314" s="41"/>
      <c r="AT2314" s="41"/>
      <c r="AU2314" s="41"/>
      <c r="AV2314" s="41"/>
      <c r="AW2314" s="41"/>
      <c r="AX2314" s="41"/>
      <c r="AY2314" s="41"/>
      <c r="AZ2314" s="41"/>
      <c r="BA2314" s="41"/>
      <c r="BB2314" s="41"/>
      <c r="BC2314" s="41"/>
      <c r="BD2314" s="41"/>
      <c r="BE2314" s="41"/>
      <c r="BF2314" s="41"/>
      <c r="BG2314" s="41"/>
      <c r="BH2314" s="41"/>
      <c r="BI2314" s="41"/>
      <c r="BJ2314" s="41"/>
      <c r="BK2314" s="41"/>
      <c r="BL2314" s="41"/>
      <c r="BM2314" s="41"/>
      <c r="BN2314" s="41"/>
      <c r="BO2314" s="41"/>
      <c r="BP2314" s="41"/>
      <c r="BQ2314" s="41"/>
      <c r="BR2314" s="41"/>
      <c r="BS2314" s="41"/>
      <c r="BT2314" s="41"/>
      <c r="BU2314" s="41"/>
      <c r="BV2314" s="41"/>
      <c r="BW2314" s="41"/>
      <c r="BX2314" s="41"/>
      <c r="BY2314" s="41"/>
      <c r="BZ2314" s="41"/>
      <c r="CA2314" s="41"/>
      <c r="CB2314" s="41"/>
      <c r="CC2314" s="41"/>
      <c r="CD2314" s="41"/>
      <c r="CE2314" s="41"/>
      <c r="CF2314" s="41"/>
      <c r="CG2314" s="41"/>
      <c r="CH2314" s="41"/>
      <c r="CI2314" s="41"/>
      <c r="CJ2314" s="41"/>
      <c r="CK2314" s="41"/>
      <c r="CL2314" s="41"/>
      <c r="CM2314" s="41"/>
      <c r="CN2314" s="41"/>
      <c r="CO2314" s="41"/>
      <c r="CP2314" s="41"/>
      <c r="CQ2314" s="41"/>
      <c r="CR2314" s="41"/>
      <c r="CS2314" s="41"/>
      <c r="CT2314" s="41"/>
      <c r="CU2314" s="41"/>
      <c r="CV2314" s="41"/>
      <c r="CW2314" s="41"/>
      <c r="CX2314" s="41"/>
      <c r="CY2314" s="41"/>
      <c r="CZ2314" s="41"/>
      <c r="DA2314" s="41"/>
      <c r="DB2314" s="41"/>
      <c r="DC2314" s="41"/>
      <c r="DD2314" s="41"/>
      <c r="DE2314" s="41"/>
      <c r="DF2314" s="41"/>
      <c r="DG2314" s="41"/>
      <c r="DH2314" s="41"/>
      <c r="DI2314" s="41"/>
      <c r="DJ2314" s="41"/>
      <c r="DK2314" s="41"/>
      <c r="DL2314" s="41"/>
      <c r="DM2314" s="41"/>
      <c r="DN2314" s="41"/>
      <c r="DO2314" s="41"/>
      <c r="DP2314" s="41"/>
      <c r="DQ2314" s="41"/>
      <c r="DR2314" s="41"/>
      <c r="DS2314" s="41"/>
      <c r="DT2314" s="41"/>
      <c r="DU2314" s="41"/>
      <c r="DV2314" s="41"/>
      <c r="DW2314" s="41"/>
      <c r="DX2314" s="41"/>
      <c r="DY2314" s="41"/>
      <c r="DZ2314" s="41"/>
      <c r="EA2314" s="41"/>
      <c r="EB2314" s="41"/>
      <c r="EC2314" s="41"/>
      <c r="ED2314" s="41"/>
      <c r="EE2314" s="41"/>
      <c r="EF2314" s="41"/>
      <c r="EG2314" s="41"/>
      <c r="EH2314" s="41"/>
      <c r="EI2314" s="41"/>
      <c r="EJ2314" s="41"/>
      <c r="EK2314" s="41"/>
      <c r="EL2314" s="41"/>
      <c r="EM2314" s="41"/>
      <c r="EN2314" s="41"/>
      <c r="EO2314" s="41"/>
      <c r="EP2314" s="41"/>
      <c r="EQ2314" s="41"/>
      <c r="ER2314" s="41"/>
      <c r="ES2314" s="41"/>
      <c r="ET2314" s="41"/>
      <c r="EU2314" s="41"/>
      <c r="EV2314" s="41"/>
      <c r="EW2314" s="41"/>
      <c r="EX2314" s="41"/>
      <c r="EY2314" s="41"/>
      <c r="EZ2314" s="41"/>
      <c r="FA2314" s="41"/>
      <c r="FB2314" s="41"/>
      <c r="FC2314" s="41"/>
      <c r="FD2314" s="41"/>
      <c r="FE2314" s="41"/>
    </row>
    <row r="2315" spans="1:161" ht="63" x14ac:dyDescent="0.25">
      <c r="A2315" s="249"/>
      <c r="B2315" s="249"/>
      <c r="C2315" s="242"/>
      <c r="D2315" s="227"/>
      <c r="E2315" s="227"/>
      <c r="F2315" s="229"/>
      <c r="G2315" s="102" t="s">
        <v>71</v>
      </c>
      <c r="H2315" s="57" t="s">
        <v>168</v>
      </c>
      <c r="I2315" s="50">
        <f>D2313*K2315</f>
        <v>21315</v>
      </c>
      <c r="J2315" s="50">
        <f>I2315/D2313</f>
        <v>42</v>
      </c>
      <c r="K2315" s="50">
        <f>21+21</f>
        <v>42</v>
      </c>
      <c r="L2315" s="41"/>
      <c r="M2315" s="41"/>
      <c r="N2315" s="41"/>
      <c r="O2315" s="41"/>
      <c r="P2315" s="41"/>
      <c r="Q2315" s="41"/>
      <c r="R2315" s="41"/>
      <c r="S2315" s="41"/>
      <c r="T2315" s="41"/>
      <c r="U2315" s="41"/>
      <c r="V2315" s="41"/>
      <c r="W2315" s="41"/>
      <c r="X2315" s="41"/>
      <c r="Y2315" s="41"/>
      <c r="Z2315" s="41"/>
      <c r="AA2315" s="41"/>
      <c r="AB2315" s="41"/>
      <c r="AC2315" s="41"/>
      <c r="AD2315" s="41"/>
      <c r="AE2315" s="41"/>
      <c r="AF2315" s="41"/>
      <c r="AG2315" s="41"/>
      <c r="AH2315" s="41"/>
      <c r="AI2315" s="41"/>
      <c r="AJ2315" s="41"/>
      <c r="AK2315" s="41"/>
      <c r="AL2315" s="41"/>
      <c r="AM2315" s="41"/>
      <c r="AN2315" s="41"/>
      <c r="AO2315" s="41"/>
      <c r="AP2315" s="41"/>
      <c r="AQ2315" s="41"/>
      <c r="AR2315" s="41"/>
      <c r="AS2315" s="41"/>
      <c r="AT2315" s="41"/>
      <c r="AU2315" s="41"/>
      <c r="AV2315" s="41"/>
      <c r="AW2315" s="41"/>
      <c r="AX2315" s="41"/>
      <c r="AY2315" s="41"/>
      <c r="AZ2315" s="41"/>
      <c r="BA2315" s="41"/>
      <c r="BB2315" s="41"/>
      <c r="BC2315" s="41"/>
      <c r="BD2315" s="41"/>
      <c r="BE2315" s="41"/>
      <c r="BF2315" s="41"/>
      <c r="BG2315" s="41"/>
      <c r="BH2315" s="41"/>
      <c r="BI2315" s="41"/>
      <c r="BJ2315" s="41"/>
      <c r="BK2315" s="41"/>
      <c r="BL2315" s="41"/>
      <c r="BM2315" s="41"/>
      <c r="BN2315" s="41"/>
      <c r="BO2315" s="41"/>
      <c r="BP2315" s="41"/>
      <c r="BQ2315" s="41"/>
      <c r="BR2315" s="41"/>
      <c r="BS2315" s="41"/>
      <c r="BT2315" s="41"/>
      <c r="BU2315" s="41"/>
      <c r="BV2315" s="41"/>
      <c r="BW2315" s="41"/>
      <c r="BX2315" s="41"/>
      <c r="BY2315" s="41"/>
      <c r="BZ2315" s="41"/>
      <c r="CA2315" s="41"/>
      <c r="CB2315" s="41"/>
      <c r="CC2315" s="41"/>
      <c r="CD2315" s="41"/>
      <c r="CE2315" s="41"/>
      <c r="CF2315" s="41"/>
      <c r="CG2315" s="41"/>
      <c r="CH2315" s="41"/>
      <c r="CI2315" s="41"/>
      <c r="CJ2315" s="41"/>
      <c r="CK2315" s="41"/>
      <c r="CL2315" s="41"/>
      <c r="CM2315" s="41"/>
      <c r="CN2315" s="41"/>
      <c r="CO2315" s="41"/>
      <c r="CP2315" s="41"/>
      <c r="CQ2315" s="41"/>
      <c r="CR2315" s="41"/>
      <c r="CS2315" s="41"/>
      <c r="CT2315" s="41"/>
      <c r="CU2315" s="41"/>
      <c r="CV2315" s="41"/>
      <c r="CW2315" s="41"/>
      <c r="CX2315" s="41"/>
      <c r="CY2315" s="41"/>
      <c r="CZ2315" s="41"/>
      <c r="DA2315" s="41"/>
      <c r="DB2315" s="41"/>
      <c r="DC2315" s="41"/>
      <c r="DD2315" s="41"/>
      <c r="DE2315" s="41"/>
      <c r="DF2315" s="41"/>
      <c r="DG2315" s="41"/>
      <c r="DH2315" s="41"/>
      <c r="DI2315" s="41"/>
      <c r="DJ2315" s="41"/>
      <c r="DK2315" s="41"/>
      <c r="DL2315" s="41"/>
      <c r="DM2315" s="41"/>
      <c r="DN2315" s="41"/>
      <c r="DO2315" s="41"/>
      <c r="DP2315" s="41"/>
      <c r="DQ2315" s="41"/>
      <c r="DR2315" s="41"/>
      <c r="DS2315" s="41"/>
      <c r="DT2315" s="41"/>
      <c r="DU2315" s="41"/>
      <c r="DV2315" s="41"/>
      <c r="DW2315" s="41"/>
      <c r="DX2315" s="41"/>
      <c r="DY2315" s="41"/>
      <c r="DZ2315" s="41"/>
      <c r="EA2315" s="41"/>
      <c r="EB2315" s="41"/>
      <c r="EC2315" s="41"/>
      <c r="ED2315" s="41"/>
      <c r="EE2315" s="41"/>
      <c r="EF2315" s="41"/>
      <c r="EG2315" s="41"/>
      <c r="EH2315" s="41"/>
      <c r="EI2315" s="41"/>
      <c r="EJ2315" s="41"/>
      <c r="EK2315" s="41"/>
      <c r="EL2315" s="41"/>
      <c r="EM2315" s="41"/>
      <c r="EN2315" s="41"/>
      <c r="EO2315" s="41"/>
      <c r="EP2315" s="41"/>
      <c r="EQ2315" s="41"/>
      <c r="ER2315" s="41"/>
      <c r="ES2315" s="41"/>
      <c r="ET2315" s="41"/>
      <c r="EU2315" s="41"/>
      <c r="EV2315" s="41"/>
      <c r="EW2315" s="41"/>
      <c r="EX2315" s="41"/>
      <c r="EY2315" s="41"/>
      <c r="EZ2315" s="41"/>
      <c r="FA2315" s="41"/>
      <c r="FB2315" s="41"/>
      <c r="FC2315" s="41"/>
      <c r="FD2315" s="41"/>
      <c r="FE2315" s="41"/>
    </row>
    <row r="2316" spans="1:161" x14ac:dyDescent="0.25">
      <c r="A2316" s="235">
        <f>A2313+1</f>
        <v>23</v>
      </c>
      <c r="B2316" s="235">
        <v>7076</v>
      </c>
      <c r="C2316" s="241" t="s">
        <v>329</v>
      </c>
      <c r="D2316" s="224">
        <v>339.62</v>
      </c>
      <c r="E2316" s="224" t="s">
        <v>167</v>
      </c>
      <c r="F2316" s="228">
        <v>2</v>
      </c>
      <c r="G2316" s="110"/>
      <c r="H2316" s="57" t="s">
        <v>66</v>
      </c>
      <c r="I2316" s="50">
        <f>SUM(I2317:I2320)</f>
        <v>856491.91</v>
      </c>
      <c r="J2316" s="50">
        <f>SUM(J2317:J2320)</f>
        <v>2521.91</v>
      </c>
      <c r="K2316" s="50">
        <f>SUM(K2317:K2320)</f>
        <v>3497</v>
      </c>
      <c r="L2316" s="41"/>
      <c r="M2316" s="41"/>
      <c r="N2316" s="41"/>
      <c r="O2316" s="41"/>
      <c r="P2316" s="41"/>
      <c r="Q2316" s="41"/>
      <c r="R2316" s="41"/>
      <c r="S2316" s="41"/>
      <c r="T2316" s="41"/>
      <c r="U2316" s="41"/>
      <c r="V2316" s="41"/>
      <c r="W2316" s="41"/>
      <c r="X2316" s="41"/>
      <c r="Y2316" s="41"/>
      <c r="Z2316" s="41"/>
      <c r="AA2316" s="41"/>
      <c r="AB2316" s="41"/>
      <c r="AC2316" s="41"/>
      <c r="AD2316" s="41"/>
      <c r="AE2316" s="41"/>
      <c r="AF2316" s="41"/>
      <c r="AG2316" s="41"/>
      <c r="AH2316" s="41"/>
      <c r="AI2316" s="41"/>
      <c r="AJ2316" s="41"/>
      <c r="AK2316" s="41"/>
      <c r="AL2316" s="41"/>
      <c r="AM2316" s="41"/>
      <c r="AN2316" s="41"/>
      <c r="AO2316" s="41"/>
      <c r="AP2316" s="41"/>
      <c r="AQ2316" s="41"/>
      <c r="AR2316" s="41"/>
      <c r="AS2316" s="41"/>
      <c r="AT2316" s="41"/>
      <c r="AU2316" s="41"/>
      <c r="AV2316" s="41"/>
      <c r="AW2316" s="41"/>
      <c r="AX2316" s="41"/>
      <c r="AY2316" s="41"/>
      <c r="AZ2316" s="41"/>
      <c r="BA2316" s="41"/>
      <c r="BB2316" s="41"/>
      <c r="BC2316" s="41"/>
      <c r="BD2316" s="41"/>
      <c r="BE2316" s="41"/>
      <c r="BF2316" s="41"/>
      <c r="BG2316" s="41"/>
      <c r="BH2316" s="41"/>
      <c r="BI2316" s="41"/>
      <c r="BJ2316" s="41"/>
      <c r="BK2316" s="41"/>
      <c r="BL2316" s="41"/>
      <c r="BM2316" s="41"/>
      <c r="BN2316" s="41"/>
      <c r="BO2316" s="41"/>
      <c r="BP2316" s="41"/>
      <c r="BQ2316" s="41"/>
      <c r="BR2316" s="41"/>
      <c r="BS2316" s="41"/>
      <c r="BT2316" s="41"/>
      <c r="BU2316" s="41"/>
      <c r="BV2316" s="41"/>
      <c r="BW2316" s="41"/>
      <c r="BX2316" s="41"/>
      <c r="BY2316" s="41"/>
      <c r="BZ2316" s="41"/>
      <c r="CA2316" s="41"/>
      <c r="CB2316" s="41"/>
      <c r="CC2316" s="41"/>
      <c r="CD2316" s="41"/>
      <c r="CE2316" s="41"/>
      <c r="CF2316" s="41"/>
      <c r="CG2316" s="41"/>
      <c r="CH2316" s="41"/>
      <c r="CI2316" s="41"/>
      <c r="CJ2316" s="41"/>
      <c r="CK2316" s="41"/>
      <c r="CL2316" s="41"/>
      <c r="CM2316" s="41"/>
      <c r="CN2316" s="41"/>
      <c r="CO2316" s="41"/>
      <c r="CP2316" s="41"/>
      <c r="CQ2316" s="41"/>
      <c r="CR2316" s="41"/>
      <c r="CS2316" s="41"/>
      <c r="CT2316" s="41"/>
      <c r="CU2316" s="41"/>
      <c r="CV2316" s="41"/>
      <c r="CW2316" s="41"/>
      <c r="CX2316" s="41"/>
      <c r="CY2316" s="41"/>
      <c r="CZ2316" s="41"/>
      <c r="DA2316" s="41"/>
      <c r="DB2316" s="41"/>
      <c r="DC2316" s="41"/>
      <c r="DD2316" s="41"/>
      <c r="DE2316" s="41"/>
      <c r="DF2316" s="41"/>
      <c r="DG2316" s="41"/>
      <c r="DH2316" s="41"/>
      <c r="DI2316" s="41"/>
      <c r="DJ2316" s="41"/>
      <c r="DK2316" s="41"/>
      <c r="DL2316" s="41"/>
      <c r="DM2316" s="41"/>
      <c r="DN2316" s="41"/>
      <c r="DO2316" s="41"/>
      <c r="DP2316" s="41"/>
      <c r="DQ2316" s="41"/>
      <c r="DR2316" s="41"/>
      <c r="DS2316" s="41"/>
      <c r="DT2316" s="41"/>
      <c r="DU2316" s="41"/>
      <c r="DV2316" s="41"/>
      <c r="DW2316" s="41"/>
      <c r="DX2316" s="41"/>
      <c r="DY2316" s="41"/>
      <c r="DZ2316" s="41"/>
      <c r="EA2316" s="41"/>
      <c r="EB2316" s="41"/>
      <c r="EC2316" s="41"/>
      <c r="ED2316" s="41"/>
      <c r="EE2316" s="41"/>
      <c r="EF2316" s="41"/>
      <c r="EG2316" s="41"/>
      <c r="EH2316" s="41"/>
      <c r="EI2316" s="41"/>
      <c r="EJ2316" s="41"/>
      <c r="EK2316" s="41"/>
      <c r="EL2316" s="41"/>
      <c r="EM2316" s="41"/>
      <c r="EN2316" s="41"/>
      <c r="EO2316" s="41"/>
      <c r="EP2316" s="41"/>
      <c r="EQ2316" s="41"/>
      <c r="ER2316" s="41"/>
      <c r="ES2316" s="41"/>
      <c r="ET2316" s="41"/>
      <c r="EU2316" s="41"/>
      <c r="EV2316" s="41"/>
      <c r="EW2316" s="41"/>
      <c r="EX2316" s="41"/>
      <c r="EY2316" s="41"/>
      <c r="EZ2316" s="41"/>
      <c r="FA2316" s="41"/>
      <c r="FB2316" s="41"/>
      <c r="FC2316" s="41"/>
      <c r="FD2316" s="41"/>
      <c r="FE2316" s="41"/>
    </row>
    <row r="2317" spans="1:161" x14ac:dyDescent="0.25">
      <c r="A2317" s="249"/>
      <c r="B2317" s="249"/>
      <c r="C2317" s="242"/>
      <c r="D2317" s="227"/>
      <c r="E2317" s="227"/>
      <c r="F2317" s="229"/>
      <c r="G2317" s="216" t="s">
        <v>70</v>
      </c>
      <c r="H2317" s="69" t="s">
        <v>67</v>
      </c>
      <c r="I2317" s="1">
        <v>755892</v>
      </c>
      <c r="J2317" s="50">
        <f>I2317/D2316</f>
        <v>2225.6999999999998</v>
      </c>
      <c r="K2317" s="50">
        <v>2911</v>
      </c>
    </row>
    <row r="2318" spans="1:161" x14ac:dyDescent="0.25">
      <c r="A2318" s="249"/>
      <c r="B2318" s="249"/>
      <c r="C2318" s="242"/>
      <c r="D2318" s="227"/>
      <c r="E2318" s="227"/>
      <c r="F2318" s="229"/>
      <c r="G2318" s="222"/>
      <c r="H2318" s="69" t="s">
        <v>69</v>
      </c>
      <c r="I2318" s="1">
        <f>I2317*0.0214</f>
        <v>16176.09</v>
      </c>
      <c r="J2318" s="50">
        <f>I2318/D2316</f>
        <v>47.63</v>
      </c>
      <c r="K2318" s="50">
        <v>62</v>
      </c>
    </row>
    <row r="2319" spans="1:161" ht="27" customHeight="1" x14ac:dyDescent="0.25">
      <c r="A2319" s="249"/>
      <c r="B2319" s="249"/>
      <c r="C2319" s="242"/>
      <c r="D2319" s="227"/>
      <c r="E2319" s="227"/>
      <c r="F2319" s="229"/>
      <c r="G2319" s="216" t="s">
        <v>71</v>
      </c>
      <c r="H2319" s="69" t="s">
        <v>67</v>
      </c>
      <c r="I2319" s="1">
        <v>82655</v>
      </c>
      <c r="J2319" s="50">
        <f>I2319/D2316</f>
        <v>243.37</v>
      </c>
      <c r="K2319" s="50">
        <v>513</v>
      </c>
      <c r="L2319" s="41"/>
      <c r="M2319" s="41"/>
      <c r="N2319" s="41"/>
      <c r="O2319" s="41"/>
      <c r="P2319" s="41"/>
      <c r="Q2319" s="41"/>
      <c r="R2319" s="41"/>
      <c r="S2319" s="41"/>
      <c r="T2319" s="41"/>
      <c r="U2319" s="41"/>
      <c r="V2319" s="41"/>
      <c r="W2319" s="41"/>
      <c r="X2319" s="41"/>
      <c r="Y2319" s="41"/>
      <c r="Z2319" s="41"/>
      <c r="AA2319" s="41"/>
      <c r="AB2319" s="41"/>
      <c r="AC2319" s="41"/>
      <c r="AD2319" s="41"/>
      <c r="AE2319" s="41"/>
      <c r="AF2319" s="41"/>
      <c r="AG2319" s="41"/>
      <c r="AH2319" s="41"/>
      <c r="AI2319" s="41"/>
      <c r="AJ2319" s="41"/>
      <c r="AK2319" s="41"/>
      <c r="AL2319" s="41"/>
      <c r="AM2319" s="41"/>
      <c r="AN2319" s="41"/>
      <c r="AO2319" s="41"/>
      <c r="AP2319" s="41"/>
      <c r="AQ2319" s="41"/>
      <c r="AR2319" s="41"/>
      <c r="AS2319" s="41"/>
      <c r="AT2319" s="41"/>
      <c r="AU2319" s="41"/>
      <c r="AV2319" s="41"/>
      <c r="AW2319" s="41"/>
      <c r="AX2319" s="41"/>
      <c r="AY2319" s="41"/>
      <c r="AZ2319" s="41"/>
      <c r="BA2319" s="41"/>
      <c r="BB2319" s="41"/>
      <c r="BC2319" s="41"/>
      <c r="BD2319" s="41"/>
      <c r="BE2319" s="41"/>
      <c r="BF2319" s="41"/>
      <c r="BG2319" s="41"/>
      <c r="BH2319" s="41"/>
      <c r="BI2319" s="41"/>
      <c r="BJ2319" s="41"/>
      <c r="BK2319" s="41"/>
      <c r="BL2319" s="41"/>
      <c r="BM2319" s="41"/>
      <c r="BN2319" s="41"/>
      <c r="BO2319" s="41"/>
      <c r="BP2319" s="41"/>
      <c r="BQ2319" s="41"/>
      <c r="BR2319" s="41"/>
      <c r="BS2319" s="41"/>
      <c r="BT2319" s="41"/>
      <c r="BU2319" s="41"/>
      <c r="BV2319" s="41"/>
      <c r="BW2319" s="41"/>
      <c r="BX2319" s="41"/>
      <c r="BY2319" s="41"/>
      <c r="BZ2319" s="41"/>
      <c r="CA2319" s="41"/>
      <c r="CB2319" s="41"/>
      <c r="CC2319" s="41"/>
      <c r="CD2319" s="41"/>
      <c r="CE2319" s="41"/>
      <c r="CF2319" s="41"/>
      <c r="CG2319" s="41"/>
      <c r="CH2319" s="41"/>
      <c r="CI2319" s="41"/>
      <c r="CJ2319" s="41"/>
      <c r="CK2319" s="41"/>
      <c r="CL2319" s="41"/>
      <c r="CM2319" s="41"/>
      <c r="CN2319" s="41"/>
      <c r="CO2319" s="41"/>
      <c r="CP2319" s="41"/>
      <c r="CQ2319" s="41"/>
      <c r="CR2319" s="41"/>
      <c r="CS2319" s="41"/>
      <c r="CT2319" s="41"/>
      <c r="CU2319" s="41"/>
      <c r="CV2319" s="41"/>
      <c r="CW2319" s="41"/>
      <c r="CX2319" s="41"/>
      <c r="CY2319" s="41"/>
      <c r="CZ2319" s="41"/>
      <c r="DA2319" s="41"/>
      <c r="DB2319" s="41"/>
      <c r="DC2319" s="41"/>
      <c r="DD2319" s="41"/>
      <c r="DE2319" s="41"/>
      <c r="DF2319" s="41"/>
      <c r="DG2319" s="41"/>
      <c r="DH2319" s="41"/>
      <c r="DI2319" s="41"/>
      <c r="DJ2319" s="41"/>
      <c r="DK2319" s="41"/>
      <c r="DL2319" s="41"/>
      <c r="DM2319" s="41"/>
      <c r="DN2319" s="41"/>
      <c r="DO2319" s="41"/>
      <c r="DP2319" s="41"/>
      <c r="DQ2319" s="41"/>
      <c r="DR2319" s="41"/>
      <c r="DS2319" s="41"/>
      <c r="DT2319" s="41"/>
      <c r="DU2319" s="41"/>
      <c r="DV2319" s="41"/>
      <c r="DW2319" s="41"/>
      <c r="DX2319" s="41"/>
      <c r="DY2319" s="41"/>
      <c r="DZ2319" s="41"/>
      <c r="EA2319" s="41"/>
      <c r="EB2319" s="41"/>
      <c r="EC2319" s="41"/>
      <c r="ED2319" s="41"/>
      <c r="EE2319" s="41"/>
      <c r="EF2319" s="41"/>
      <c r="EG2319" s="41"/>
      <c r="EH2319" s="41"/>
      <c r="EI2319" s="41"/>
      <c r="EJ2319" s="41"/>
      <c r="EK2319" s="41"/>
      <c r="EL2319" s="41"/>
      <c r="EM2319" s="41"/>
      <c r="EN2319" s="41"/>
      <c r="EO2319" s="41"/>
      <c r="EP2319" s="41"/>
      <c r="EQ2319" s="41"/>
      <c r="ER2319" s="41"/>
      <c r="ES2319" s="41"/>
      <c r="ET2319" s="41"/>
      <c r="EU2319" s="41"/>
      <c r="EV2319" s="41"/>
      <c r="EW2319" s="41"/>
      <c r="EX2319" s="41"/>
      <c r="EY2319" s="41"/>
      <c r="EZ2319" s="41"/>
      <c r="FA2319" s="41"/>
      <c r="FB2319" s="41"/>
      <c r="FC2319" s="41"/>
      <c r="FD2319" s="41"/>
      <c r="FE2319" s="41"/>
    </row>
    <row r="2320" spans="1:161" ht="27" customHeight="1" x14ac:dyDescent="0.25">
      <c r="A2320" s="249"/>
      <c r="B2320" s="249"/>
      <c r="C2320" s="242"/>
      <c r="D2320" s="227"/>
      <c r="E2320" s="227"/>
      <c r="F2320" s="229"/>
      <c r="G2320" s="222"/>
      <c r="H2320" s="69" t="s">
        <v>69</v>
      </c>
      <c r="I2320" s="1">
        <f>I2319*0.0214</f>
        <v>1768.82</v>
      </c>
      <c r="J2320" s="50">
        <f>I2320/D2316</f>
        <v>5.21</v>
      </c>
      <c r="K2320" s="50">
        <v>11</v>
      </c>
      <c r="L2320" s="41"/>
      <c r="M2320" s="41"/>
      <c r="N2320" s="41"/>
      <c r="O2320" s="41"/>
      <c r="P2320" s="41"/>
      <c r="Q2320" s="41"/>
      <c r="R2320" s="41"/>
      <c r="S2320" s="41"/>
      <c r="T2320" s="41"/>
      <c r="U2320" s="41"/>
      <c r="V2320" s="41"/>
      <c r="W2320" s="41"/>
      <c r="X2320" s="41"/>
      <c r="Y2320" s="41"/>
      <c r="Z2320" s="41"/>
      <c r="AA2320" s="41"/>
      <c r="AB2320" s="41"/>
      <c r="AC2320" s="41"/>
      <c r="AD2320" s="41"/>
      <c r="AE2320" s="41"/>
      <c r="AF2320" s="41"/>
      <c r="AG2320" s="41"/>
      <c r="AH2320" s="41"/>
      <c r="AI2320" s="41"/>
      <c r="AJ2320" s="41"/>
      <c r="AK2320" s="41"/>
      <c r="AL2320" s="41"/>
      <c r="AM2320" s="41"/>
      <c r="AN2320" s="41"/>
      <c r="AO2320" s="41"/>
      <c r="AP2320" s="41"/>
      <c r="AQ2320" s="41"/>
      <c r="AR2320" s="41"/>
      <c r="AS2320" s="41"/>
      <c r="AT2320" s="41"/>
      <c r="AU2320" s="41"/>
      <c r="AV2320" s="41"/>
      <c r="AW2320" s="41"/>
      <c r="AX2320" s="41"/>
      <c r="AY2320" s="41"/>
      <c r="AZ2320" s="41"/>
      <c r="BA2320" s="41"/>
      <c r="BB2320" s="41"/>
      <c r="BC2320" s="41"/>
      <c r="BD2320" s="41"/>
      <c r="BE2320" s="41"/>
      <c r="BF2320" s="41"/>
      <c r="BG2320" s="41"/>
      <c r="BH2320" s="41"/>
      <c r="BI2320" s="41"/>
      <c r="BJ2320" s="41"/>
      <c r="BK2320" s="41"/>
      <c r="BL2320" s="41"/>
      <c r="BM2320" s="41"/>
      <c r="BN2320" s="41"/>
      <c r="BO2320" s="41"/>
      <c r="BP2320" s="41"/>
      <c r="BQ2320" s="41"/>
      <c r="BR2320" s="41"/>
      <c r="BS2320" s="41"/>
      <c r="BT2320" s="41"/>
      <c r="BU2320" s="41"/>
      <c r="BV2320" s="41"/>
      <c r="BW2320" s="41"/>
      <c r="BX2320" s="41"/>
      <c r="BY2320" s="41"/>
      <c r="BZ2320" s="41"/>
      <c r="CA2320" s="41"/>
      <c r="CB2320" s="41"/>
      <c r="CC2320" s="41"/>
      <c r="CD2320" s="41"/>
      <c r="CE2320" s="41"/>
      <c r="CF2320" s="41"/>
      <c r="CG2320" s="41"/>
      <c r="CH2320" s="41"/>
      <c r="CI2320" s="41"/>
      <c r="CJ2320" s="41"/>
      <c r="CK2320" s="41"/>
      <c r="CL2320" s="41"/>
      <c r="CM2320" s="41"/>
      <c r="CN2320" s="41"/>
      <c r="CO2320" s="41"/>
      <c r="CP2320" s="41"/>
      <c r="CQ2320" s="41"/>
      <c r="CR2320" s="41"/>
      <c r="CS2320" s="41"/>
      <c r="CT2320" s="41"/>
      <c r="CU2320" s="41"/>
      <c r="CV2320" s="41"/>
      <c r="CW2320" s="41"/>
      <c r="CX2320" s="41"/>
      <c r="CY2320" s="41"/>
      <c r="CZ2320" s="41"/>
      <c r="DA2320" s="41"/>
      <c r="DB2320" s="41"/>
      <c r="DC2320" s="41"/>
      <c r="DD2320" s="41"/>
      <c r="DE2320" s="41"/>
      <c r="DF2320" s="41"/>
      <c r="DG2320" s="41"/>
      <c r="DH2320" s="41"/>
      <c r="DI2320" s="41"/>
      <c r="DJ2320" s="41"/>
      <c r="DK2320" s="41"/>
      <c r="DL2320" s="41"/>
      <c r="DM2320" s="41"/>
      <c r="DN2320" s="41"/>
      <c r="DO2320" s="41"/>
      <c r="DP2320" s="41"/>
      <c r="DQ2320" s="41"/>
      <c r="DR2320" s="41"/>
      <c r="DS2320" s="41"/>
      <c r="DT2320" s="41"/>
      <c r="DU2320" s="41"/>
      <c r="DV2320" s="41"/>
      <c r="DW2320" s="41"/>
      <c r="DX2320" s="41"/>
      <c r="DY2320" s="41"/>
      <c r="DZ2320" s="41"/>
      <c r="EA2320" s="41"/>
      <c r="EB2320" s="41"/>
      <c r="EC2320" s="41"/>
      <c r="ED2320" s="41"/>
      <c r="EE2320" s="41"/>
      <c r="EF2320" s="41"/>
      <c r="EG2320" s="41"/>
      <c r="EH2320" s="41"/>
      <c r="EI2320" s="41"/>
      <c r="EJ2320" s="41"/>
      <c r="EK2320" s="41"/>
      <c r="EL2320" s="41"/>
      <c r="EM2320" s="41"/>
      <c r="EN2320" s="41"/>
      <c r="EO2320" s="41"/>
      <c r="EP2320" s="41"/>
      <c r="EQ2320" s="41"/>
      <c r="ER2320" s="41"/>
      <c r="ES2320" s="41"/>
      <c r="ET2320" s="41"/>
      <c r="EU2320" s="41"/>
      <c r="EV2320" s="41"/>
      <c r="EW2320" s="41"/>
      <c r="EX2320" s="41"/>
      <c r="EY2320" s="41"/>
      <c r="EZ2320" s="41"/>
      <c r="FA2320" s="41"/>
      <c r="FB2320" s="41"/>
      <c r="FC2320" s="41"/>
      <c r="FD2320" s="41"/>
      <c r="FE2320" s="41"/>
    </row>
    <row r="2321" spans="1:161" x14ac:dyDescent="0.25">
      <c r="A2321" s="235">
        <f>A2316+1</f>
        <v>24</v>
      </c>
      <c r="B2321" s="235">
        <v>7084</v>
      </c>
      <c r="C2321" s="241" t="s">
        <v>330</v>
      </c>
      <c r="D2321" s="224">
        <v>460</v>
      </c>
      <c r="E2321" s="224" t="s">
        <v>167</v>
      </c>
      <c r="F2321" s="228">
        <v>2</v>
      </c>
      <c r="G2321" s="110"/>
      <c r="H2321" s="57" t="s">
        <v>66</v>
      </c>
      <c r="I2321" s="50">
        <f>SUM(I2322:I2325)</f>
        <v>797392.68</v>
      </c>
      <c r="J2321" s="50">
        <f>SUM(J2322:J2325)</f>
        <v>1733.46</v>
      </c>
      <c r="K2321" s="50">
        <f>SUM(K2322:K2325)</f>
        <v>3497</v>
      </c>
      <c r="L2321" s="41"/>
      <c r="M2321" s="41"/>
      <c r="N2321" s="41"/>
      <c r="O2321" s="41"/>
      <c r="P2321" s="41"/>
      <c r="Q2321" s="41"/>
      <c r="R2321" s="41"/>
      <c r="S2321" s="41"/>
      <c r="T2321" s="41"/>
      <c r="U2321" s="41"/>
      <c r="V2321" s="41"/>
      <c r="W2321" s="41"/>
      <c r="X2321" s="41"/>
      <c r="Y2321" s="41"/>
      <c r="Z2321" s="41"/>
      <c r="AA2321" s="41"/>
      <c r="AB2321" s="41"/>
      <c r="AC2321" s="41"/>
      <c r="AD2321" s="41"/>
      <c r="AE2321" s="41"/>
      <c r="AF2321" s="41"/>
      <c r="AG2321" s="41"/>
      <c r="AH2321" s="41"/>
      <c r="AI2321" s="41"/>
      <c r="AJ2321" s="41"/>
      <c r="AK2321" s="41"/>
      <c r="AL2321" s="41"/>
      <c r="AM2321" s="41"/>
      <c r="AN2321" s="41"/>
      <c r="AO2321" s="41"/>
      <c r="AP2321" s="41"/>
      <c r="AQ2321" s="41"/>
      <c r="AR2321" s="41"/>
      <c r="AS2321" s="41"/>
      <c r="AT2321" s="41"/>
      <c r="AU2321" s="41"/>
      <c r="AV2321" s="41"/>
      <c r="AW2321" s="41"/>
      <c r="AX2321" s="41"/>
      <c r="AY2321" s="41"/>
      <c r="AZ2321" s="41"/>
      <c r="BA2321" s="41"/>
      <c r="BB2321" s="41"/>
      <c r="BC2321" s="41"/>
      <c r="BD2321" s="41"/>
      <c r="BE2321" s="41"/>
      <c r="BF2321" s="41"/>
      <c r="BG2321" s="41"/>
      <c r="BH2321" s="41"/>
      <c r="BI2321" s="41"/>
      <c r="BJ2321" s="41"/>
      <c r="BK2321" s="41"/>
      <c r="BL2321" s="41"/>
      <c r="BM2321" s="41"/>
      <c r="BN2321" s="41"/>
      <c r="BO2321" s="41"/>
      <c r="BP2321" s="41"/>
      <c r="BQ2321" s="41"/>
      <c r="BR2321" s="41"/>
      <c r="BS2321" s="41"/>
      <c r="BT2321" s="41"/>
      <c r="BU2321" s="41"/>
      <c r="BV2321" s="41"/>
      <c r="BW2321" s="41"/>
      <c r="BX2321" s="41"/>
      <c r="BY2321" s="41"/>
      <c r="BZ2321" s="41"/>
      <c r="CA2321" s="41"/>
      <c r="CB2321" s="41"/>
      <c r="CC2321" s="41"/>
      <c r="CD2321" s="41"/>
      <c r="CE2321" s="41"/>
      <c r="CF2321" s="41"/>
      <c r="CG2321" s="41"/>
      <c r="CH2321" s="41"/>
      <c r="CI2321" s="41"/>
      <c r="CJ2321" s="41"/>
      <c r="CK2321" s="41"/>
      <c r="CL2321" s="41"/>
      <c r="CM2321" s="41"/>
      <c r="CN2321" s="41"/>
      <c r="CO2321" s="41"/>
      <c r="CP2321" s="41"/>
      <c r="CQ2321" s="41"/>
      <c r="CR2321" s="41"/>
      <c r="CS2321" s="41"/>
      <c r="CT2321" s="41"/>
      <c r="CU2321" s="41"/>
      <c r="CV2321" s="41"/>
      <c r="CW2321" s="41"/>
      <c r="CX2321" s="41"/>
      <c r="CY2321" s="41"/>
      <c r="CZ2321" s="41"/>
      <c r="DA2321" s="41"/>
      <c r="DB2321" s="41"/>
      <c r="DC2321" s="41"/>
      <c r="DD2321" s="41"/>
      <c r="DE2321" s="41"/>
      <c r="DF2321" s="41"/>
      <c r="DG2321" s="41"/>
      <c r="DH2321" s="41"/>
      <c r="DI2321" s="41"/>
      <c r="DJ2321" s="41"/>
      <c r="DK2321" s="41"/>
      <c r="DL2321" s="41"/>
      <c r="DM2321" s="41"/>
      <c r="DN2321" s="41"/>
      <c r="DO2321" s="41"/>
      <c r="DP2321" s="41"/>
      <c r="DQ2321" s="41"/>
      <c r="DR2321" s="41"/>
      <c r="DS2321" s="41"/>
      <c r="DT2321" s="41"/>
      <c r="DU2321" s="41"/>
      <c r="DV2321" s="41"/>
      <c r="DW2321" s="41"/>
      <c r="DX2321" s="41"/>
      <c r="DY2321" s="41"/>
      <c r="DZ2321" s="41"/>
      <c r="EA2321" s="41"/>
      <c r="EB2321" s="41"/>
      <c r="EC2321" s="41"/>
      <c r="ED2321" s="41"/>
      <c r="EE2321" s="41"/>
      <c r="EF2321" s="41"/>
      <c r="EG2321" s="41"/>
      <c r="EH2321" s="41"/>
      <c r="EI2321" s="41"/>
      <c r="EJ2321" s="41"/>
      <c r="EK2321" s="41"/>
      <c r="EL2321" s="41"/>
      <c r="EM2321" s="41"/>
      <c r="EN2321" s="41"/>
      <c r="EO2321" s="41"/>
      <c r="EP2321" s="41"/>
      <c r="EQ2321" s="41"/>
      <c r="ER2321" s="41"/>
      <c r="ES2321" s="41"/>
      <c r="ET2321" s="41"/>
      <c r="EU2321" s="41"/>
      <c r="EV2321" s="41"/>
      <c r="EW2321" s="41"/>
      <c r="EX2321" s="41"/>
      <c r="EY2321" s="41"/>
      <c r="EZ2321" s="41"/>
      <c r="FA2321" s="41"/>
      <c r="FB2321" s="41"/>
      <c r="FC2321" s="41"/>
      <c r="FD2321" s="41"/>
      <c r="FE2321" s="41"/>
    </row>
    <row r="2322" spans="1:161" x14ac:dyDescent="0.25">
      <c r="A2322" s="249"/>
      <c r="B2322" s="249"/>
      <c r="C2322" s="242"/>
      <c r="D2322" s="227"/>
      <c r="E2322" s="227"/>
      <c r="F2322" s="229"/>
      <c r="G2322" s="215" t="s">
        <v>70</v>
      </c>
      <c r="H2322" s="57" t="s">
        <v>67</v>
      </c>
      <c r="I2322" s="1">
        <v>714313</v>
      </c>
      <c r="J2322" s="50">
        <f>I2322/D2321</f>
        <v>1552.85</v>
      </c>
      <c r="K2322" s="50">
        <v>2911</v>
      </c>
      <c r="L2322" s="41"/>
      <c r="M2322" s="41"/>
      <c r="N2322" s="41"/>
      <c r="O2322" s="41"/>
      <c r="P2322" s="41"/>
      <c r="Q2322" s="41"/>
      <c r="R2322" s="41"/>
      <c r="S2322" s="41"/>
      <c r="T2322" s="41"/>
      <c r="U2322" s="41"/>
      <c r="V2322" s="41"/>
      <c r="W2322" s="41"/>
      <c r="X2322" s="41"/>
      <c r="Y2322" s="41"/>
      <c r="Z2322" s="41"/>
      <c r="AA2322" s="41"/>
      <c r="AB2322" s="41"/>
      <c r="AC2322" s="41"/>
      <c r="AD2322" s="41"/>
      <c r="AE2322" s="41"/>
      <c r="AF2322" s="41"/>
      <c r="AG2322" s="41"/>
      <c r="AH2322" s="41"/>
      <c r="AI2322" s="41"/>
      <c r="AJ2322" s="41"/>
      <c r="AK2322" s="41"/>
      <c r="AL2322" s="41"/>
      <c r="AM2322" s="41"/>
      <c r="AN2322" s="41"/>
      <c r="AO2322" s="41"/>
      <c r="AP2322" s="41"/>
      <c r="AQ2322" s="41"/>
      <c r="AR2322" s="41"/>
      <c r="AS2322" s="41"/>
      <c r="AT2322" s="41"/>
      <c r="AU2322" s="41"/>
      <c r="AV2322" s="41"/>
      <c r="AW2322" s="41"/>
      <c r="AX2322" s="41"/>
      <c r="AY2322" s="41"/>
      <c r="AZ2322" s="41"/>
      <c r="BA2322" s="41"/>
      <c r="BB2322" s="41"/>
      <c r="BC2322" s="41"/>
      <c r="BD2322" s="41"/>
      <c r="BE2322" s="41"/>
      <c r="BF2322" s="41"/>
      <c r="BG2322" s="41"/>
      <c r="BH2322" s="41"/>
      <c r="BI2322" s="41"/>
      <c r="BJ2322" s="41"/>
      <c r="BK2322" s="41"/>
      <c r="BL2322" s="41"/>
      <c r="BM2322" s="41"/>
      <c r="BN2322" s="41"/>
      <c r="BO2322" s="41"/>
      <c r="BP2322" s="41"/>
      <c r="BQ2322" s="41"/>
      <c r="BR2322" s="41"/>
      <c r="BS2322" s="41"/>
      <c r="BT2322" s="41"/>
      <c r="BU2322" s="41"/>
      <c r="BV2322" s="41"/>
      <c r="BW2322" s="41"/>
      <c r="BX2322" s="41"/>
      <c r="BY2322" s="41"/>
      <c r="BZ2322" s="41"/>
      <c r="CA2322" s="41"/>
      <c r="CB2322" s="41"/>
      <c r="CC2322" s="41"/>
      <c r="CD2322" s="41"/>
      <c r="CE2322" s="41"/>
      <c r="CF2322" s="41"/>
      <c r="CG2322" s="41"/>
      <c r="CH2322" s="41"/>
      <c r="CI2322" s="41"/>
      <c r="CJ2322" s="41"/>
      <c r="CK2322" s="41"/>
      <c r="CL2322" s="41"/>
      <c r="CM2322" s="41"/>
      <c r="CN2322" s="41"/>
      <c r="CO2322" s="41"/>
      <c r="CP2322" s="41"/>
      <c r="CQ2322" s="41"/>
      <c r="CR2322" s="41"/>
      <c r="CS2322" s="41"/>
      <c r="CT2322" s="41"/>
      <c r="CU2322" s="41"/>
      <c r="CV2322" s="41"/>
      <c r="CW2322" s="41"/>
      <c r="CX2322" s="41"/>
      <c r="CY2322" s="41"/>
      <c r="CZ2322" s="41"/>
      <c r="DA2322" s="41"/>
      <c r="DB2322" s="41"/>
      <c r="DC2322" s="41"/>
      <c r="DD2322" s="41"/>
      <c r="DE2322" s="41"/>
      <c r="DF2322" s="41"/>
      <c r="DG2322" s="41"/>
      <c r="DH2322" s="41"/>
      <c r="DI2322" s="41"/>
      <c r="DJ2322" s="41"/>
      <c r="DK2322" s="41"/>
      <c r="DL2322" s="41"/>
      <c r="DM2322" s="41"/>
      <c r="DN2322" s="41"/>
      <c r="DO2322" s="41"/>
      <c r="DP2322" s="41"/>
      <c r="DQ2322" s="41"/>
      <c r="DR2322" s="41"/>
      <c r="DS2322" s="41"/>
      <c r="DT2322" s="41"/>
      <c r="DU2322" s="41"/>
      <c r="DV2322" s="41"/>
      <c r="DW2322" s="41"/>
      <c r="DX2322" s="41"/>
      <c r="DY2322" s="41"/>
      <c r="DZ2322" s="41"/>
      <c r="EA2322" s="41"/>
      <c r="EB2322" s="41"/>
      <c r="EC2322" s="41"/>
      <c r="ED2322" s="41"/>
      <c r="EE2322" s="41"/>
      <c r="EF2322" s="41"/>
      <c r="EG2322" s="41"/>
      <c r="EH2322" s="41"/>
      <c r="EI2322" s="41"/>
      <c r="EJ2322" s="41"/>
      <c r="EK2322" s="41"/>
      <c r="EL2322" s="41"/>
      <c r="EM2322" s="41"/>
      <c r="EN2322" s="41"/>
      <c r="EO2322" s="41"/>
      <c r="EP2322" s="41"/>
      <c r="EQ2322" s="41"/>
      <c r="ER2322" s="41"/>
      <c r="ES2322" s="41"/>
      <c r="ET2322" s="41"/>
      <c r="EU2322" s="41"/>
      <c r="EV2322" s="41"/>
      <c r="EW2322" s="41"/>
      <c r="EX2322" s="41"/>
      <c r="EY2322" s="41"/>
      <c r="EZ2322" s="41"/>
      <c r="FA2322" s="41"/>
      <c r="FB2322" s="41"/>
      <c r="FC2322" s="41"/>
      <c r="FD2322" s="41"/>
      <c r="FE2322" s="41"/>
    </row>
    <row r="2323" spans="1:161" x14ac:dyDescent="0.25">
      <c r="A2323" s="249"/>
      <c r="B2323" s="249"/>
      <c r="C2323" s="242"/>
      <c r="D2323" s="227"/>
      <c r="E2323" s="227"/>
      <c r="F2323" s="229"/>
      <c r="G2323" s="215"/>
      <c r="H2323" s="57" t="s">
        <v>69</v>
      </c>
      <c r="I2323" s="1">
        <f>I2322*0.0214</f>
        <v>15286.3</v>
      </c>
      <c r="J2323" s="50">
        <f>I2323/D2321</f>
        <v>33.229999999999997</v>
      </c>
      <c r="K2323" s="50">
        <v>62</v>
      </c>
      <c r="L2323" s="41"/>
      <c r="M2323" s="41"/>
      <c r="N2323" s="41"/>
      <c r="O2323" s="41"/>
      <c r="P2323" s="41"/>
      <c r="Q2323" s="41"/>
      <c r="R2323" s="41"/>
      <c r="S2323" s="41"/>
      <c r="T2323" s="41"/>
      <c r="U2323" s="41"/>
      <c r="V2323" s="41"/>
      <c r="W2323" s="41"/>
      <c r="X2323" s="41"/>
      <c r="Y2323" s="41"/>
      <c r="Z2323" s="41"/>
      <c r="AA2323" s="41"/>
      <c r="AB2323" s="41"/>
      <c r="AC2323" s="41"/>
      <c r="AD2323" s="41"/>
      <c r="AE2323" s="41"/>
      <c r="AF2323" s="41"/>
      <c r="AG2323" s="41"/>
      <c r="AH2323" s="41"/>
      <c r="AI2323" s="41"/>
      <c r="AJ2323" s="41"/>
      <c r="AK2323" s="41"/>
      <c r="AL2323" s="41"/>
      <c r="AM2323" s="41"/>
      <c r="AN2323" s="41"/>
      <c r="AO2323" s="41"/>
      <c r="AP2323" s="41"/>
      <c r="AQ2323" s="41"/>
      <c r="AR2323" s="41"/>
      <c r="AS2323" s="41"/>
      <c r="AT2323" s="41"/>
      <c r="AU2323" s="41"/>
      <c r="AV2323" s="41"/>
      <c r="AW2323" s="41"/>
      <c r="AX2323" s="41"/>
      <c r="AY2323" s="41"/>
      <c r="AZ2323" s="41"/>
      <c r="BA2323" s="41"/>
      <c r="BB2323" s="41"/>
      <c r="BC2323" s="41"/>
      <c r="BD2323" s="41"/>
      <c r="BE2323" s="41"/>
      <c r="BF2323" s="41"/>
      <c r="BG2323" s="41"/>
      <c r="BH2323" s="41"/>
      <c r="BI2323" s="41"/>
      <c r="BJ2323" s="41"/>
      <c r="BK2323" s="41"/>
      <c r="BL2323" s="41"/>
      <c r="BM2323" s="41"/>
      <c r="BN2323" s="41"/>
      <c r="BO2323" s="41"/>
      <c r="BP2323" s="41"/>
      <c r="BQ2323" s="41"/>
      <c r="BR2323" s="41"/>
      <c r="BS2323" s="41"/>
      <c r="BT2323" s="41"/>
      <c r="BU2323" s="41"/>
      <c r="BV2323" s="41"/>
      <c r="BW2323" s="41"/>
      <c r="BX2323" s="41"/>
      <c r="BY2323" s="41"/>
      <c r="BZ2323" s="41"/>
      <c r="CA2323" s="41"/>
      <c r="CB2323" s="41"/>
      <c r="CC2323" s="41"/>
      <c r="CD2323" s="41"/>
      <c r="CE2323" s="41"/>
      <c r="CF2323" s="41"/>
      <c r="CG2323" s="41"/>
      <c r="CH2323" s="41"/>
      <c r="CI2323" s="41"/>
      <c r="CJ2323" s="41"/>
      <c r="CK2323" s="41"/>
      <c r="CL2323" s="41"/>
      <c r="CM2323" s="41"/>
      <c r="CN2323" s="41"/>
      <c r="CO2323" s="41"/>
      <c r="CP2323" s="41"/>
      <c r="CQ2323" s="41"/>
      <c r="CR2323" s="41"/>
      <c r="CS2323" s="41"/>
      <c r="CT2323" s="41"/>
      <c r="CU2323" s="41"/>
      <c r="CV2323" s="41"/>
      <c r="CW2323" s="41"/>
      <c r="CX2323" s="41"/>
      <c r="CY2323" s="41"/>
      <c r="CZ2323" s="41"/>
      <c r="DA2323" s="41"/>
      <c r="DB2323" s="41"/>
      <c r="DC2323" s="41"/>
      <c r="DD2323" s="41"/>
      <c r="DE2323" s="41"/>
      <c r="DF2323" s="41"/>
      <c r="DG2323" s="41"/>
      <c r="DH2323" s="41"/>
      <c r="DI2323" s="41"/>
      <c r="DJ2323" s="41"/>
      <c r="DK2323" s="41"/>
      <c r="DL2323" s="41"/>
      <c r="DM2323" s="41"/>
      <c r="DN2323" s="41"/>
      <c r="DO2323" s="41"/>
      <c r="DP2323" s="41"/>
      <c r="DQ2323" s="41"/>
      <c r="DR2323" s="41"/>
      <c r="DS2323" s="41"/>
      <c r="DT2323" s="41"/>
      <c r="DU2323" s="41"/>
      <c r="DV2323" s="41"/>
      <c r="DW2323" s="41"/>
      <c r="DX2323" s="41"/>
      <c r="DY2323" s="41"/>
      <c r="DZ2323" s="41"/>
      <c r="EA2323" s="41"/>
      <c r="EB2323" s="41"/>
      <c r="EC2323" s="41"/>
      <c r="ED2323" s="41"/>
      <c r="EE2323" s="41"/>
      <c r="EF2323" s="41"/>
      <c r="EG2323" s="41"/>
      <c r="EH2323" s="41"/>
      <c r="EI2323" s="41"/>
      <c r="EJ2323" s="41"/>
      <c r="EK2323" s="41"/>
      <c r="EL2323" s="41"/>
      <c r="EM2323" s="41"/>
      <c r="EN2323" s="41"/>
      <c r="EO2323" s="41"/>
      <c r="EP2323" s="41"/>
      <c r="EQ2323" s="41"/>
      <c r="ER2323" s="41"/>
      <c r="ES2323" s="41"/>
      <c r="ET2323" s="41"/>
      <c r="EU2323" s="41"/>
      <c r="EV2323" s="41"/>
      <c r="EW2323" s="41"/>
      <c r="EX2323" s="41"/>
      <c r="EY2323" s="41"/>
      <c r="EZ2323" s="41"/>
      <c r="FA2323" s="41"/>
      <c r="FB2323" s="41"/>
      <c r="FC2323" s="41"/>
      <c r="FD2323" s="41"/>
      <c r="FE2323" s="41"/>
    </row>
    <row r="2324" spans="1:161" x14ac:dyDescent="0.25">
      <c r="A2324" s="249"/>
      <c r="B2324" s="249"/>
      <c r="C2324" s="242"/>
      <c r="D2324" s="227"/>
      <c r="E2324" s="227"/>
      <c r="F2324" s="229"/>
      <c r="G2324" s="215" t="s">
        <v>71</v>
      </c>
      <c r="H2324" s="57" t="s">
        <v>67</v>
      </c>
      <c r="I2324" s="1">
        <v>66373</v>
      </c>
      <c r="J2324" s="50">
        <f>I2324/D2321</f>
        <v>144.29</v>
      </c>
      <c r="K2324" s="50">
        <v>513</v>
      </c>
      <c r="L2324" s="41"/>
      <c r="M2324" s="41"/>
      <c r="N2324" s="41"/>
      <c r="O2324" s="41"/>
      <c r="P2324" s="41"/>
      <c r="Q2324" s="41"/>
      <c r="R2324" s="41"/>
      <c r="S2324" s="41"/>
      <c r="T2324" s="41"/>
      <c r="U2324" s="41"/>
      <c r="V2324" s="41"/>
      <c r="W2324" s="41"/>
      <c r="X2324" s="41"/>
      <c r="Y2324" s="41"/>
      <c r="Z2324" s="41"/>
      <c r="AA2324" s="41"/>
      <c r="AB2324" s="41"/>
      <c r="AC2324" s="41"/>
      <c r="AD2324" s="41"/>
      <c r="AE2324" s="41"/>
      <c r="AF2324" s="41"/>
      <c r="AG2324" s="41"/>
      <c r="AH2324" s="41"/>
      <c r="AI2324" s="41"/>
      <c r="AJ2324" s="41"/>
      <c r="AK2324" s="41"/>
      <c r="AL2324" s="41"/>
      <c r="AM2324" s="41"/>
      <c r="AN2324" s="41"/>
      <c r="AO2324" s="41"/>
      <c r="AP2324" s="41"/>
      <c r="AQ2324" s="41"/>
      <c r="AR2324" s="41"/>
      <c r="AS2324" s="41"/>
      <c r="AT2324" s="41"/>
      <c r="AU2324" s="41"/>
      <c r="AV2324" s="41"/>
      <c r="AW2324" s="41"/>
      <c r="AX2324" s="41"/>
      <c r="AY2324" s="41"/>
      <c r="AZ2324" s="41"/>
      <c r="BA2324" s="41"/>
      <c r="BB2324" s="41"/>
      <c r="BC2324" s="41"/>
      <c r="BD2324" s="41"/>
      <c r="BE2324" s="41"/>
      <c r="BF2324" s="41"/>
      <c r="BG2324" s="41"/>
      <c r="BH2324" s="41"/>
      <c r="BI2324" s="41"/>
      <c r="BJ2324" s="41"/>
      <c r="BK2324" s="41"/>
      <c r="BL2324" s="41"/>
      <c r="BM2324" s="41"/>
      <c r="BN2324" s="41"/>
      <c r="BO2324" s="41"/>
      <c r="BP2324" s="41"/>
      <c r="BQ2324" s="41"/>
      <c r="BR2324" s="41"/>
      <c r="BS2324" s="41"/>
      <c r="BT2324" s="41"/>
      <c r="BU2324" s="41"/>
      <c r="BV2324" s="41"/>
      <c r="BW2324" s="41"/>
      <c r="BX2324" s="41"/>
      <c r="BY2324" s="41"/>
      <c r="BZ2324" s="41"/>
      <c r="CA2324" s="41"/>
      <c r="CB2324" s="41"/>
      <c r="CC2324" s="41"/>
      <c r="CD2324" s="41"/>
      <c r="CE2324" s="41"/>
      <c r="CF2324" s="41"/>
      <c r="CG2324" s="41"/>
      <c r="CH2324" s="41"/>
      <c r="CI2324" s="41"/>
      <c r="CJ2324" s="41"/>
      <c r="CK2324" s="41"/>
      <c r="CL2324" s="41"/>
      <c r="CM2324" s="41"/>
      <c r="CN2324" s="41"/>
      <c r="CO2324" s="41"/>
      <c r="CP2324" s="41"/>
      <c r="CQ2324" s="41"/>
      <c r="CR2324" s="41"/>
      <c r="CS2324" s="41"/>
      <c r="CT2324" s="41"/>
      <c r="CU2324" s="41"/>
      <c r="CV2324" s="41"/>
      <c r="CW2324" s="41"/>
      <c r="CX2324" s="41"/>
      <c r="CY2324" s="41"/>
      <c r="CZ2324" s="41"/>
      <c r="DA2324" s="41"/>
      <c r="DB2324" s="41"/>
      <c r="DC2324" s="41"/>
      <c r="DD2324" s="41"/>
      <c r="DE2324" s="41"/>
      <c r="DF2324" s="41"/>
      <c r="DG2324" s="41"/>
      <c r="DH2324" s="41"/>
      <c r="DI2324" s="41"/>
      <c r="DJ2324" s="41"/>
      <c r="DK2324" s="41"/>
      <c r="DL2324" s="41"/>
      <c r="DM2324" s="41"/>
      <c r="DN2324" s="41"/>
      <c r="DO2324" s="41"/>
      <c r="DP2324" s="41"/>
      <c r="DQ2324" s="41"/>
      <c r="DR2324" s="41"/>
      <c r="DS2324" s="41"/>
      <c r="DT2324" s="41"/>
      <c r="DU2324" s="41"/>
      <c r="DV2324" s="41"/>
      <c r="DW2324" s="41"/>
      <c r="DX2324" s="41"/>
      <c r="DY2324" s="41"/>
      <c r="DZ2324" s="41"/>
      <c r="EA2324" s="41"/>
      <c r="EB2324" s="41"/>
      <c r="EC2324" s="41"/>
      <c r="ED2324" s="41"/>
      <c r="EE2324" s="41"/>
      <c r="EF2324" s="41"/>
      <c r="EG2324" s="41"/>
      <c r="EH2324" s="41"/>
      <c r="EI2324" s="41"/>
      <c r="EJ2324" s="41"/>
      <c r="EK2324" s="41"/>
      <c r="EL2324" s="41"/>
      <c r="EM2324" s="41"/>
      <c r="EN2324" s="41"/>
      <c r="EO2324" s="41"/>
      <c r="EP2324" s="41"/>
      <c r="EQ2324" s="41"/>
      <c r="ER2324" s="41"/>
      <c r="ES2324" s="41"/>
      <c r="ET2324" s="41"/>
      <c r="EU2324" s="41"/>
      <c r="EV2324" s="41"/>
      <c r="EW2324" s="41"/>
      <c r="EX2324" s="41"/>
      <c r="EY2324" s="41"/>
      <c r="EZ2324" s="41"/>
      <c r="FA2324" s="41"/>
      <c r="FB2324" s="41"/>
      <c r="FC2324" s="41"/>
      <c r="FD2324" s="41"/>
      <c r="FE2324" s="41"/>
    </row>
    <row r="2325" spans="1:161" x14ac:dyDescent="0.25">
      <c r="A2325" s="249"/>
      <c r="B2325" s="249"/>
      <c r="C2325" s="242"/>
      <c r="D2325" s="227"/>
      <c r="E2325" s="227"/>
      <c r="F2325" s="229"/>
      <c r="G2325" s="215"/>
      <c r="H2325" s="57" t="s">
        <v>69</v>
      </c>
      <c r="I2325" s="1">
        <f>I2324*0.0214</f>
        <v>1420.38</v>
      </c>
      <c r="J2325" s="50">
        <f>I2325/D2321</f>
        <v>3.09</v>
      </c>
      <c r="K2325" s="50">
        <v>11</v>
      </c>
      <c r="L2325" s="41"/>
      <c r="M2325" s="41"/>
      <c r="N2325" s="41"/>
      <c r="O2325" s="41"/>
      <c r="P2325" s="41"/>
      <c r="Q2325" s="41"/>
      <c r="R2325" s="41"/>
      <c r="S2325" s="41"/>
      <c r="T2325" s="41"/>
      <c r="U2325" s="41"/>
      <c r="V2325" s="41"/>
      <c r="W2325" s="41"/>
      <c r="X2325" s="41"/>
      <c r="Y2325" s="41"/>
      <c r="Z2325" s="41"/>
      <c r="AA2325" s="41"/>
      <c r="AB2325" s="41"/>
      <c r="AC2325" s="41"/>
      <c r="AD2325" s="41"/>
      <c r="AE2325" s="41"/>
      <c r="AF2325" s="41"/>
      <c r="AG2325" s="41"/>
      <c r="AH2325" s="41"/>
      <c r="AI2325" s="41"/>
      <c r="AJ2325" s="41"/>
      <c r="AK2325" s="41"/>
      <c r="AL2325" s="41"/>
      <c r="AM2325" s="41"/>
      <c r="AN2325" s="41"/>
      <c r="AO2325" s="41"/>
      <c r="AP2325" s="41"/>
      <c r="AQ2325" s="41"/>
      <c r="AR2325" s="41"/>
      <c r="AS2325" s="41"/>
      <c r="AT2325" s="41"/>
      <c r="AU2325" s="41"/>
      <c r="AV2325" s="41"/>
      <c r="AW2325" s="41"/>
      <c r="AX2325" s="41"/>
      <c r="AY2325" s="41"/>
      <c r="AZ2325" s="41"/>
      <c r="BA2325" s="41"/>
      <c r="BB2325" s="41"/>
      <c r="BC2325" s="41"/>
      <c r="BD2325" s="41"/>
      <c r="BE2325" s="41"/>
      <c r="BF2325" s="41"/>
      <c r="BG2325" s="41"/>
      <c r="BH2325" s="41"/>
      <c r="BI2325" s="41"/>
      <c r="BJ2325" s="41"/>
      <c r="BK2325" s="41"/>
      <c r="BL2325" s="41"/>
      <c r="BM2325" s="41"/>
      <c r="BN2325" s="41"/>
      <c r="BO2325" s="41"/>
      <c r="BP2325" s="41"/>
      <c r="BQ2325" s="41"/>
      <c r="BR2325" s="41"/>
      <c r="BS2325" s="41"/>
      <c r="BT2325" s="41"/>
      <c r="BU2325" s="41"/>
      <c r="BV2325" s="41"/>
      <c r="BW2325" s="41"/>
      <c r="BX2325" s="41"/>
      <c r="BY2325" s="41"/>
      <c r="BZ2325" s="41"/>
      <c r="CA2325" s="41"/>
      <c r="CB2325" s="41"/>
      <c r="CC2325" s="41"/>
      <c r="CD2325" s="41"/>
      <c r="CE2325" s="41"/>
      <c r="CF2325" s="41"/>
      <c r="CG2325" s="41"/>
      <c r="CH2325" s="41"/>
      <c r="CI2325" s="41"/>
      <c r="CJ2325" s="41"/>
      <c r="CK2325" s="41"/>
      <c r="CL2325" s="41"/>
      <c r="CM2325" s="41"/>
      <c r="CN2325" s="41"/>
      <c r="CO2325" s="41"/>
      <c r="CP2325" s="41"/>
      <c r="CQ2325" s="41"/>
      <c r="CR2325" s="41"/>
      <c r="CS2325" s="41"/>
      <c r="CT2325" s="41"/>
      <c r="CU2325" s="41"/>
      <c r="CV2325" s="41"/>
      <c r="CW2325" s="41"/>
      <c r="CX2325" s="41"/>
      <c r="CY2325" s="41"/>
      <c r="CZ2325" s="41"/>
      <c r="DA2325" s="41"/>
      <c r="DB2325" s="41"/>
      <c r="DC2325" s="41"/>
      <c r="DD2325" s="41"/>
      <c r="DE2325" s="41"/>
      <c r="DF2325" s="41"/>
      <c r="DG2325" s="41"/>
      <c r="DH2325" s="41"/>
      <c r="DI2325" s="41"/>
      <c r="DJ2325" s="41"/>
      <c r="DK2325" s="41"/>
      <c r="DL2325" s="41"/>
      <c r="DM2325" s="41"/>
      <c r="DN2325" s="41"/>
      <c r="DO2325" s="41"/>
      <c r="DP2325" s="41"/>
      <c r="DQ2325" s="41"/>
      <c r="DR2325" s="41"/>
      <c r="DS2325" s="41"/>
      <c r="DT2325" s="41"/>
      <c r="DU2325" s="41"/>
      <c r="DV2325" s="41"/>
      <c r="DW2325" s="41"/>
      <c r="DX2325" s="41"/>
      <c r="DY2325" s="41"/>
      <c r="DZ2325" s="41"/>
      <c r="EA2325" s="41"/>
      <c r="EB2325" s="41"/>
      <c r="EC2325" s="41"/>
      <c r="ED2325" s="41"/>
      <c r="EE2325" s="41"/>
      <c r="EF2325" s="41"/>
      <c r="EG2325" s="41"/>
      <c r="EH2325" s="41"/>
      <c r="EI2325" s="41"/>
      <c r="EJ2325" s="41"/>
      <c r="EK2325" s="41"/>
      <c r="EL2325" s="41"/>
      <c r="EM2325" s="41"/>
      <c r="EN2325" s="41"/>
      <c r="EO2325" s="41"/>
      <c r="EP2325" s="41"/>
      <c r="EQ2325" s="41"/>
      <c r="ER2325" s="41"/>
      <c r="ES2325" s="41"/>
      <c r="ET2325" s="41"/>
      <c r="EU2325" s="41"/>
      <c r="EV2325" s="41"/>
      <c r="EW2325" s="41"/>
      <c r="EX2325" s="41"/>
      <c r="EY2325" s="41"/>
      <c r="EZ2325" s="41"/>
      <c r="FA2325" s="41"/>
      <c r="FB2325" s="41"/>
      <c r="FC2325" s="41"/>
      <c r="FD2325" s="41"/>
      <c r="FE2325" s="41"/>
    </row>
    <row r="2326" spans="1:161" x14ac:dyDescent="0.25">
      <c r="A2326" s="235">
        <f>A2321+1</f>
        <v>25</v>
      </c>
      <c r="B2326" s="235">
        <v>6926</v>
      </c>
      <c r="C2326" s="236" t="s">
        <v>331</v>
      </c>
      <c r="D2326" s="224">
        <v>2499.1999999999998</v>
      </c>
      <c r="E2326" s="224" t="s">
        <v>68</v>
      </c>
      <c r="F2326" s="225">
        <v>4</v>
      </c>
      <c r="G2326" s="108"/>
      <c r="H2326" s="57" t="s">
        <v>66</v>
      </c>
      <c r="I2326" s="50">
        <f>SUM(I2327:I2332)</f>
        <v>10124259.199999999</v>
      </c>
      <c r="J2326" s="50">
        <f>SUM(J2327:J2332)</f>
        <v>4051</v>
      </c>
      <c r="K2326" s="50">
        <f>SUM(K2327:K2332)</f>
        <v>4051</v>
      </c>
    </row>
    <row r="2327" spans="1:161" x14ac:dyDescent="0.25">
      <c r="A2327" s="235"/>
      <c r="B2327" s="235"/>
      <c r="C2327" s="236"/>
      <c r="D2327" s="224"/>
      <c r="E2327" s="224"/>
      <c r="F2327" s="225"/>
      <c r="G2327" s="216" t="s">
        <v>70</v>
      </c>
      <c r="H2327" s="57" t="s">
        <v>67</v>
      </c>
      <c r="I2327" s="50">
        <f>D2326*K2327</f>
        <v>7275171.2000000002</v>
      </c>
      <c r="J2327" s="50">
        <f>I2327/D2326</f>
        <v>2911</v>
      </c>
      <c r="K2327" s="50">
        <v>2911</v>
      </c>
    </row>
    <row r="2328" spans="1:161" x14ac:dyDescent="0.25">
      <c r="A2328" s="235"/>
      <c r="B2328" s="235"/>
      <c r="C2328" s="236"/>
      <c r="D2328" s="224"/>
      <c r="E2328" s="224"/>
      <c r="F2328" s="225"/>
      <c r="G2328" s="222"/>
      <c r="H2328" s="57" t="s">
        <v>69</v>
      </c>
      <c r="I2328" s="50">
        <f>D2326*K2328</f>
        <v>154950.39999999999</v>
      </c>
      <c r="J2328" s="50">
        <f>I2328/D2326</f>
        <v>62</v>
      </c>
      <c r="K2328" s="50">
        <v>62</v>
      </c>
    </row>
    <row r="2329" spans="1:161" x14ac:dyDescent="0.25">
      <c r="A2329" s="235"/>
      <c r="B2329" s="235"/>
      <c r="C2329" s="236"/>
      <c r="D2329" s="224"/>
      <c r="E2329" s="224"/>
      <c r="F2329" s="225"/>
      <c r="G2329" s="216" t="s">
        <v>71</v>
      </c>
      <c r="H2329" s="57" t="s">
        <v>67</v>
      </c>
      <c r="I2329" s="50">
        <f>D2326*K2329</f>
        <v>1282089.6000000001</v>
      </c>
      <c r="J2329" s="50">
        <f>I2329/D2326</f>
        <v>513</v>
      </c>
      <c r="K2329" s="50">
        <v>513</v>
      </c>
    </row>
    <row r="2330" spans="1:161" x14ac:dyDescent="0.25">
      <c r="A2330" s="235"/>
      <c r="B2330" s="235"/>
      <c r="C2330" s="236"/>
      <c r="D2330" s="224"/>
      <c r="E2330" s="224"/>
      <c r="F2330" s="225"/>
      <c r="G2330" s="222"/>
      <c r="H2330" s="57" t="s">
        <v>69</v>
      </c>
      <c r="I2330" s="50">
        <f>D2326*K2330</f>
        <v>27491.200000000001</v>
      </c>
      <c r="J2330" s="50">
        <f>I2330/D2326</f>
        <v>11</v>
      </c>
      <c r="K2330" s="50">
        <v>11</v>
      </c>
    </row>
    <row r="2331" spans="1:161" x14ac:dyDescent="0.25">
      <c r="A2331" s="235"/>
      <c r="B2331" s="235"/>
      <c r="C2331" s="236"/>
      <c r="D2331" s="224"/>
      <c r="E2331" s="224"/>
      <c r="F2331" s="225"/>
      <c r="G2331" s="216" t="s">
        <v>72</v>
      </c>
      <c r="H2331" s="57" t="s">
        <v>67</v>
      </c>
      <c r="I2331" s="50">
        <f>D2326*K2331</f>
        <v>1354566.4</v>
      </c>
      <c r="J2331" s="50">
        <f>I2331/D2326</f>
        <v>542</v>
      </c>
      <c r="K2331" s="50">
        <v>542</v>
      </c>
    </row>
    <row r="2332" spans="1:161" x14ac:dyDescent="0.25">
      <c r="A2332" s="235"/>
      <c r="B2332" s="235"/>
      <c r="C2332" s="236"/>
      <c r="D2332" s="224"/>
      <c r="E2332" s="224"/>
      <c r="F2332" s="225"/>
      <c r="G2332" s="222"/>
      <c r="H2332" s="57" t="s">
        <v>69</v>
      </c>
      <c r="I2332" s="50">
        <f>D2326*K2332</f>
        <v>29990.400000000001</v>
      </c>
      <c r="J2332" s="50">
        <f>I2332/D2326</f>
        <v>12</v>
      </c>
      <c r="K2332" s="50">
        <v>12</v>
      </c>
    </row>
    <row r="2333" spans="1:161" x14ac:dyDescent="0.25">
      <c r="A2333" s="235">
        <f>A2326+1</f>
        <v>26</v>
      </c>
      <c r="B2333" s="235">
        <v>6927</v>
      </c>
      <c r="C2333" s="236" t="s">
        <v>332</v>
      </c>
      <c r="D2333" s="224">
        <v>2655.8</v>
      </c>
      <c r="E2333" s="224" t="s">
        <v>68</v>
      </c>
      <c r="F2333" s="225">
        <v>4</v>
      </c>
      <c r="G2333" s="108"/>
      <c r="H2333" s="57" t="s">
        <v>66</v>
      </c>
      <c r="I2333" s="50">
        <f>SUM(I2334:I2339)</f>
        <v>10758645.800000001</v>
      </c>
      <c r="J2333" s="50">
        <f>SUM(J2334:J2339)</f>
        <v>4051</v>
      </c>
      <c r="K2333" s="50">
        <f>SUM(K2334:K2339)</f>
        <v>4051</v>
      </c>
    </row>
    <row r="2334" spans="1:161" x14ac:dyDescent="0.25">
      <c r="A2334" s="235"/>
      <c r="B2334" s="235"/>
      <c r="C2334" s="236"/>
      <c r="D2334" s="224"/>
      <c r="E2334" s="224"/>
      <c r="F2334" s="225"/>
      <c r="G2334" s="216" t="s">
        <v>70</v>
      </c>
      <c r="H2334" s="57" t="s">
        <v>67</v>
      </c>
      <c r="I2334" s="50">
        <f>D2333*K2334</f>
        <v>7731033.7999999998</v>
      </c>
      <c r="J2334" s="50">
        <f>I2334/D2333</f>
        <v>2911</v>
      </c>
      <c r="K2334" s="50">
        <v>2911</v>
      </c>
    </row>
    <row r="2335" spans="1:161" x14ac:dyDescent="0.25">
      <c r="A2335" s="235"/>
      <c r="B2335" s="235"/>
      <c r="C2335" s="236"/>
      <c r="D2335" s="224"/>
      <c r="E2335" s="224"/>
      <c r="F2335" s="225"/>
      <c r="G2335" s="222"/>
      <c r="H2335" s="57" t="s">
        <v>69</v>
      </c>
      <c r="I2335" s="50">
        <f>D2333*K2335</f>
        <v>164659.6</v>
      </c>
      <c r="J2335" s="50">
        <f>I2335/D2333</f>
        <v>62</v>
      </c>
      <c r="K2335" s="50">
        <v>62</v>
      </c>
    </row>
    <row r="2336" spans="1:161" x14ac:dyDescent="0.25">
      <c r="A2336" s="235"/>
      <c r="B2336" s="235"/>
      <c r="C2336" s="236"/>
      <c r="D2336" s="224"/>
      <c r="E2336" s="224"/>
      <c r="F2336" s="225"/>
      <c r="G2336" s="216" t="s">
        <v>71</v>
      </c>
      <c r="H2336" s="57" t="s">
        <v>67</v>
      </c>
      <c r="I2336" s="50">
        <f>D2333*K2336</f>
        <v>1362425.4</v>
      </c>
      <c r="J2336" s="50">
        <f>I2336/D2333</f>
        <v>513</v>
      </c>
      <c r="K2336" s="50">
        <v>513</v>
      </c>
    </row>
    <row r="2337" spans="1:161" x14ac:dyDescent="0.25">
      <c r="A2337" s="235"/>
      <c r="B2337" s="235"/>
      <c r="C2337" s="236"/>
      <c r="D2337" s="224"/>
      <c r="E2337" s="224"/>
      <c r="F2337" s="225"/>
      <c r="G2337" s="222"/>
      <c r="H2337" s="57" t="s">
        <v>69</v>
      </c>
      <c r="I2337" s="50">
        <f>D2333*K2337</f>
        <v>29213.8</v>
      </c>
      <c r="J2337" s="50">
        <f>I2337/D2333</f>
        <v>11</v>
      </c>
      <c r="K2337" s="50">
        <v>11</v>
      </c>
    </row>
    <row r="2338" spans="1:161" x14ac:dyDescent="0.25">
      <c r="A2338" s="235"/>
      <c r="B2338" s="235"/>
      <c r="C2338" s="236"/>
      <c r="D2338" s="224"/>
      <c r="E2338" s="224"/>
      <c r="F2338" s="225"/>
      <c r="G2338" s="216" t="s">
        <v>72</v>
      </c>
      <c r="H2338" s="57" t="s">
        <v>67</v>
      </c>
      <c r="I2338" s="50">
        <f>D2333*K2338</f>
        <v>1439443.6</v>
      </c>
      <c r="J2338" s="50">
        <f>I2338/D2333</f>
        <v>542</v>
      </c>
      <c r="K2338" s="50">
        <v>542</v>
      </c>
    </row>
    <row r="2339" spans="1:161" x14ac:dyDescent="0.25">
      <c r="A2339" s="235"/>
      <c r="B2339" s="235"/>
      <c r="C2339" s="236"/>
      <c r="D2339" s="224"/>
      <c r="E2339" s="224"/>
      <c r="F2339" s="225"/>
      <c r="G2339" s="222"/>
      <c r="H2339" s="57" t="s">
        <v>69</v>
      </c>
      <c r="I2339" s="50">
        <f>D2333*K2339</f>
        <v>31869.599999999999</v>
      </c>
      <c r="J2339" s="50">
        <f>I2339/D2333</f>
        <v>12</v>
      </c>
      <c r="K2339" s="50">
        <v>12</v>
      </c>
    </row>
    <row r="2340" spans="1:161" ht="15.75" customHeight="1" x14ac:dyDescent="0.25">
      <c r="A2340" s="237">
        <f>A2333+1</f>
        <v>27</v>
      </c>
      <c r="B2340" s="237">
        <v>8227</v>
      </c>
      <c r="C2340" s="241" t="s">
        <v>333</v>
      </c>
      <c r="D2340" s="220">
        <v>277.89999999999998</v>
      </c>
      <c r="E2340" s="220" t="s">
        <v>68</v>
      </c>
      <c r="F2340" s="228">
        <v>2</v>
      </c>
      <c r="G2340" s="216" t="s">
        <v>71</v>
      </c>
      <c r="H2340" s="57" t="s">
        <v>66</v>
      </c>
      <c r="I2340" s="50">
        <f>SUM(I2341:I2343)</f>
        <v>178689.7</v>
      </c>
      <c r="J2340" s="50">
        <f t="shared" ref="J2340:K2340" si="71">SUM(J2341:J2343)</f>
        <v>643</v>
      </c>
      <c r="K2340" s="50">
        <f t="shared" si="71"/>
        <v>643</v>
      </c>
    </row>
    <row r="2341" spans="1:161" ht="63" x14ac:dyDescent="0.25">
      <c r="A2341" s="248"/>
      <c r="B2341" s="248"/>
      <c r="C2341" s="242"/>
      <c r="D2341" s="221"/>
      <c r="E2341" s="221"/>
      <c r="F2341" s="229"/>
      <c r="G2341" s="217"/>
      <c r="H2341" s="57" t="s">
        <v>168</v>
      </c>
      <c r="I2341" s="50">
        <f>D2340*K2341</f>
        <v>33070.1</v>
      </c>
      <c r="J2341" s="50">
        <f>I2341/D2340</f>
        <v>119</v>
      </c>
      <c r="K2341" s="50">
        <f>21+98</f>
        <v>119</v>
      </c>
    </row>
    <row r="2342" spans="1:161" x14ac:dyDescent="0.25">
      <c r="A2342" s="248"/>
      <c r="B2342" s="248"/>
      <c r="C2342" s="242"/>
      <c r="D2342" s="221"/>
      <c r="E2342" s="221"/>
      <c r="F2342" s="229"/>
      <c r="G2342" s="217"/>
      <c r="H2342" s="57" t="s">
        <v>67</v>
      </c>
      <c r="I2342" s="50">
        <f>D2340*K2342</f>
        <v>142562.70000000001</v>
      </c>
      <c r="J2342" s="50">
        <f>I2342/D2340</f>
        <v>513</v>
      </c>
      <c r="K2342" s="50">
        <v>513</v>
      </c>
    </row>
    <row r="2343" spans="1:161" x14ac:dyDescent="0.25">
      <c r="A2343" s="249"/>
      <c r="B2343" s="249"/>
      <c r="C2343" s="243"/>
      <c r="D2343" s="227"/>
      <c r="E2343" s="227"/>
      <c r="F2343" s="230"/>
      <c r="G2343" s="222"/>
      <c r="H2343" s="57" t="s">
        <v>69</v>
      </c>
      <c r="I2343" s="50">
        <f>D2340*K2343</f>
        <v>3056.9</v>
      </c>
      <c r="J2343" s="50">
        <f>I2343/D2340</f>
        <v>11</v>
      </c>
      <c r="K2343" s="50">
        <v>11</v>
      </c>
    </row>
    <row r="2344" spans="1:161" ht="15.75" customHeight="1" x14ac:dyDescent="0.25">
      <c r="A2344" s="237">
        <f>A2340+1</f>
        <v>28</v>
      </c>
      <c r="B2344" s="237">
        <v>8228</v>
      </c>
      <c r="C2344" s="241" t="s">
        <v>334</v>
      </c>
      <c r="D2344" s="220">
        <v>481.76</v>
      </c>
      <c r="E2344" s="220" t="s">
        <v>167</v>
      </c>
      <c r="F2344" s="228">
        <v>2</v>
      </c>
      <c r="G2344" s="216" t="s">
        <v>71</v>
      </c>
      <c r="H2344" s="57" t="s">
        <v>66</v>
      </c>
      <c r="I2344" s="50">
        <f>SUM(I2345:I2347)</f>
        <v>272676.15999999997</v>
      </c>
      <c r="J2344" s="50">
        <f t="shared" ref="J2344" si="72">SUM(J2345:J2347)</f>
        <v>566</v>
      </c>
      <c r="K2344" s="50">
        <f t="shared" ref="K2344" si="73">SUM(K2345:K2347)</f>
        <v>566</v>
      </c>
    </row>
    <row r="2345" spans="1:161" ht="63" x14ac:dyDescent="0.25">
      <c r="A2345" s="248"/>
      <c r="B2345" s="248"/>
      <c r="C2345" s="242"/>
      <c r="D2345" s="221"/>
      <c r="E2345" s="221"/>
      <c r="F2345" s="229"/>
      <c r="G2345" s="217"/>
      <c r="H2345" s="57" t="s">
        <v>168</v>
      </c>
      <c r="I2345" s="50">
        <f>D2344*K2345</f>
        <v>20233.919999999998</v>
      </c>
      <c r="J2345" s="50">
        <f>I2345/D2344</f>
        <v>42</v>
      </c>
      <c r="K2345" s="50">
        <v>42</v>
      </c>
    </row>
    <row r="2346" spans="1:161" x14ac:dyDescent="0.25">
      <c r="A2346" s="248"/>
      <c r="B2346" s="248"/>
      <c r="C2346" s="242"/>
      <c r="D2346" s="221"/>
      <c r="E2346" s="221"/>
      <c r="F2346" s="229"/>
      <c r="G2346" s="217"/>
      <c r="H2346" s="57" t="s">
        <v>67</v>
      </c>
      <c r="I2346" s="50">
        <f>D2344*K2346</f>
        <v>247142.88</v>
      </c>
      <c r="J2346" s="50">
        <f>I2346/D2344</f>
        <v>513</v>
      </c>
      <c r="K2346" s="50">
        <v>513</v>
      </c>
    </row>
    <row r="2347" spans="1:161" x14ac:dyDescent="0.25">
      <c r="A2347" s="249"/>
      <c r="B2347" s="249"/>
      <c r="C2347" s="243"/>
      <c r="D2347" s="227"/>
      <c r="E2347" s="227"/>
      <c r="F2347" s="230"/>
      <c r="G2347" s="222"/>
      <c r="H2347" s="57" t="s">
        <v>69</v>
      </c>
      <c r="I2347" s="50">
        <f>D2344*K2347</f>
        <v>5299.36</v>
      </c>
      <c r="J2347" s="50">
        <f>I2347/D2344</f>
        <v>11</v>
      </c>
      <c r="K2347" s="50">
        <v>11</v>
      </c>
    </row>
    <row r="2348" spans="1:161" x14ac:dyDescent="0.25">
      <c r="A2348" s="51" t="s">
        <v>52</v>
      </c>
      <c r="B2348" s="63"/>
      <c r="C2348" s="51"/>
      <c r="D2348" s="50">
        <f>D2349</f>
        <v>909.3</v>
      </c>
      <c r="E2348" s="68"/>
      <c r="F2348" s="68"/>
      <c r="G2348" s="109"/>
      <c r="H2348" s="64"/>
      <c r="I2348" s="50">
        <f>I2349</f>
        <v>6688998.3300000001</v>
      </c>
      <c r="J2348" s="50"/>
      <c r="K2348" s="50"/>
      <c r="L2348" s="41"/>
      <c r="M2348" s="41"/>
      <c r="N2348" s="41"/>
      <c r="O2348" s="41"/>
      <c r="P2348" s="41"/>
      <c r="Q2348" s="41"/>
      <c r="R2348" s="41"/>
      <c r="S2348" s="41"/>
      <c r="T2348" s="41"/>
      <c r="U2348" s="41"/>
      <c r="V2348" s="41"/>
      <c r="W2348" s="41"/>
      <c r="X2348" s="41"/>
      <c r="Y2348" s="41"/>
      <c r="Z2348" s="41"/>
      <c r="AA2348" s="41"/>
      <c r="AB2348" s="41"/>
      <c r="AC2348" s="41"/>
      <c r="AD2348" s="41"/>
      <c r="AE2348" s="41"/>
      <c r="AF2348" s="41"/>
      <c r="AG2348" s="41"/>
      <c r="AH2348" s="41"/>
      <c r="AI2348" s="41"/>
      <c r="AJ2348" s="41"/>
      <c r="AK2348" s="41"/>
      <c r="AL2348" s="41"/>
      <c r="AM2348" s="41"/>
      <c r="AN2348" s="41"/>
      <c r="AO2348" s="41"/>
      <c r="AP2348" s="41"/>
      <c r="AQ2348" s="41"/>
      <c r="AR2348" s="41"/>
      <c r="AS2348" s="41"/>
      <c r="AT2348" s="41"/>
      <c r="AU2348" s="41"/>
      <c r="AV2348" s="41"/>
      <c r="AW2348" s="41"/>
      <c r="AX2348" s="41"/>
      <c r="AY2348" s="41"/>
      <c r="AZ2348" s="41"/>
      <c r="BA2348" s="41"/>
      <c r="BB2348" s="41"/>
      <c r="BC2348" s="41"/>
      <c r="BD2348" s="41"/>
      <c r="BE2348" s="41"/>
      <c r="BF2348" s="41"/>
      <c r="BG2348" s="41"/>
      <c r="BH2348" s="41"/>
      <c r="BI2348" s="41"/>
      <c r="BJ2348" s="41"/>
      <c r="BK2348" s="41"/>
      <c r="BL2348" s="41"/>
      <c r="BM2348" s="41"/>
      <c r="BN2348" s="41"/>
      <c r="BO2348" s="41"/>
      <c r="BP2348" s="41"/>
      <c r="BQ2348" s="41"/>
      <c r="BR2348" s="41"/>
      <c r="BS2348" s="41"/>
      <c r="BT2348" s="41"/>
      <c r="BU2348" s="41"/>
      <c r="BV2348" s="41"/>
      <c r="BW2348" s="41"/>
      <c r="BX2348" s="41"/>
      <c r="BY2348" s="41"/>
      <c r="BZ2348" s="41"/>
      <c r="CA2348" s="41"/>
      <c r="CB2348" s="41"/>
      <c r="CC2348" s="41"/>
      <c r="CD2348" s="41"/>
      <c r="CE2348" s="41"/>
      <c r="CF2348" s="41"/>
      <c r="CG2348" s="41"/>
      <c r="CH2348" s="41"/>
      <c r="CI2348" s="41"/>
      <c r="CJ2348" s="41"/>
      <c r="CK2348" s="41"/>
      <c r="CL2348" s="41"/>
      <c r="CM2348" s="41"/>
      <c r="CN2348" s="41"/>
      <c r="CO2348" s="41"/>
      <c r="CP2348" s="41"/>
      <c r="CQ2348" s="41"/>
      <c r="CR2348" s="41"/>
      <c r="CS2348" s="41"/>
      <c r="CT2348" s="41"/>
      <c r="CU2348" s="41"/>
      <c r="CV2348" s="41"/>
      <c r="CW2348" s="41"/>
      <c r="CX2348" s="41"/>
      <c r="CY2348" s="41"/>
      <c r="CZ2348" s="41"/>
      <c r="DA2348" s="41"/>
      <c r="DB2348" s="41"/>
      <c r="DC2348" s="41"/>
      <c r="DD2348" s="41"/>
      <c r="DE2348" s="41"/>
      <c r="DF2348" s="41"/>
      <c r="DG2348" s="41"/>
      <c r="DH2348" s="41"/>
      <c r="DI2348" s="41"/>
      <c r="DJ2348" s="41"/>
      <c r="DK2348" s="41"/>
      <c r="DL2348" s="41"/>
      <c r="DM2348" s="41"/>
      <c r="DN2348" s="41"/>
      <c r="DO2348" s="41"/>
      <c r="DP2348" s="41"/>
      <c r="DQ2348" s="41"/>
      <c r="DR2348" s="41"/>
      <c r="DS2348" s="41"/>
      <c r="DT2348" s="41"/>
      <c r="DU2348" s="41"/>
      <c r="DV2348" s="41"/>
      <c r="DW2348" s="41"/>
      <c r="DX2348" s="41"/>
      <c r="DY2348" s="41"/>
      <c r="DZ2348" s="41"/>
      <c r="EA2348" s="41"/>
      <c r="EB2348" s="41"/>
      <c r="EC2348" s="41"/>
      <c r="ED2348" s="41"/>
      <c r="EE2348" s="41"/>
      <c r="EF2348" s="41"/>
      <c r="EG2348" s="41"/>
      <c r="EH2348" s="41"/>
      <c r="EI2348" s="41"/>
      <c r="EJ2348" s="41"/>
      <c r="EK2348" s="41"/>
      <c r="EL2348" s="41"/>
      <c r="EM2348" s="41"/>
      <c r="EN2348" s="41"/>
      <c r="EO2348" s="41"/>
      <c r="EP2348" s="41"/>
      <c r="EQ2348" s="41"/>
      <c r="ER2348" s="41"/>
      <c r="ES2348" s="41"/>
      <c r="ET2348" s="41"/>
      <c r="EU2348" s="41"/>
      <c r="EV2348" s="41"/>
      <c r="EW2348" s="41"/>
      <c r="EX2348" s="41"/>
      <c r="EY2348" s="41"/>
      <c r="EZ2348" s="41"/>
      <c r="FA2348" s="41"/>
      <c r="FB2348" s="41"/>
      <c r="FC2348" s="41"/>
      <c r="FD2348" s="41"/>
      <c r="FE2348" s="41"/>
    </row>
    <row r="2349" spans="1:161" x14ac:dyDescent="0.25">
      <c r="A2349" s="216">
        <v>1</v>
      </c>
      <c r="B2349" s="216">
        <v>4999</v>
      </c>
      <c r="C2349" s="218" t="s">
        <v>162</v>
      </c>
      <c r="D2349" s="220">
        <v>909.3</v>
      </c>
      <c r="E2349" s="228" t="s">
        <v>68</v>
      </c>
      <c r="F2349" s="228">
        <v>2</v>
      </c>
      <c r="G2349" s="216" t="s">
        <v>65</v>
      </c>
      <c r="H2349" s="57" t="s">
        <v>66</v>
      </c>
      <c r="I2349" s="50">
        <f>I2350+I2351</f>
        <v>6688998.3300000001</v>
      </c>
      <c r="J2349" s="50">
        <f t="shared" ref="J2349:K2349" si="74">J2350+J2351</f>
        <v>7356.21</v>
      </c>
      <c r="K2349" s="50">
        <f t="shared" si="74"/>
        <v>8203</v>
      </c>
      <c r="L2349" s="41"/>
      <c r="M2349" s="41"/>
      <c r="N2349" s="41"/>
      <c r="O2349" s="41"/>
      <c r="P2349" s="41"/>
      <c r="Q2349" s="41"/>
      <c r="R2349" s="41"/>
      <c r="S2349" s="41"/>
      <c r="T2349" s="41"/>
      <c r="U2349" s="41"/>
      <c r="V2349" s="41"/>
      <c r="W2349" s="41"/>
      <c r="X2349" s="41"/>
      <c r="Y2349" s="41"/>
      <c r="Z2349" s="41"/>
      <c r="AA2349" s="41"/>
      <c r="AB2349" s="41"/>
      <c r="AC2349" s="41"/>
      <c r="AD2349" s="41"/>
      <c r="AE2349" s="41"/>
      <c r="AF2349" s="41"/>
      <c r="AG2349" s="41"/>
      <c r="AH2349" s="41"/>
      <c r="AI2349" s="41"/>
      <c r="AJ2349" s="41"/>
      <c r="AK2349" s="41"/>
      <c r="AL2349" s="41"/>
      <c r="AM2349" s="41"/>
      <c r="AN2349" s="41"/>
      <c r="AO2349" s="41"/>
      <c r="AP2349" s="41"/>
      <c r="AQ2349" s="41"/>
      <c r="AR2349" s="41"/>
      <c r="AS2349" s="41"/>
      <c r="AT2349" s="41"/>
      <c r="AU2349" s="41"/>
      <c r="AV2349" s="41"/>
      <c r="AW2349" s="41"/>
      <c r="AX2349" s="41"/>
      <c r="AY2349" s="41"/>
      <c r="AZ2349" s="41"/>
      <c r="BA2349" s="41"/>
      <c r="BB2349" s="41"/>
      <c r="BC2349" s="41"/>
      <c r="BD2349" s="41"/>
      <c r="BE2349" s="41"/>
      <c r="BF2349" s="41"/>
      <c r="BG2349" s="41"/>
      <c r="BH2349" s="41"/>
      <c r="BI2349" s="41"/>
      <c r="BJ2349" s="41"/>
      <c r="BK2349" s="41"/>
      <c r="BL2349" s="41"/>
      <c r="BM2349" s="41"/>
      <c r="BN2349" s="41"/>
      <c r="BO2349" s="41"/>
      <c r="BP2349" s="41"/>
      <c r="BQ2349" s="41"/>
      <c r="BR2349" s="41"/>
      <c r="BS2349" s="41"/>
      <c r="BT2349" s="41"/>
      <c r="BU2349" s="41"/>
      <c r="BV2349" s="41"/>
      <c r="BW2349" s="41"/>
      <c r="BX2349" s="41"/>
      <c r="BY2349" s="41"/>
      <c r="BZ2349" s="41"/>
      <c r="CA2349" s="41"/>
      <c r="CB2349" s="41"/>
      <c r="CC2349" s="41"/>
      <c r="CD2349" s="41"/>
      <c r="CE2349" s="41"/>
      <c r="CF2349" s="41"/>
      <c r="CG2349" s="41"/>
      <c r="CH2349" s="41"/>
      <c r="CI2349" s="41"/>
      <c r="CJ2349" s="41"/>
      <c r="CK2349" s="41"/>
      <c r="CL2349" s="41"/>
      <c r="CM2349" s="41"/>
      <c r="CN2349" s="41"/>
      <c r="CO2349" s="41"/>
      <c r="CP2349" s="41"/>
      <c r="CQ2349" s="41"/>
      <c r="CR2349" s="41"/>
      <c r="CS2349" s="41"/>
      <c r="CT2349" s="41"/>
      <c r="CU2349" s="41"/>
      <c r="CV2349" s="41"/>
      <c r="CW2349" s="41"/>
      <c r="CX2349" s="41"/>
      <c r="CY2349" s="41"/>
      <c r="CZ2349" s="41"/>
      <c r="DA2349" s="41"/>
      <c r="DB2349" s="41"/>
      <c r="DC2349" s="41"/>
      <c r="DD2349" s="41"/>
      <c r="DE2349" s="41"/>
      <c r="DF2349" s="41"/>
      <c r="DG2349" s="41"/>
      <c r="DH2349" s="41"/>
      <c r="DI2349" s="41"/>
      <c r="DJ2349" s="41"/>
      <c r="DK2349" s="41"/>
      <c r="DL2349" s="41"/>
      <c r="DM2349" s="41"/>
      <c r="DN2349" s="41"/>
      <c r="DO2349" s="41"/>
      <c r="DP2349" s="41"/>
      <c r="DQ2349" s="41"/>
      <c r="DR2349" s="41"/>
      <c r="DS2349" s="41"/>
      <c r="DT2349" s="41"/>
      <c r="DU2349" s="41"/>
      <c r="DV2349" s="41"/>
      <c r="DW2349" s="41"/>
      <c r="DX2349" s="41"/>
      <c r="DY2349" s="41"/>
      <c r="DZ2349" s="41"/>
      <c r="EA2349" s="41"/>
      <c r="EB2349" s="41"/>
      <c r="EC2349" s="41"/>
      <c r="ED2349" s="41"/>
      <c r="EE2349" s="41"/>
      <c r="EF2349" s="41"/>
      <c r="EG2349" s="41"/>
      <c r="EH2349" s="41"/>
      <c r="EI2349" s="41"/>
      <c r="EJ2349" s="41"/>
      <c r="EK2349" s="41"/>
      <c r="EL2349" s="41"/>
      <c r="EM2349" s="41"/>
      <c r="EN2349" s="41"/>
      <c r="EO2349" s="41"/>
      <c r="EP2349" s="41"/>
      <c r="EQ2349" s="41"/>
      <c r="ER2349" s="41"/>
      <c r="ES2349" s="41"/>
      <c r="ET2349" s="41"/>
      <c r="EU2349" s="41"/>
      <c r="EV2349" s="41"/>
      <c r="EW2349" s="41"/>
      <c r="EX2349" s="41"/>
      <c r="EY2349" s="41"/>
      <c r="EZ2349" s="41"/>
      <c r="FA2349" s="41"/>
      <c r="FB2349" s="41"/>
      <c r="FC2349" s="41"/>
      <c r="FD2349" s="41"/>
      <c r="FE2349" s="41"/>
    </row>
    <row r="2350" spans="1:161" x14ac:dyDescent="0.25">
      <c r="A2350" s="217"/>
      <c r="B2350" s="217"/>
      <c r="C2350" s="219"/>
      <c r="D2350" s="221"/>
      <c r="E2350" s="229"/>
      <c r="F2350" s="229"/>
      <c r="G2350" s="217"/>
      <c r="H2350" s="57" t="s">
        <v>67</v>
      </c>
      <c r="I2350" s="50">
        <f>(5315.33+35.04)*1.2*1.02*1000</f>
        <v>6548852.8799999999</v>
      </c>
      <c r="J2350" s="50">
        <f>I2350/D2348+0.01</f>
        <v>7202.09</v>
      </c>
      <c r="K2350" s="50">
        <v>8031</v>
      </c>
      <c r="L2350" s="41"/>
      <c r="M2350" s="41"/>
      <c r="N2350" s="41"/>
      <c r="O2350" s="41"/>
      <c r="P2350" s="41"/>
      <c r="Q2350" s="41"/>
      <c r="R2350" s="41"/>
      <c r="S2350" s="41"/>
      <c r="T2350" s="41"/>
      <c r="U2350" s="41"/>
      <c r="V2350" s="41"/>
      <c r="W2350" s="41"/>
      <c r="X2350" s="41"/>
      <c r="Y2350" s="41"/>
      <c r="Z2350" s="41"/>
      <c r="AA2350" s="41"/>
      <c r="AB2350" s="41"/>
      <c r="AC2350" s="41"/>
      <c r="AD2350" s="41"/>
      <c r="AE2350" s="41"/>
      <c r="AF2350" s="41"/>
      <c r="AG2350" s="41"/>
      <c r="AH2350" s="41"/>
      <c r="AI2350" s="41"/>
      <c r="AJ2350" s="41"/>
      <c r="AK2350" s="41"/>
      <c r="AL2350" s="41"/>
      <c r="AM2350" s="41"/>
      <c r="AN2350" s="41"/>
      <c r="AO2350" s="41"/>
      <c r="AP2350" s="41"/>
      <c r="AQ2350" s="41"/>
      <c r="AR2350" s="41"/>
      <c r="AS2350" s="41"/>
      <c r="AT2350" s="41"/>
      <c r="AU2350" s="41"/>
      <c r="AV2350" s="41"/>
      <c r="AW2350" s="41"/>
      <c r="AX2350" s="41"/>
      <c r="AY2350" s="41"/>
      <c r="AZ2350" s="41"/>
      <c r="BA2350" s="41"/>
      <c r="BB2350" s="41"/>
      <c r="BC2350" s="41"/>
      <c r="BD2350" s="41"/>
      <c r="BE2350" s="41"/>
      <c r="BF2350" s="41"/>
      <c r="BG2350" s="41"/>
      <c r="BH2350" s="41"/>
      <c r="BI2350" s="41"/>
      <c r="BJ2350" s="41"/>
      <c r="BK2350" s="41"/>
      <c r="BL2350" s="41"/>
      <c r="BM2350" s="41"/>
      <c r="BN2350" s="41"/>
      <c r="BO2350" s="41"/>
      <c r="BP2350" s="41"/>
      <c r="BQ2350" s="41"/>
      <c r="BR2350" s="41"/>
      <c r="BS2350" s="41"/>
      <c r="BT2350" s="41"/>
      <c r="BU2350" s="41"/>
      <c r="BV2350" s="41"/>
      <c r="BW2350" s="41"/>
      <c r="BX2350" s="41"/>
      <c r="BY2350" s="41"/>
      <c r="BZ2350" s="41"/>
      <c r="CA2350" s="41"/>
      <c r="CB2350" s="41"/>
      <c r="CC2350" s="41"/>
      <c r="CD2350" s="41"/>
      <c r="CE2350" s="41"/>
      <c r="CF2350" s="41"/>
      <c r="CG2350" s="41"/>
      <c r="CH2350" s="41"/>
      <c r="CI2350" s="41"/>
      <c r="CJ2350" s="41"/>
      <c r="CK2350" s="41"/>
      <c r="CL2350" s="41"/>
      <c r="CM2350" s="41"/>
      <c r="CN2350" s="41"/>
      <c r="CO2350" s="41"/>
      <c r="CP2350" s="41"/>
      <c r="CQ2350" s="41"/>
      <c r="CR2350" s="41"/>
      <c r="CS2350" s="41"/>
      <c r="CT2350" s="41"/>
      <c r="CU2350" s="41"/>
      <c r="CV2350" s="41"/>
      <c r="CW2350" s="41"/>
      <c r="CX2350" s="41"/>
      <c r="CY2350" s="41"/>
      <c r="CZ2350" s="41"/>
      <c r="DA2350" s="41"/>
      <c r="DB2350" s="41"/>
      <c r="DC2350" s="41"/>
      <c r="DD2350" s="41"/>
      <c r="DE2350" s="41"/>
      <c r="DF2350" s="41"/>
      <c r="DG2350" s="41"/>
      <c r="DH2350" s="41"/>
      <c r="DI2350" s="41"/>
      <c r="DJ2350" s="41"/>
      <c r="DK2350" s="41"/>
      <c r="DL2350" s="41"/>
      <c r="DM2350" s="41"/>
      <c r="DN2350" s="41"/>
      <c r="DO2350" s="41"/>
      <c r="DP2350" s="41"/>
      <c r="DQ2350" s="41"/>
      <c r="DR2350" s="41"/>
      <c r="DS2350" s="41"/>
      <c r="DT2350" s="41"/>
      <c r="DU2350" s="41"/>
      <c r="DV2350" s="41"/>
      <c r="DW2350" s="41"/>
      <c r="DX2350" s="41"/>
      <c r="DY2350" s="41"/>
      <c r="DZ2350" s="41"/>
      <c r="EA2350" s="41"/>
      <c r="EB2350" s="41"/>
      <c r="EC2350" s="41"/>
      <c r="ED2350" s="41"/>
      <c r="EE2350" s="41"/>
      <c r="EF2350" s="41"/>
      <c r="EG2350" s="41"/>
      <c r="EH2350" s="41"/>
      <c r="EI2350" s="41"/>
      <c r="EJ2350" s="41"/>
      <c r="EK2350" s="41"/>
      <c r="EL2350" s="41"/>
      <c r="EM2350" s="41"/>
      <c r="EN2350" s="41"/>
      <c r="EO2350" s="41"/>
      <c r="EP2350" s="41"/>
      <c r="EQ2350" s="41"/>
      <c r="ER2350" s="41"/>
      <c r="ES2350" s="41"/>
      <c r="ET2350" s="41"/>
      <c r="EU2350" s="41"/>
      <c r="EV2350" s="41"/>
      <c r="EW2350" s="41"/>
      <c r="EX2350" s="41"/>
      <c r="EY2350" s="41"/>
      <c r="EZ2350" s="41"/>
      <c r="FA2350" s="41"/>
      <c r="FB2350" s="41"/>
      <c r="FC2350" s="41"/>
      <c r="FD2350" s="41"/>
      <c r="FE2350" s="41"/>
    </row>
    <row r="2351" spans="1:161" x14ac:dyDescent="0.25">
      <c r="A2351" s="222">
        <v>1174</v>
      </c>
      <c r="B2351" s="222"/>
      <c r="C2351" s="226"/>
      <c r="D2351" s="227"/>
      <c r="E2351" s="230"/>
      <c r="F2351" s="230"/>
      <c r="G2351" s="222"/>
      <c r="H2351" s="57" t="s">
        <v>69</v>
      </c>
      <c r="I2351" s="50">
        <f>I2350*0.0214</f>
        <v>140145.45000000001</v>
      </c>
      <c r="J2351" s="50">
        <f>I2351/D2349</f>
        <v>154.12</v>
      </c>
      <c r="K2351" s="50">
        <v>172</v>
      </c>
      <c r="L2351" s="41"/>
      <c r="M2351" s="41"/>
      <c r="N2351" s="41"/>
      <c r="O2351" s="41"/>
      <c r="P2351" s="41"/>
      <c r="Q2351" s="41"/>
      <c r="R2351" s="41"/>
      <c r="S2351" s="41"/>
      <c r="T2351" s="41"/>
      <c r="U2351" s="41"/>
      <c r="V2351" s="41"/>
      <c r="W2351" s="41"/>
      <c r="X2351" s="41"/>
      <c r="Y2351" s="41"/>
      <c r="Z2351" s="41"/>
      <c r="AA2351" s="41"/>
      <c r="AB2351" s="41"/>
      <c r="AC2351" s="41"/>
      <c r="AD2351" s="41"/>
      <c r="AE2351" s="41"/>
      <c r="AF2351" s="41"/>
      <c r="AG2351" s="41"/>
      <c r="AH2351" s="41"/>
      <c r="AI2351" s="41"/>
      <c r="AJ2351" s="41"/>
      <c r="AK2351" s="41"/>
      <c r="AL2351" s="41"/>
      <c r="AM2351" s="41"/>
      <c r="AN2351" s="41"/>
      <c r="AO2351" s="41"/>
      <c r="AP2351" s="41"/>
      <c r="AQ2351" s="41"/>
      <c r="AR2351" s="41"/>
      <c r="AS2351" s="41"/>
      <c r="AT2351" s="41"/>
      <c r="AU2351" s="41"/>
      <c r="AV2351" s="41"/>
      <c r="AW2351" s="41"/>
      <c r="AX2351" s="41"/>
      <c r="AY2351" s="41"/>
      <c r="AZ2351" s="41"/>
      <c r="BA2351" s="41"/>
      <c r="BB2351" s="41"/>
      <c r="BC2351" s="41"/>
      <c r="BD2351" s="41"/>
      <c r="BE2351" s="41"/>
      <c r="BF2351" s="41"/>
      <c r="BG2351" s="41"/>
      <c r="BH2351" s="41"/>
      <c r="BI2351" s="41"/>
      <c r="BJ2351" s="41"/>
      <c r="BK2351" s="41"/>
      <c r="BL2351" s="41"/>
      <c r="BM2351" s="41"/>
      <c r="BN2351" s="41"/>
      <c r="BO2351" s="41"/>
      <c r="BP2351" s="41"/>
      <c r="BQ2351" s="41"/>
      <c r="BR2351" s="41"/>
      <c r="BS2351" s="41"/>
      <c r="BT2351" s="41"/>
      <c r="BU2351" s="41"/>
      <c r="BV2351" s="41"/>
      <c r="BW2351" s="41"/>
      <c r="BX2351" s="41"/>
      <c r="BY2351" s="41"/>
      <c r="BZ2351" s="41"/>
      <c r="CA2351" s="41"/>
      <c r="CB2351" s="41"/>
      <c r="CC2351" s="41"/>
      <c r="CD2351" s="41"/>
      <c r="CE2351" s="41"/>
      <c r="CF2351" s="41"/>
      <c r="CG2351" s="41"/>
      <c r="CH2351" s="41"/>
      <c r="CI2351" s="41"/>
      <c r="CJ2351" s="41"/>
      <c r="CK2351" s="41"/>
      <c r="CL2351" s="41"/>
      <c r="CM2351" s="41"/>
      <c r="CN2351" s="41"/>
      <c r="CO2351" s="41"/>
      <c r="CP2351" s="41"/>
      <c r="CQ2351" s="41"/>
      <c r="CR2351" s="41"/>
      <c r="CS2351" s="41"/>
      <c r="CT2351" s="41"/>
      <c r="CU2351" s="41"/>
      <c r="CV2351" s="41"/>
      <c r="CW2351" s="41"/>
      <c r="CX2351" s="41"/>
      <c r="CY2351" s="41"/>
      <c r="CZ2351" s="41"/>
      <c r="DA2351" s="41"/>
      <c r="DB2351" s="41"/>
      <c r="DC2351" s="41"/>
      <c r="DD2351" s="41"/>
      <c r="DE2351" s="41"/>
      <c r="DF2351" s="41"/>
      <c r="DG2351" s="41"/>
      <c r="DH2351" s="41"/>
      <c r="DI2351" s="41"/>
      <c r="DJ2351" s="41"/>
      <c r="DK2351" s="41"/>
      <c r="DL2351" s="41"/>
      <c r="DM2351" s="41"/>
      <c r="DN2351" s="41"/>
      <c r="DO2351" s="41"/>
      <c r="DP2351" s="41"/>
      <c r="DQ2351" s="41"/>
      <c r="DR2351" s="41"/>
      <c r="DS2351" s="41"/>
      <c r="DT2351" s="41"/>
      <c r="DU2351" s="41"/>
      <c r="DV2351" s="41"/>
      <c r="DW2351" s="41"/>
      <c r="DX2351" s="41"/>
      <c r="DY2351" s="41"/>
      <c r="DZ2351" s="41"/>
      <c r="EA2351" s="41"/>
      <c r="EB2351" s="41"/>
      <c r="EC2351" s="41"/>
      <c r="ED2351" s="41"/>
      <c r="EE2351" s="41"/>
      <c r="EF2351" s="41"/>
      <c r="EG2351" s="41"/>
      <c r="EH2351" s="41"/>
      <c r="EI2351" s="41"/>
      <c r="EJ2351" s="41"/>
      <c r="EK2351" s="41"/>
      <c r="EL2351" s="41"/>
      <c r="EM2351" s="41"/>
      <c r="EN2351" s="41"/>
      <c r="EO2351" s="41"/>
      <c r="EP2351" s="41"/>
      <c r="EQ2351" s="41"/>
      <c r="ER2351" s="41"/>
      <c r="ES2351" s="41"/>
      <c r="ET2351" s="41"/>
      <c r="EU2351" s="41"/>
      <c r="EV2351" s="41"/>
      <c r="EW2351" s="41"/>
      <c r="EX2351" s="41"/>
      <c r="EY2351" s="41"/>
      <c r="EZ2351" s="41"/>
      <c r="FA2351" s="41"/>
      <c r="FB2351" s="41"/>
      <c r="FC2351" s="41"/>
      <c r="FD2351" s="41"/>
      <c r="FE2351" s="41"/>
    </row>
    <row r="2352" spans="1:161" x14ac:dyDescent="0.25">
      <c r="A2352" s="51" t="s">
        <v>45</v>
      </c>
      <c r="B2352" s="63"/>
      <c r="C2352" s="51"/>
      <c r="D2352" s="50">
        <f>D2353+D2356</f>
        <v>1727</v>
      </c>
      <c r="E2352" s="53"/>
      <c r="F2352" s="53"/>
      <c r="G2352" s="109"/>
      <c r="H2352" s="64"/>
      <c r="I2352" s="50">
        <f>I2353+I2356</f>
        <v>6845819.5300000003</v>
      </c>
      <c r="J2352" s="50"/>
      <c r="K2352" s="50"/>
      <c r="L2352" s="41"/>
      <c r="M2352" s="41"/>
      <c r="N2352" s="41"/>
      <c r="O2352" s="41"/>
      <c r="P2352" s="41"/>
      <c r="Q2352" s="41"/>
      <c r="R2352" s="41"/>
      <c r="S2352" s="41"/>
      <c r="T2352" s="41"/>
      <c r="U2352" s="41"/>
      <c r="V2352" s="41"/>
      <c r="W2352" s="41"/>
      <c r="X2352" s="41"/>
      <c r="Y2352" s="41"/>
      <c r="Z2352" s="41"/>
      <c r="AA2352" s="41"/>
      <c r="AB2352" s="41"/>
      <c r="AC2352" s="41"/>
      <c r="AD2352" s="41"/>
      <c r="AE2352" s="41"/>
      <c r="AF2352" s="41"/>
      <c r="AG2352" s="41"/>
      <c r="AH2352" s="41"/>
      <c r="AI2352" s="41"/>
      <c r="AJ2352" s="41"/>
      <c r="AK2352" s="41"/>
      <c r="AL2352" s="41"/>
      <c r="AM2352" s="41"/>
      <c r="AN2352" s="41"/>
      <c r="AO2352" s="41"/>
      <c r="AP2352" s="41"/>
      <c r="AQ2352" s="41"/>
      <c r="AR2352" s="41"/>
      <c r="AS2352" s="41"/>
      <c r="AT2352" s="41"/>
      <c r="AU2352" s="41"/>
      <c r="AV2352" s="41"/>
      <c r="AW2352" s="41"/>
      <c r="AX2352" s="41"/>
      <c r="AY2352" s="41"/>
      <c r="AZ2352" s="41"/>
      <c r="BA2352" s="41"/>
      <c r="BB2352" s="41"/>
      <c r="BC2352" s="41"/>
      <c r="BD2352" s="41"/>
      <c r="BE2352" s="41"/>
      <c r="BF2352" s="41"/>
      <c r="BG2352" s="41"/>
      <c r="BH2352" s="41"/>
      <c r="BI2352" s="41"/>
      <c r="BJ2352" s="41"/>
      <c r="BK2352" s="41"/>
      <c r="BL2352" s="41"/>
      <c r="BM2352" s="41"/>
      <c r="BN2352" s="41"/>
      <c r="BO2352" s="41"/>
      <c r="BP2352" s="41"/>
      <c r="BQ2352" s="41"/>
      <c r="BR2352" s="41"/>
      <c r="BS2352" s="41"/>
      <c r="BT2352" s="41"/>
      <c r="BU2352" s="41"/>
      <c r="BV2352" s="41"/>
      <c r="BW2352" s="41"/>
      <c r="BX2352" s="41"/>
      <c r="BY2352" s="41"/>
      <c r="BZ2352" s="41"/>
      <c r="CA2352" s="41"/>
      <c r="CB2352" s="41"/>
      <c r="CC2352" s="41"/>
      <c r="CD2352" s="41"/>
      <c r="CE2352" s="41"/>
      <c r="CF2352" s="41"/>
      <c r="CG2352" s="41"/>
      <c r="CH2352" s="41"/>
      <c r="CI2352" s="41"/>
      <c r="CJ2352" s="41"/>
      <c r="CK2352" s="41"/>
      <c r="CL2352" s="41"/>
      <c r="CM2352" s="41"/>
      <c r="CN2352" s="41"/>
      <c r="CO2352" s="41"/>
      <c r="CP2352" s="41"/>
      <c r="CQ2352" s="41"/>
      <c r="CR2352" s="41"/>
      <c r="CS2352" s="41"/>
      <c r="CT2352" s="41"/>
      <c r="CU2352" s="41"/>
      <c r="CV2352" s="41"/>
      <c r="CW2352" s="41"/>
      <c r="CX2352" s="41"/>
      <c r="CY2352" s="41"/>
      <c r="CZ2352" s="41"/>
      <c r="DA2352" s="41"/>
      <c r="DB2352" s="41"/>
      <c r="DC2352" s="41"/>
      <c r="DD2352" s="41"/>
      <c r="DE2352" s="41"/>
      <c r="DF2352" s="41"/>
      <c r="DG2352" s="41"/>
      <c r="DH2352" s="41"/>
      <c r="DI2352" s="41"/>
      <c r="DJ2352" s="41"/>
      <c r="DK2352" s="41"/>
      <c r="DL2352" s="41"/>
      <c r="DM2352" s="41"/>
      <c r="DN2352" s="41"/>
      <c r="DO2352" s="41"/>
      <c r="DP2352" s="41"/>
      <c r="DQ2352" s="41"/>
      <c r="DR2352" s="41"/>
      <c r="DS2352" s="41"/>
      <c r="DT2352" s="41"/>
      <c r="DU2352" s="41"/>
      <c r="DV2352" s="41"/>
      <c r="DW2352" s="41"/>
      <c r="DX2352" s="41"/>
      <c r="DY2352" s="41"/>
      <c r="DZ2352" s="41"/>
      <c r="EA2352" s="41"/>
      <c r="EB2352" s="41"/>
      <c r="EC2352" s="41"/>
      <c r="ED2352" s="41"/>
      <c r="EE2352" s="41"/>
      <c r="EF2352" s="41"/>
      <c r="EG2352" s="41"/>
      <c r="EH2352" s="41"/>
      <c r="EI2352" s="41"/>
      <c r="EJ2352" s="41"/>
      <c r="EK2352" s="41"/>
      <c r="EL2352" s="41"/>
      <c r="EM2352" s="41"/>
      <c r="EN2352" s="41"/>
      <c r="EO2352" s="41"/>
      <c r="EP2352" s="41"/>
      <c r="EQ2352" s="41"/>
      <c r="ER2352" s="41"/>
      <c r="ES2352" s="41"/>
      <c r="ET2352" s="41"/>
      <c r="EU2352" s="41"/>
      <c r="EV2352" s="41"/>
      <c r="EW2352" s="41"/>
      <c r="EX2352" s="41"/>
      <c r="EY2352" s="41"/>
      <c r="EZ2352" s="41"/>
      <c r="FA2352" s="41"/>
      <c r="FB2352" s="41"/>
      <c r="FC2352" s="41"/>
      <c r="FD2352" s="41"/>
      <c r="FE2352" s="41"/>
    </row>
    <row r="2353" spans="1:161" ht="15.75" customHeight="1" x14ac:dyDescent="0.25">
      <c r="A2353" s="289">
        <v>1</v>
      </c>
      <c r="B2353" s="289">
        <v>7170</v>
      </c>
      <c r="C2353" s="223" t="s">
        <v>303</v>
      </c>
      <c r="D2353" s="224">
        <v>864</v>
      </c>
      <c r="E2353" s="224" t="s">
        <v>68</v>
      </c>
      <c r="F2353" s="225">
        <v>2</v>
      </c>
      <c r="G2353" s="215" t="s">
        <v>65</v>
      </c>
      <c r="H2353" s="57" t="s">
        <v>66</v>
      </c>
      <c r="I2353" s="50">
        <f>I2355+I2354</f>
        <v>6642432</v>
      </c>
      <c r="J2353" s="50">
        <f>J2355+J2354</f>
        <v>7688</v>
      </c>
      <c r="K2353" s="50">
        <f>K2355+K2354</f>
        <v>7688</v>
      </c>
    </row>
    <row r="2354" spans="1:161" x14ac:dyDescent="0.25">
      <c r="A2354" s="289"/>
      <c r="B2354" s="289"/>
      <c r="C2354" s="223"/>
      <c r="D2354" s="224"/>
      <c r="E2354" s="224"/>
      <c r="F2354" s="225"/>
      <c r="G2354" s="215"/>
      <c r="H2354" s="57" t="s">
        <v>67</v>
      </c>
      <c r="I2354" s="50">
        <f>D2353*K2354</f>
        <v>6503328</v>
      </c>
      <c r="J2354" s="50">
        <f>I2354/D2353</f>
        <v>7527</v>
      </c>
      <c r="K2354" s="50">
        <v>7527</v>
      </c>
    </row>
    <row r="2355" spans="1:161" x14ac:dyDescent="0.25">
      <c r="A2355" s="289"/>
      <c r="B2355" s="289"/>
      <c r="C2355" s="223"/>
      <c r="D2355" s="224"/>
      <c r="E2355" s="224"/>
      <c r="F2355" s="225"/>
      <c r="G2355" s="215"/>
      <c r="H2355" s="57" t="s">
        <v>69</v>
      </c>
      <c r="I2355" s="50">
        <f>D2353*K2355</f>
        <v>139104</v>
      </c>
      <c r="J2355" s="50">
        <f>I2355/D2353</f>
        <v>161</v>
      </c>
      <c r="K2355" s="50">
        <v>161</v>
      </c>
    </row>
    <row r="2356" spans="1:161" x14ac:dyDescent="0.25">
      <c r="A2356" s="216">
        <f>A2353+1</f>
        <v>2</v>
      </c>
      <c r="B2356" s="216">
        <v>7177</v>
      </c>
      <c r="C2356" s="218" t="s">
        <v>304</v>
      </c>
      <c r="D2356" s="220">
        <v>863</v>
      </c>
      <c r="E2356" s="220" t="s">
        <v>68</v>
      </c>
      <c r="F2356" s="228">
        <v>2</v>
      </c>
      <c r="G2356" s="110"/>
      <c r="H2356" s="57" t="s">
        <v>66</v>
      </c>
      <c r="I2356" s="50">
        <f>I2357</f>
        <v>203387.53</v>
      </c>
      <c r="J2356" s="50">
        <f t="shared" ref="J2356:K2356" si="75">J2357</f>
        <v>235.68</v>
      </c>
      <c r="K2356" s="50">
        <f t="shared" si="75"/>
        <v>247</v>
      </c>
      <c r="L2356" s="41"/>
      <c r="M2356" s="41"/>
      <c r="N2356" s="41"/>
      <c r="O2356" s="41"/>
      <c r="P2356" s="41"/>
      <c r="Q2356" s="41"/>
      <c r="R2356" s="41"/>
      <c r="S2356" s="41"/>
      <c r="T2356" s="41"/>
      <c r="U2356" s="41"/>
      <c r="V2356" s="41"/>
      <c r="W2356" s="41"/>
      <c r="X2356" s="41"/>
      <c r="Y2356" s="41"/>
      <c r="Z2356" s="41"/>
      <c r="AA2356" s="41"/>
      <c r="AB2356" s="41"/>
      <c r="AC2356" s="41"/>
      <c r="AD2356" s="41"/>
      <c r="AE2356" s="41"/>
      <c r="AF2356" s="41"/>
      <c r="AG2356" s="41"/>
      <c r="AH2356" s="41"/>
      <c r="AI2356" s="41"/>
      <c r="AJ2356" s="41"/>
      <c r="AK2356" s="41"/>
      <c r="AL2356" s="41"/>
      <c r="AM2356" s="41"/>
      <c r="AN2356" s="41"/>
      <c r="AO2356" s="41"/>
      <c r="AP2356" s="41"/>
      <c r="AQ2356" s="41"/>
      <c r="AR2356" s="41"/>
      <c r="AS2356" s="41"/>
      <c r="AT2356" s="41"/>
      <c r="AU2356" s="41"/>
      <c r="AV2356" s="41"/>
      <c r="AW2356" s="41"/>
      <c r="AX2356" s="41"/>
      <c r="AY2356" s="41"/>
      <c r="AZ2356" s="41"/>
      <c r="BA2356" s="41"/>
      <c r="BB2356" s="41"/>
      <c r="BC2356" s="41"/>
      <c r="BD2356" s="41"/>
      <c r="BE2356" s="41"/>
      <c r="BF2356" s="41"/>
      <c r="BG2356" s="41"/>
      <c r="BH2356" s="41"/>
      <c r="BI2356" s="41"/>
      <c r="BJ2356" s="41"/>
      <c r="BK2356" s="41"/>
      <c r="BL2356" s="41"/>
      <c r="BM2356" s="41"/>
      <c r="BN2356" s="41"/>
      <c r="BO2356" s="41"/>
      <c r="BP2356" s="41"/>
      <c r="BQ2356" s="41"/>
      <c r="BR2356" s="41"/>
      <c r="BS2356" s="41"/>
      <c r="BT2356" s="41"/>
      <c r="BU2356" s="41"/>
      <c r="BV2356" s="41"/>
      <c r="BW2356" s="41"/>
      <c r="BX2356" s="41"/>
      <c r="BY2356" s="41"/>
      <c r="BZ2356" s="41"/>
      <c r="CA2356" s="41"/>
      <c r="CB2356" s="41"/>
      <c r="CC2356" s="41"/>
      <c r="CD2356" s="41"/>
      <c r="CE2356" s="41"/>
      <c r="CF2356" s="41"/>
      <c r="CG2356" s="41"/>
      <c r="CH2356" s="41"/>
      <c r="CI2356" s="41"/>
      <c r="CJ2356" s="41"/>
      <c r="CK2356" s="41"/>
      <c r="CL2356" s="41"/>
      <c r="CM2356" s="41"/>
      <c r="CN2356" s="41"/>
      <c r="CO2356" s="41"/>
      <c r="CP2356" s="41"/>
      <c r="CQ2356" s="41"/>
      <c r="CR2356" s="41"/>
      <c r="CS2356" s="41"/>
      <c r="CT2356" s="41"/>
      <c r="CU2356" s="41"/>
      <c r="CV2356" s="41"/>
      <c r="CW2356" s="41"/>
      <c r="CX2356" s="41"/>
      <c r="CY2356" s="41"/>
      <c r="CZ2356" s="41"/>
      <c r="DA2356" s="41"/>
      <c r="DB2356" s="41"/>
      <c r="DC2356" s="41"/>
      <c r="DD2356" s="41"/>
      <c r="DE2356" s="41"/>
      <c r="DF2356" s="41"/>
      <c r="DG2356" s="41"/>
      <c r="DH2356" s="41"/>
      <c r="DI2356" s="41"/>
      <c r="DJ2356" s="41"/>
      <c r="DK2356" s="41"/>
      <c r="DL2356" s="41"/>
      <c r="DM2356" s="41"/>
      <c r="DN2356" s="41"/>
      <c r="DO2356" s="41"/>
      <c r="DP2356" s="41"/>
      <c r="DQ2356" s="41"/>
      <c r="DR2356" s="41"/>
      <c r="DS2356" s="41"/>
      <c r="DT2356" s="41"/>
      <c r="DU2356" s="41"/>
      <c r="DV2356" s="41"/>
      <c r="DW2356" s="41"/>
      <c r="DX2356" s="41"/>
      <c r="DY2356" s="41"/>
      <c r="DZ2356" s="41"/>
      <c r="EA2356" s="41"/>
      <c r="EB2356" s="41"/>
      <c r="EC2356" s="41"/>
      <c r="ED2356" s="41"/>
      <c r="EE2356" s="41"/>
      <c r="EF2356" s="41"/>
      <c r="EG2356" s="41"/>
      <c r="EH2356" s="41"/>
      <c r="EI2356" s="41"/>
      <c r="EJ2356" s="41"/>
      <c r="EK2356" s="41"/>
      <c r="EL2356" s="41"/>
      <c r="EM2356" s="41"/>
      <c r="EN2356" s="41"/>
      <c r="EO2356" s="41"/>
      <c r="EP2356" s="41"/>
      <c r="EQ2356" s="41"/>
      <c r="ER2356" s="41"/>
      <c r="ES2356" s="41"/>
      <c r="ET2356" s="41"/>
      <c r="EU2356" s="41"/>
      <c r="EV2356" s="41"/>
      <c r="EW2356" s="41"/>
      <c r="EX2356" s="41"/>
      <c r="EY2356" s="41"/>
      <c r="EZ2356" s="41"/>
      <c r="FA2356" s="41"/>
      <c r="FB2356" s="41"/>
      <c r="FC2356" s="41"/>
      <c r="FD2356" s="41"/>
      <c r="FE2356" s="41"/>
    </row>
    <row r="2357" spans="1:161" ht="63" x14ac:dyDescent="0.25">
      <c r="A2357" s="217"/>
      <c r="B2357" s="217"/>
      <c r="C2357" s="219"/>
      <c r="D2357" s="221"/>
      <c r="E2357" s="221"/>
      <c r="F2357" s="229"/>
      <c r="G2357" s="105" t="s">
        <v>65</v>
      </c>
      <c r="H2357" s="57" t="s">
        <v>178</v>
      </c>
      <c r="I2357" s="50">
        <v>203387.53</v>
      </c>
      <c r="J2357" s="50">
        <f>I2357/D2356</f>
        <v>235.68</v>
      </c>
      <c r="K2357" s="50">
        <f>151+96</f>
        <v>247</v>
      </c>
      <c r="L2357" s="41"/>
      <c r="M2357" s="41"/>
      <c r="N2357" s="41"/>
      <c r="O2357" s="41"/>
      <c r="P2357" s="41"/>
      <c r="Q2357" s="41"/>
      <c r="R2357" s="41"/>
      <c r="S2357" s="41"/>
      <c r="T2357" s="41"/>
      <c r="U2357" s="41"/>
      <c r="V2357" s="41"/>
      <c r="W2357" s="41"/>
      <c r="X2357" s="41"/>
      <c r="Y2357" s="41"/>
      <c r="Z2357" s="41"/>
      <c r="AA2357" s="41"/>
      <c r="AB2357" s="41"/>
      <c r="AC2357" s="41"/>
      <c r="AD2357" s="41"/>
      <c r="AE2357" s="41"/>
      <c r="AF2357" s="41"/>
      <c r="AG2357" s="41"/>
      <c r="AH2357" s="41"/>
      <c r="AI2357" s="41"/>
      <c r="AJ2357" s="41"/>
      <c r="AK2357" s="41"/>
      <c r="AL2357" s="41"/>
      <c r="AM2357" s="41"/>
      <c r="AN2357" s="41"/>
      <c r="AO2357" s="41"/>
      <c r="AP2357" s="41"/>
      <c r="AQ2357" s="41"/>
      <c r="AR2357" s="41"/>
      <c r="AS2357" s="41"/>
      <c r="AT2357" s="41"/>
      <c r="AU2357" s="41"/>
      <c r="AV2357" s="41"/>
      <c r="AW2357" s="41"/>
      <c r="AX2357" s="41"/>
      <c r="AY2357" s="41"/>
      <c r="AZ2357" s="41"/>
      <c r="BA2357" s="41"/>
      <c r="BB2357" s="41"/>
      <c r="BC2357" s="41"/>
      <c r="BD2357" s="41"/>
      <c r="BE2357" s="41"/>
      <c r="BF2357" s="41"/>
      <c r="BG2357" s="41"/>
      <c r="BH2357" s="41"/>
      <c r="BI2357" s="41"/>
      <c r="BJ2357" s="41"/>
      <c r="BK2357" s="41"/>
      <c r="BL2357" s="41"/>
      <c r="BM2357" s="41"/>
      <c r="BN2357" s="41"/>
      <c r="BO2357" s="41"/>
      <c r="BP2357" s="41"/>
      <c r="BQ2357" s="41"/>
      <c r="BR2357" s="41"/>
      <c r="BS2357" s="41"/>
      <c r="BT2357" s="41"/>
      <c r="BU2357" s="41"/>
      <c r="BV2357" s="41"/>
      <c r="BW2357" s="41"/>
      <c r="BX2357" s="41"/>
      <c r="BY2357" s="41"/>
      <c r="BZ2357" s="41"/>
      <c r="CA2357" s="41"/>
      <c r="CB2357" s="41"/>
      <c r="CC2357" s="41"/>
      <c r="CD2357" s="41"/>
      <c r="CE2357" s="41"/>
      <c r="CF2357" s="41"/>
      <c r="CG2357" s="41"/>
      <c r="CH2357" s="41"/>
      <c r="CI2357" s="41"/>
      <c r="CJ2357" s="41"/>
      <c r="CK2357" s="41"/>
      <c r="CL2357" s="41"/>
      <c r="CM2357" s="41"/>
      <c r="CN2357" s="41"/>
      <c r="CO2357" s="41"/>
      <c r="CP2357" s="41"/>
      <c r="CQ2357" s="41"/>
      <c r="CR2357" s="41"/>
      <c r="CS2357" s="41"/>
      <c r="CT2357" s="41"/>
      <c r="CU2357" s="41"/>
      <c r="CV2357" s="41"/>
      <c r="CW2357" s="41"/>
      <c r="CX2357" s="41"/>
      <c r="CY2357" s="41"/>
      <c r="CZ2357" s="41"/>
      <c r="DA2357" s="41"/>
      <c r="DB2357" s="41"/>
      <c r="DC2357" s="41"/>
      <c r="DD2357" s="41"/>
      <c r="DE2357" s="41"/>
      <c r="DF2357" s="41"/>
      <c r="DG2357" s="41"/>
      <c r="DH2357" s="41"/>
      <c r="DI2357" s="41"/>
      <c r="DJ2357" s="41"/>
      <c r="DK2357" s="41"/>
      <c r="DL2357" s="41"/>
      <c r="DM2357" s="41"/>
      <c r="DN2357" s="41"/>
      <c r="DO2357" s="41"/>
      <c r="DP2357" s="41"/>
      <c r="DQ2357" s="41"/>
      <c r="DR2357" s="41"/>
      <c r="DS2357" s="41"/>
      <c r="DT2357" s="41"/>
      <c r="DU2357" s="41"/>
      <c r="DV2357" s="41"/>
      <c r="DW2357" s="41"/>
      <c r="DX2357" s="41"/>
      <c r="DY2357" s="41"/>
      <c r="DZ2357" s="41"/>
      <c r="EA2357" s="41"/>
      <c r="EB2357" s="41"/>
      <c r="EC2357" s="41"/>
      <c r="ED2357" s="41"/>
      <c r="EE2357" s="41"/>
      <c r="EF2357" s="41"/>
      <c r="EG2357" s="41"/>
      <c r="EH2357" s="41"/>
      <c r="EI2357" s="41"/>
      <c r="EJ2357" s="41"/>
      <c r="EK2357" s="41"/>
      <c r="EL2357" s="41"/>
      <c r="EM2357" s="41"/>
      <c r="EN2357" s="41"/>
      <c r="EO2357" s="41"/>
      <c r="EP2357" s="41"/>
      <c r="EQ2357" s="41"/>
      <c r="ER2357" s="41"/>
      <c r="ES2357" s="41"/>
      <c r="ET2357" s="41"/>
      <c r="EU2357" s="41"/>
      <c r="EV2357" s="41"/>
      <c r="EW2357" s="41"/>
      <c r="EX2357" s="41"/>
      <c r="EY2357" s="41"/>
      <c r="EZ2357" s="41"/>
      <c r="FA2357" s="41"/>
      <c r="FB2357" s="41"/>
      <c r="FC2357" s="41"/>
      <c r="FD2357" s="41"/>
      <c r="FE2357" s="41"/>
    </row>
    <row r="2358" spans="1:161" x14ac:dyDescent="0.25">
      <c r="A2358" s="51" t="s">
        <v>284</v>
      </c>
      <c r="B2358" s="52"/>
      <c r="C2358" s="148"/>
      <c r="D2358" s="50">
        <f>D2359+D2385+D2389+D2392+D2515+D2595+D2862+D2868+D2872+D2878+D2927+D2931+D2939+D2945+D3024</f>
        <v>599284.84</v>
      </c>
      <c r="E2358" s="53"/>
      <c r="F2358" s="53"/>
      <c r="G2358" s="108"/>
      <c r="H2358" s="54"/>
      <c r="I2358" s="55">
        <f>I2359+I2385+I2389+I2392+I2515+I2595+I2862+I2868+I2872+I2878+I2927+I2931+I2939+I2945+I3024</f>
        <v>1052940456.79</v>
      </c>
      <c r="J2358" s="55"/>
      <c r="K2358" s="55"/>
      <c r="L2358" s="41"/>
      <c r="M2358" s="41"/>
      <c r="N2358" s="41"/>
      <c r="O2358" s="41"/>
      <c r="P2358" s="41"/>
      <c r="Q2358" s="41"/>
      <c r="R2358" s="41"/>
      <c r="S2358" s="41"/>
      <c r="T2358" s="41"/>
      <c r="U2358" s="41"/>
      <c r="V2358" s="41"/>
      <c r="W2358" s="41"/>
      <c r="X2358" s="41"/>
      <c r="Y2358" s="41"/>
      <c r="Z2358" s="41"/>
      <c r="AA2358" s="41"/>
      <c r="AB2358" s="41"/>
      <c r="AC2358" s="41"/>
      <c r="AD2358" s="41"/>
      <c r="AE2358" s="41"/>
      <c r="AF2358" s="41"/>
      <c r="AG2358" s="41"/>
      <c r="AH2358" s="41"/>
      <c r="AI2358" s="41"/>
      <c r="AJ2358" s="41"/>
      <c r="AK2358" s="41"/>
      <c r="AL2358" s="41"/>
      <c r="AM2358" s="41"/>
      <c r="AN2358" s="41"/>
      <c r="AO2358" s="41"/>
      <c r="AP2358" s="41"/>
      <c r="AQ2358" s="41"/>
      <c r="AR2358" s="41"/>
      <c r="AS2358" s="41"/>
      <c r="AT2358" s="41"/>
      <c r="AU2358" s="41"/>
      <c r="AV2358" s="41"/>
      <c r="AW2358" s="41"/>
      <c r="AX2358" s="41"/>
      <c r="AY2358" s="41"/>
      <c r="AZ2358" s="41"/>
      <c r="BA2358" s="41"/>
      <c r="BB2358" s="41"/>
      <c r="BC2358" s="41"/>
      <c r="BD2358" s="41"/>
      <c r="BE2358" s="41"/>
      <c r="BF2358" s="41"/>
      <c r="BG2358" s="41"/>
      <c r="BH2358" s="41"/>
      <c r="BI2358" s="41"/>
      <c r="BJ2358" s="41"/>
      <c r="BK2358" s="41"/>
      <c r="BL2358" s="41"/>
      <c r="BM2358" s="41"/>
      <c r="BN2358" s="41"/>
      <c r="BO2358" s="41"/>
      <c r="BP2358" s="41"/>
      <c r="BQ2358" s="41"/>
      <c r="BR2358" s="41"/>
      <c r="BS2358" s="41"/>
      <c r="BT2358" s="41"/>
      <c r="BU2358" s="41"/>
      <c r="BV2358" s="41"/>
      <c r="BW2358" s="41"/>
      <c r="BX2358" s="41"/>
      <c r="BY2358" s="41"/>
      <c r="BZ2358" s="41"/>
      <c r="CA2358" s="41"/>
      <c r="CB2358" s="41"/>
      <c r="CC2358" s="41"/>
      <c r="CD2358" s="41"/>
      <c r="CE2358" s="41"/>
      <c r="CF2358" s="41"/>
      <c r="CG2358" s="41"/>
      <c r="CH2358" s="41"/>
      <c r="CI2358" s="41"/>
      <c r="CJ2358" s="41"/>
      <c r="CK2358" s="41"/>
      <c r="CL2358" s="41"/>
      <c r="CM2358" s="41"/>
      <c r="CN2358" s="41"/>
      <c r="CO2358" s="41"/>
      <c r="CP2358" s="41"/>
      <c r="CQ2358" s="41"/>
      <c r="CR2358" s="41"/>
      <c r="CS2358" s="41"/>
      <c r="CT2358" s="41"/>
      <c r="CU2358" s="41"/>
      <c r="CV2358" s="41"/>
      <c r="CW2358" s="41"/>
      <c r="CX2358" s="41"/>
      <c r="CY2358" s="41"/>
      <c r="CZ2358" s="41"/>
      <c r="DA2358" s="41"/>
      <c r="DB2358" s="41"/>
      <c r="DC2358" s="41"/>
      <c r="DD2358" s="41"/>
      <c r="DE2358" s="41"/>
      <c r="DF2358" s="41"/>
      <c r="DG2358" s="41"/>
      <c r="DH2358" s="41"/>
      <c r="DI2358" s="41"/>
      <c r="DJ2358" s="41"/>
      <c r="DK2358" s="41"/>
      <c r="DL2358" s="41"/>
      <c r="DM2358" s="41"/>
      <c r="DN2358" s="41"/>
      <c r="DO2358" s="41"/>
      <c r="DP2358" s="41"/>
      <c r="DQ2358" s="41"/>
      <c r="DR2358" s="41"/>
      <c r="DS2358" s="41"/>
      <c r="DT2358" s="41"/>
      <c r="DU2358" s="41"/>
      <c r="DV2358" s="41"/>
      <c r="DW2358" s="41"/>
      <c r="DX2358" s="41"/>
      <c r="DY2358" s="41"/>
      <c r="DZ2358" s="41"/>
      <c r="EA2358" s="41"/>
      <c r="EB2358" s="41"/>
      <c r="EC2358" s="41"/>
      <c r="ED2358" s="41"/>
      <c r="EE2358" s="41"/>
      <c r="EF2358" s="41"/>
      <c r="EG2358" s="41"/>
      <c r="EH2358" s="41"/>
      <c r="EI2358" s="41"/>
      <c r="EJ2358" s="41"/>
      <c r="EK2358" s="41"/>
      <c r="EL2358" s="41"/>
      <c r="EM2358" s="41"/>
      <c r="EN2358" s="41"/>
      <c r="EO2358" s="41"/>
      <c r="EP2358" s="41"/>
      <c r="EQ2358" s="41"/>
      <c r="ER2358" s="41"/>
      <c r="ES2358" s="41"/>
      <c r="ET2358" s="41"/>
      <c r="EU2358" s="41"/>
      <c r="EV2358" s="41"/>
      <c r="EW2358" s="41"/>
      <c r="EX2358" s="41"/>
      <c r="EY2358" s="41"/>
      <c r="EZ2358" s="41"/>
      <c r="FA2358" s="41"/>
      <c r="FB2358" s="41"/>
      <c r="FC2358" s="41"/>
      <c r="FD2358" s="41"/>
      <c r="FE2358" s="41"/>
    </row>
    <row r="2359" spans="1:161" x14ac:dyDescent="0.25">
      <c r="A2359" s="71" t="s">
        <v>29</v>
      </c>
      <c r="B2359" s="114"/>
      <c r="C2359" s="91"/>
      <c r="D2359" s="109">
        <f>D2360+D2365+D2368+D2373+D2376+D2379+D2382</f>
        <v>3693.22</v>
      </c>
      <c r="E2359" s="122"/>
      <c r="F2359" s="122"/>
      <c r="G2359" s="109"/>
      <c r="H2359" s="55"/>
      <c r="I2359" s="50">
        <f>I2360+I2365+I2368+I2373+I2376+I2379+I2382</f>
        <v>23015165.059999999</v>
      </c>
      <c r="J2359" s="50"/>
      <c r="K2359" s="50"/>
      <c r="L2359" s="41"/>
      <c r="M2359" s="41"/>
      <c r="N2359" s="41"/>
      <c r="O2359" s="41"/>
      <c r="P2359" s="41"/>
      <c r="Q2359" s="41"/>
      <c r="R2359" s="41"/>
      <c r="S2359" s="41"/>
      <c r="T2359" s="41"/>
      <c r="U2359" s="41"/>
      <c r="V2359" s="41"/>
      <c r="W2359" s="41"/>
      <c r="X2359" s="41"/>
      <c r="Y2359" s="41"/>
      <c r="Z2359" s="41"/>
      <c r="AA2359" s="41"/>
      <c r="AB2359" s="41"/>
      <c r="AC2359" s="41"/>
      <c r="AD2359" s="41"/>
      <c r="AE2359" s="41"/>
      <c r="AF2359" s="41"/>
      <c r="AG2359" s="41"/>
      <c r="AH2359" s="41"/>
      <c r="AI2359" s="41"/>
      <c r="AJ2359" s="41"/>
      <c r="AK2359" s="41"/>
      <c r="AL2359" s="41"/>
      <c r="AM2359" s="41"/>
      <c r="AN2359" s="41"/>
      <c r="AO2359" s="41"/>
      <c r="AP2359" s="41"/>
      <c r="AQ2359" s="41"/>
      <c r="AR2359" s="41"/>
      <c r="AS2359" s="41"/>
      <c r="AT2359" s="41"/>
      <c r="AU2359" s="41"/>
      <c r="AV2359" s="41"/>
      <c r="AW2359" s="41"/>
      <c r="AX2359" s="41"/>
      <c r="AY2359" s="41"/>
      <c r="AZ2359" s="41"/>
      <c r="BA2359" s="41"/>
      <c r="BB2359" s="41"/>
      <c r="BC2359" s="41"/>
      <c r="BD2359" s="41"/>
      <c r="BE2359" s="41"/>
      <c r="BF2359" s="41"/>
      <c r="BG2359" s="41"/>
      <c r="BH2359" s="41"/>
      <c r="BI2359" s="41"/>
      <c r="BJ2359" s="41"/>
      <c r="BK2359" s="41"/>
      <c r="BL2359" s="41"/>
      <c r="BM2359" s="41"/>
      <c r="BN2359" s="41"/>
      <c r="BO2359" s="41"/>
      <c r="BP2359" s="41"/>
      <c r="BQ2359" s="41"/>
      <c r="BR2359" s="41"/>
      <c r="BS2359" s="41"/>
      <c r="BT2359" s="41"/>
      <c r="BU2359" s="41"/>
      <c r="BV2359" s="41"/>
      <c r="BW2359" s="41"/>
      <c r="BX2359" s="41"/>
      <c r="BY2359" s="41"/>
      <c r="BZ2359" s="41"/>
      <c r="CA2359" s="41"/>
      <c r="CB2359" s="41"/>
      <c r="CC2359" s="41"/>
      <c r="CD2359" s="41"/>
      <c r="CE2359" s="41"/>
      <c r="CF2359" s="41"/>
      <c r="CG2359" s="41"/>
      <c r="CH2359" s="41"/>
      <c r="CI2359" s="41"/>
      <c r="CJ2359" s="41"/>
      <c r="CK2359" s="41"/>
      <c r="CL2359" s="41"/>
      <c r="CM2359" s="41"/>
      <c r="CN2359" s="41"/>
      <c r="CO2359" s="41"/>
      <c r="CP2359" s="41"/>
      <c r="CQ2359" s="41"/>
      <c r="CR2359" s="41"/>
      <c r="CS2359" s="41"/>
      <c r="CT2359" s="41"/>
      <c r="CU2359" s="41"/>
      <c r="CV2359" s="41"/>
      <c r="CW2359" s="41"/>
      <c r="CX2359" s="41"/>
      <c r="CY2359" s="41"/>
      <c r="CZ2359" s="41"/>
      <c r="DA2359" s="41"/>
      <c r="DB2359" s="41"/>
      <c r="DC2359" s="41"/>
      <c r="DD2359" s="41"/>
      <c r="DE2359" s="41"/>
      <c r="DF2359" s="41"/>
      <c r="DG2359" s="41"/>
      <c r="DH2359" s="41"/>
      <c r="DI2359" s="41"/>
      <c r="DJ2359" s="41"/>
      <c r="DK2359" s="41"/>
      <c r="DL2359" s="41"/>
      <c r="DM2359" s="41"/>
      <c r="DN2359" s="41"/>
      <c r="DO2359" s="41"/>
      <c r="DP2359" s="41"/>
      <c r="DQ2359" s="41"/>
      <c r="DR2359" s="41"/>
      <c r="DS2359" s="41"/>
      <c r="DT2359" s="41"/>
      <c r="DU2359" s="41"/>
      <c r="DV2359" s="41"/>
      <c r="DW2359" s="41"/>
      <c r="DX2359" s="41"/>
      <c r="DY2359" s="41"/>
      <c r="DZ2359" s="41"/>
      <c r="EA2359" s="41"/>
      <c r="EB2359" s="41"/>
      <c r="EC2359" s="41"/>
      <c r="ED2359" s="41"/>
      <c r="EE2359" s="41"/>
      <c r="EF2359" s="41"/>
      <c r="EG2359" s="41"/>
      <c r="EH2359" s="41"/>
      <c r="EI2359" s="41"/>
      <c r="EJ2359" s="41"/>
      <c r="EK2359" s="41"/>
      <c r="EL2359" s="41"/>
      <c r="EM2359" s="41"/>
      <c r="EN2359" s="41"/>
      <c r="EO2359" s="41"/>
      <c r="EP2359" s="41"/>
      <c r="EQ2359" s="41"/>
      <c r="ER2359" s="41"/>
      <c r="ES2359" s="41"/>
      <c r="ET2359" s="41"/>
      <c r="EU2359" s="41"/>
      <c r="EV2359" s="41"/>
      <c r="EW2359" s="41"/>
      <c r="EX2359" s="41"/>
      <c r="EY2359" s="41"/>
      <c r="EZ2359" s="41"/>
      <c r="FA2359" s="41"/>
      <c r="FB2359" s="41"/>
      <c r="FC2359" s="41"/>
      <c r="FD2359" s="41"/>
      <c r="FE2359" s="41"/>
    </row>
    <row r="2360" spans="1:161" x14ac:dyDescent="0.25">
      <c r="A2360" s="231">
        <v>1</v>
      </c>
      <c r="B2360" s="231">
        <v>4391</v>
      </c>
      <c r="C2360" s="195" t="s">
        <v>346</v>
      </c>
      <c r="D2360" s="287">
        <v>998.1</v>
      </c>
      <c r="E2360" s="231" t="s">
        <v>68</v>
      </c>
      <c r="F2360" s="231">
        <v>2</v>
      </c>
      <c r="G2360" s="105"/>
      <c r="H2360" s="57" t="s">
        <v>66</v>
      </c>
      <c r="I2360" s="50">
        <f>SUM(I2361:I2364)</f>
        <v>3490355.7</v>
      </c>
      <c r="J2360" s="50">
        <f>SUM(J2361:J2364)</f>
        <v>3497</v>
      </c>
      <c r="K2360" s="50">
        <f>SUM(K2361:K2364)</f>
        <v>3497</v>
      </c>
    </row>
    <row r="2361" spans="1:161" x14ac:dyDescent="0.25">
      <c r="A2361" s="231"/>
      <c r="B2361" s="231"/>
      <c r="C2361" s="195"/>
      <c r="D2361" s="287"/>
      <c r="E2361" s="231"/>
      <c r="F2361" s="231"/>
      <c r="G2361" s="216" t="s">
        <v>70</v>
      </c>
      <c r="H2361" s="57" t="s">
        <v>67</v>
      </c>
      <c r="I2361" s="50">
        <f>D2360*K2361</f>
        <v>2905469.1</v>
      </c>
      <c r="J2361" s="50">
        <f>I2361/D2360</f>
        <v>2911</v>
      </c>
      <c r="K2361" s="72">
        <v>2911</v>
      </c>
    </row>
    <row r="2362" spans="1:161" x14ac:dyDescent="0.25">
      <c r="A2362" s="231"/>
      <c r="B2362" s="231"/>
      <c r="C2362" s="195"/>
      <c r="D2362" s="287"/>
      <c r="E2362" s="231"/>
      <c r="F2362" s="231"/>
      <c r="G2362" s="222"/>
      <c r="H2362" s="57" t="s">
        <v>69</v>
      </c>
      <c r="I2362" s="50">
        <f>D2360*K2362</f>
        <v>61882.2</v>
      </c>
      <c r="J2362" s="50">
        <f>I2362/D2360</f>
        <v>62</v>
      </c>
      <c r="K2362" s="72">
        <v>62</v>
      </c>
    </row>
    <row r="2363" spans="1:161" x14ac:dyDescent="0.25">
      <c r="A2363" s="231"/>
      <c r="B2363" s="231"/>
      <c r="C2363" s="195"/>
      <c r="D2363" s="287"/>
      <c r="E2363" s="231"/>
      <c r="F2363" s="231"/>
      <c r="G2363" s="216" t="s">
        <v>71</v>
      </c>
      <c r="H2363" s="57" t="s">
        <v>67</v>
      </c>
      <c r="I2363" s="50">
        <f>D2360*K2363</f>
        <v>512025.3</v>
      </c>
      <c r="J2363" s="50">
        <f>I2363/D2360</f>
        <v>513</v>
      </c>
      <c r="K2363" s="72">
        <v>513</v>
      </c>
    </row>
    <row r="2364" spans="1:161" x14ac:dyDescent="0.25">
      <c r="A2364" s="231"/>
      <c r="B2364" s="231"/>
      <c r="C2364" s="195"/>
      <c r="D2364" s="287"/>
      <c r="E2364" s="231"/>
      <c r="F2364" s="231"/>
      <c r="G2364" s="222"/>
      <c r="H2364" s="57" t="s">
        <v>69</v>
      </c>
      <c r="I2364" s="50">
        <f>D2360*K2364</f>
        <v>10979.1</v>
      </c>
      <c r="J2364" s="50">
        <f>I2364/D2360</f>
        <v>11</v>
      </c>
      <c r="K2364" s="72">
        <v>11</v>
      </c>
    </row>
    <row r="2365" spans="1:161" x14ac:dyDescent="0.25">
      <c r="A2365" s="231">
        <f>A2360+1</f>
        <v>2</v>
      </c>
      <c r="B2365" s="231">
        <v>4552</v>
      </c>
      <c r="C2365" s="195" t="s">
        <v>347</v>
      </c>
      <c r="D2365" s="231">
        <v>301.45999999999998</v>
      </c>
      <c r="E2365" s="231" t="s">
        <v>68</v>
      </c>
      <c r="F2365" s="231">
        <v>2</v>
      </c>
      <c r="G2365" s="216" t="s">
        <v>65</v>
      </c>
      <c r="H2365" s="57" t="s">
        <v>66</v>
      </c>
      <c r="I2365" s="50">
        <f>SUM(I2366:I2367)</f>
        <v>2317624.48</v>
      </c>
      <c r="J2365" s="50">
        <f>SUM(J2366:J2367)</f>
        <v>7688</v>
      </c>
      <c r="K2365" s="50">
        <f>SUM(K2366:K2367)</f>
        <v>7688</v>
      </c>
    </row>
    <row r="2366" spans="1:161" ht="15.75" customHeight="1" x14ac:dyDescent="0.25">
      <c r="A2366" s="231"/>
      <c r="B2366" s="231"/>
      <c r="C2366" s="195"/>
      <c r="D2366" s="231"/>
      <c r="E2366" s="231"/>
      <c r="F2366" s="231"/>
      <c r="G2366" s="217"/>
      <c r="H2366" s="57" t="s">
        <v>67</v>
      </c>
      <c r="I2366" s="50">
        <f>D2365*K2366</f>
        <v>2269089.42</v>
      </c>
      <c r="J2366" s="50">
        <f>I2366/D2365</f>
        <v>7527</v>
      </c>
      <c r="K2366" s="72">
        <v>7527</v>
      </c>
    </row>
    <row r="2367" spans="1:161" x14ac:dyDescent="0.25">
      <c r="A2367" s="231"/>
      <c r="B2367" s="231"/>
      <c r="C2367" s="195"/>
      <c r="D2367" s="231"/>
      <c r="E2367" s="231"/>
      <c r="F2367" s="231"/>
      <c r="G2367" s="222"/>
      <c r="H2367" s="57" t="s">
        <v>69</v>
      </c>
      <c r="I2367" s="50">
        <f>D2365*K2367</f>
        <v>48535.06</v>
      </c>
      <c r="J2367" s="50">
        <f>I2367/D2365</f>
        <v>161</v>
      </c>
      <c r="K2367" s="72">
        <v>161</v>
      </c>
    </row>
    <row r="2368" spans="1:161" x14ac:dyDescent="0.25">
      <c r="A2368" s="231">
        <f>A2365+1</f>
        <v>3</v>
      </c>
      <c r="B2368" s="231">
        <v>4486</v>
      </c>
      <c r="C2368" s="195" t="s">
        <v>349</v>
      </c>
      <c r="D2368" s="287">
        <v>285.2</v>
      </c>
      <c r="E2368" s="231" t="s">
        <v>68</v>
      </c>
      <c r="F2368" s="231">
        <v>2</v>
      </c>
      <c r="G2368" s="105"/>
      <c r="H2368" s="57" t="s">
        <v>66</v>
      </c>
      <c r="I2368" s="50">
        <f>SUM(I2369:I2372)</f>
        <v>997344.4</v>
      </c>
      <c r="J2368" s="50">
        <f>SUM(J2369:J2372)</f>
        <v>3497</v>
      </c>
      <c r="K2368" s="50">
        <f>SUM(K2369:K2372)</f>
        <v>3497</v>
      </c>
    </row>
    <row r="2369" spans="1:11" x14ac:dyDescent="0.25">
      <c r="A2369" s="231"/>
      <c r="B2369" s="231"/>
      <c r="C2369" s="195"/>
      <c r="D2369" s="287"/>
      <c r="E2369" s="231"/>
      <c r="F2369" s="231"/>
      <c r="G2369" s="216" t="s">
        <v>70</v>
      </c>
      <c r="H2369" s="57" t="s">
        <v>67</v>
      </c>
      <c r="I2369" s="50">
        <f>D2368*K2369</f>
        <v>830217.2</v>
      </c>
      <c r="J2369" s="50">
        <f>I2369/D2368</f>
        <v>2911</v>
      </c>
      <c r="K2369" s="72">
        <v>2911</v>
      </c>
    </row>
    <row r="2370" spans="1:11" x14ac:dyDescent="0.25">
      <c r="A2370" s="231"/>
      <c r="B2370" s="231"/>
      <c r="C2370" s="195"/>
      <c r="D2370" s="287"/>
      <c r="E2370" s="231"/>
      <c r="F2370" s="231"/>
      <c r="G2370" s="222"/>
      <c r="H2370" s="57" t="s">
        <v>69</v>
      </c>
      <c r="I2370" s="50">
        <f>D2368*K2370</f>
        <v>17682.400000000001</v>
      </c>
      <c r="J2370" s="50">
        <f>I2370/D2368</f>
        <v>62</v>
      </c>
      <c r="K2370" s="72">
        <v>62</v>
      </c>
    </row>
    <row r="2371" spans="1:11" x14ac:dyDescent="0.25">
      <c r="A2371" s="231"/>
      <c r="B2371" s="231"/>
      <c r="C2371" s="195"/>
      <c r="D2371" s="287"/>
      <c r="E2371" s="231"/>
      <c r="F2371" s="231"/>
      <c r="G2371" s="216" t="s">
        <v>71</v>
      </c>
      <c r="H2371" s="57" t="s">
        <v>67</v>
      </c>
      <c r="I2371" s="50">
        <f>D2368*K2371</f>
        <v>146307.6</v>
      </c>
      <c r="J2371" s="50">
        <f>I2371/D2368</f>
        <v>513</v>
      </c>
      <c r="K2371" s="72">
        <v>513</v>
      </c>
    </row>
    <row r="2372" spans="1:11" x14ac:dyDescent="0.25">
      <c r="A2372" s="231"/>
      <c r="B2372" s="231"/>
      <c r="C2372" s="195"/>
      <c r="D2372" s="287"/>
      <c r="E2372" s="231"/>
      <c r="F2372" s="231"/>
      <c r="G2372" s="222"/>
      <c r="H2372" s="57" t="s">
        <v>69</v>
      </c>
      <c r="I2372" s="50">
        <f>D2368*K2372</f>
        <v>3137.2</v>
      </c>
      <c r="J2372" s="50">
        <f>I2372/D2368</f>
        <v>11</v>
      </c>
      <c r="K2372" s="72">
        <v>11</v>
      </c>
    </row>
    <row r="2373" spans="1:11" x14ac:dyDescent="0.25">
      <c r="A2373" s="231">
        <f t="shared" ref="A2373" si="76">A2368+1</f>
        <v>4</v>
      </c>
      <c r="B2373" s="231">
        <v>4616</v>
      </c>
      <c r="C2373" s="195" t="s">
        <v>350</v>
      </c>
      <c r="D2373" s="231">
        <v>404.18</v>
      </c>
      <c r="E2373" s="231" t="s">
        <v>68</v>
      </c>
      <c r="F2373" s="231">
        <v>2</v>
      </c>
      <c r="G2373" s="216" t="s">
        <v>65</v>
      </c>
      <c r="H2373" s="57" t="s">
        <v>66</v>
      </c>
      <c r="I2373" s="50">
        <f>SUM(I2374:I2375)</f>
        <v>3107335.84</v>
      </c>
      <c r="J2373" s="50">
        <f>SUM(J2374:J2375)</f>
        <v>7688</v>
      </c>
      <c r="K2373" s="50">
        <f>SUM(K2374:K2375)</f>
        <v>7688</v>
      </c>
    </row>
    <row r="2374" spans="1:11" ht="15.75" customHeight="1" x14ac:dyDescent="0.25">
      <c r="A2374" s="231"/>
      <c r="B2374" s="231"/>
      <c r="C2374" s="195"/>
      <c r="D2374" s="231"/>
      <c r="E2374" s="231"/>
      <c r="F2374" s="231"/>
      <c r="G2374" s="217"/>
      <c r="H2374" s="57" t="s">
        <v>67</v>
      </c>
      <c r="I2374" s="50">
        <f>D2373*K2374</f>
        <v>3042262.86</v>
      </c>
      <c r="J2374" s="50">
        <f>I2374/D2373</f>
        <v>7527</v>
      </c>
      <c r="K2374" s="72">
        <v>7527</v>
      </c>
    </row>
    <row r="2375" spans="1:11" x14ac:dyDescent="0.25">
      <c r="A2375" s="231"/>
      <c r="B2375" s="231"/>
      <c r="C2375" s="195"/>
      <c r="D2375" s="231"/>
      <c r="E2375" s="231"/>
      <c r="F2375" s="231"/>
      <c r="G2375" s="222"/>
      <c r="H2375" s="57" t="s">
        <v>69</v>
      </c>
      <c r="I2375" s="50">
        <f>D2373*K2375</f>
        <v>65072.98</v>
      </c>
      <c r="J2375" s="50">
        <f>I2375/D2373</f>
        <v>161</v>
      </c>
      <c r="K2375" s="72">
        <v>161</v>
      </c>
    </row>
    <row r="2376" spans="1:11" x14ac:dyDescent="0.25">
      <c r="A2376" s="231">
        <f>A2373+1</f>
        <v>5</v>
      </c>
      <c r="B2376" s="231">
        <v>4399</v>
      </c>
      <c r="C2376" s="195" t="s">
        <v>435</v>
      </c>
      <c r="D2376" s="287">
        <v>351</v>
      </c>
      <c r="E2376" s="231" t="s">
        <v>68</v>
      </c>
      <c r="F2376" s="231">
        <v>2</v>
      </c>
      <c r="G2376" s="216" t="s">
        <v>65</v>
      </c>
      <c r="H2376" s="57" t="s">
        <v>66</v>
      </c>
      <c r="I2376" s="50">
        <f>SUM(I2377:I2378)</f>
        <v>2698488</v>
      </c>
      <c r="J2376" s="50">
        <f>SUM(J2377:J2378)</f>
        <v>7688</v>
      </c>
      <c r="K2376" s="50">
        <f t="shared" ref="K2376" si="77">SUM(K2377:K2378)</f>
        <v>7688</v>
      </c>
    </row>
    <row r="2377" spans="1:11" ht="15.75" customHeight="1" x14ac:dyDescent="0.25">
      <c r="A2377" s="231"/>
      <c r="B2377" s="231"/>
      <c r="C2377" s="195"/>
      <c r="D2377" s="287"/>
      <c r="E2377" s="231"/>
      <c r="F2377" s="231"/>
      <c r="G2377" s="217"/>
      <c r="H2377" s="57" t="s">
        <v>67</v>
      </c>
      <c r="I2377" s="50">
        <f>D2376*K2377</f>
        <v>2641977</v>
      </c>
      <c r="J2377" s="50">
        <f>I2377/D2376</f>
        <v>7527</v>
      </c>
      <c r="K2377" s="72">
        <v>7527</v>
      </c>
    </row>
    <row r="2378" spans="1:11" x14ac:dyDescent="0.25">
      <c r="A2378" s="231"/>
      <c r="B2378" s="231"/>
      <c r="C2378" s="195"/>
      <c r="D2378" s="287"/>
      <c r="E2378" s="231"/>
      <c r="F2378" s="231"/>
      <c r="G2378" s="222"/>
      <c r="H2378" s="57" t="s">
        <v>69</v>
      </c>
      <c r="I2378" s="50">
        <f>D2376*K2378</f>
        <v>56511</v>
      </c>
      <c r="J2378" s="50">
        <f>I2378/D2376</f>
        <v>161</v>
      </c>
      <c r="K2378" s="72">
        <v>161</v>
      </c>
    </row>
    <row r="2379" spans="1:11" x14ac:dyDescent="0.25">
      <c r="A2379" s="231">
        <f>A2376+1</f>
        <v>6</v>
      </c>
      <c r="B2379" s="231">
        <v>4437</v>
      </c>
      <c r="C2379" s="195" t="s">
        <v>351</v>
      </c>
      <c r="D2379" s="287">
        <v>965.1</v>
      </c>
      <c r="E2379" s="231" t="s">
        <v>68</v>
      </c>
      <c r="F2379" s="231">
        <v>2</v>
      </c>
      <c r="G2379" s="216" t="s">
        <v>65</v>
      </c>
      <c r="H2379" s="57" t="s">
        <v>66</v>
      </c>
      <c r="I2379" s="50">
        <f>SUM(I2380:I2381)</f>
        <v>7419688.7999999998</v>
      </c>
      <c r="J2379" s="50">
        <f>SUM(J2380:J2381)</f>
        <v>7688</v>
      </c>
      <c r="K2379" s="50">
        <f t="shared" ref="K2379" si="78">SUM(K2380:K2381)</f>
        <v>7688</v>
      </c>
    </row>
    <row r="2380" spans="1:11" ht="15.75" customHeight="1" x14ac:dyDescent="0.25">
      <c r="A2380" s="231"/>
      <c r="B2380" s="231"/>
      <c r="C2380" s="195"/>
      <c r="D2380" s="287"/>
      <c r="E2380" s="231"/>
      <c r="F2380" s="231"/>
      <c r="G2380" s="217"/>
      <c r="H2380" s="57" t="s">
        <v>67</v>
      </c>
      <c r="I2380" s="50">
        <f>D2379*K2380</f>
        <v>7264307.7000000002</v>
      </c>
      <c r="J2380" s="50">
        <f>I2380/D2379</f>
        <v>7527</v>
      </c>
      <c r="K2380" s="72">
        <v>7527</v>
      </c>
    </row>
    <row r="2381" spans="1:11" x14ac:dyDescent="0.25">
      <c r="A2381" s="231"/>
      <c r="B2381" s="231"/>
      <c r="C2381" s="195"/>
      <c r="D2381" s="287"/>
      <c r="E2381" s="231"/>
      <c r="F2381" s="231"/>
      <c r="G2381" s="222"/>
      <c r="H2381" s="57" t="s">
        <v>69</v>
      </c>
      <c r="I2381" s="50">
        <f>D2379*K2381</f>
        <v>155381.1</v>
      </c>
      <c r="J2381" s="50">
        <f>I2381/D2379</f>
        <v>161</v>
      </c>
      <c r="K2381" s="72">
        <v>161</v>
      </c>
    </row>
    <row r="2382" spans="1:11" x14ac:dyDescent="0.25">
      <c r="A2382" s="231">
        <f>A2379+1</f>
        <v>7</v>
      </c>
      <c r="B2382" s="231">
        <v>4481</v>
      </c>
      <c r="C2382" s="195" t="s">
        <v>355</v>
      </c>
      <c r="D2382" s="287">
        <v>388.18</v>
      </c>
      <c r="E2382" s="231" t="s">
        <v>68</v>
      </c>
      <c r="F2382" s="231">
        <v>2</v>
      </c>
      <c r="G2382" s="216" t="s">
        <v>65</v>
      </c>
      <c r="H2382" s="57" t="s">
        <v>66</v>
      </c>
      <c r="I2382" s="50">
        <f>SUM(I2383:I2384)</f>
        <v>2984327.84</v>
      </c>
      <c r="J2382" s="50">
        <f>SUM(J2383:J2384)</f>
        <v>7688</v>
      </c>
      <c r="K2382" s="50">
        <f t="shared" ref="K2382" si="79">SUM(K2383:K2384)</f>
        <v>7688</v>
      </c>
    </row>
    <row r="2383" spans="1:11" ht="15.75" customHeight="1" x14ac:dyDescent="0.25">
      <c r="A2383" s="231"/>
      <c r="B2383" s="231"/>
      <c r="C2383" s="195"/>
      <c r="D2383" s="287"/>
      <c r="E2383" s="231"/>
      <c r="F2383" s="231"/>
      <c r="G2383" s="217"/>
      <c r="H2383" s="57" t="s">
        <v>67</v>
      </c>
      <c r="I2383" s="50">
        <f>D2382*K2383</f>
        <v>2921830.86</v>
      </c>
      <c r="J2383" s="50">
        <f>I2383/D2382</f>
        <v>7527</v>
      </c>
      <c r="K2383" s="72">
        <v>7527</v>
      </c>
    </row>
    <row r="2384" spans="1:11" x14ac:dyDescent="0.25">
      <c r="A2384" s="231"/>
      <c r="B2384" s="231"/>
      <c r="C2384" s="195"/>
      <c r="D2384" s="287"/>
      <c r="E2384" s="231"/>
      <c r="F2384" s="231"/>
      <c r="G2384" s="222"/>
      <c r="H2384" s="57" t="s">
        <v>69</v>
      </c>
      <c r="I2384" s="50">
        <f>D2382*K2384</f>
        <v>62496.98</v>
      </c>
      <c r="J2384" s="50">
        <f>I2384/D2382</f>
        <v>161</v>
      </c>
      <c r="K2384" s="72">
        <v>161</v>
      </c>
    </row>
    <row r="2385" spans="1:161" x14ac:dyDescent="0.25">
      <c r="A2385" s="196" t="s">
        <v>533</v>
      </c>
      <c r="B2385" s="197"/>
      <c r="C2385" s="198"/>
      <c r="D2385" s="109">
        <f>D2386</f>
        <v>376.3</v>
      </c>
      <c r="E2385" s="109"/>
      <c r="F2385" s="109"/>
      <c r="G2385" s="105"/>
      <c r="H2385" s="57"/>
      <c r="I2385" s="109">
        <f>I2386</f>
        <v>3086788.9</v>
      </c>
      <c r="J2385" s="50"/>
      <c r="K2385" s="50"/>
    </row>
    <row r="2386" spans="1:161" x14ac:dyDescent="0.25">
      <c r="A2386" s="284">
        <v>1</v>
      </c>
      <c r="B2386" s="231">
        <v>4777</v>
      </c>
      <c r="C2386" s="195" t="s">
        <v>562</v>
      </c>
      <c r="D2386" s="220">
        <v>376.3</v>
      </c>
      <c r="E2386" s="220" t="s">
        <v>68</v>
      </c>
      <c r="F2386" s="228">
        <v>2</v>
      </c>
      <c r="G2386" s="216" t="s">
        <v>65</v>
      </c>
      <c r="H2386" s="57" t="s">
        <v>66</v>
      </c>
      <c r="I2386" s="50">
        <f>SUM(I2387:I2388)</f>
        <v>3086788.9</v>
      </c>
      <c r="J2386" s="50">
        <f>SUM(J2387:J2388)</f>
        <v>8203</v>
      </c>
      <c r="K2386" s="50">
        <f>SUM(K2387:K2388)</f>
        <v>8203</v>
      </c>
    </row>
    <row r="2387" spans="1:161" x14ac:dyDescent="0.25">
      <c r="A2387" s="285"/>
      <c r="B2387" s="231"/>
      <c r="C2387" s="195"/>
      <c r="D2387" s="221"/>
      <c r="E2387" s="221"/>
      <c r="F2387" s="229"/>
      <c r="G2387" s="217"/>
      <c r="H2387" s="57" t="s">
        <v>67</v>
      </c>
      <c r="I2387" s="109">
        <f>K2387*D2386</f>
        <v>3022065.3</v>
      </c>
      <c r="J2387" s="50">
        <f>I2387/D2386</f>
        <v>8031</v>
      </c>
      <c r="K2387" s="50">
        <v>8031</v>
      </c>
    </row>
    <row r="2388" spans="1:161" x14ac:dyDescent="0.25">
      <c r="A2388" s="286"/>
      <c r="B2388" s="231"/>
      <c r="C2388" s="195"/>
      <c r="D2388" s="227"/>
      <c r="E2388" s="227"/>
      <c r="F2388" s="230"/>
      <c r="G2388" s="222"/>
      <c r="H2388" s="57" t="s">
        <v>69</v>
      </c>
      <c r="I2388" s="50">
        <f>K2388*D2386</f>
        <v>64723.6</v>
      </c>
      <c r="J2388" s="50">
        <f>I2388/D2386</f>
        <v>172</v>
      </c>
      <c r="K2388" s="50">
        <v>172</v>
      </c>
    </row>
    <row r="2389" spans="1:161" x14ac:dyDescent="0.25">
      <c r="A2389" s="71" t="s">
        <v>33</v>
      </c>
      <c r="B2389" s="114"/>
      <c r="C2389" s="91"/>
      <c r="D2389" s="50">
        <f>D2390</f>
        <v>7239.6</v>
      </c>
      <c r="E2389" s="68"/>
      <c r="F2389" s="68"/>
      <c r="G2389" s="105"/>
      <c r="H2389" s="54"/>
      <c r="I2389" s="50">
        <f>I2390</f>
        <v>1245211.2</v>
      </c>
      <c r="J2389" s="50"/>
      <c r="K2389" s="50"/>
      <c r="L2389" s="41"/>
      <c r="M2389" s="41"/>
      <c r="N2389" s="41"/>
      <c r="O2389" s="41"/>
      <c r="P2389" s="41"/>
      <c r="Q2389" s="41"/>
      <c r="R2389" s="41"/>
      <c r="S2389" s="41"/>
      <c r="T2389" s="41"/>
      <c r="U2389" s="41"/>
      <c r="V2389" s="41"/>
      <c r="W2389" s="41"/>
      <c r="X2389" s="41"/>
      <c r="Y2389" s="41"/>
      <c r="Z2389" s="41"/>
      <c r="AA2389" s="41"/>
      <c r="AB2389" s="41"/>
      <c r="AC2389" s="41"/>
      <c r="AD2389" s="41"/>
      <c r="AE2389" s="41"/>
      <c r="AF2389" s="41"/>
      <c r="AG2389" s="41"/>
      <c r="AH2389" s="41"/>
      <c r="AI2389" s="41"/>
      <c r="AJ2389" s="41"/>
      <c r="AK2389" s="41"/>
      <c r="AL2389" s="41"/>
      <c r="AM2389" s="41"/>
      <c r="AN2389" s="41"/>
      <c r="AO2389" s="41"/>
      <c r="AP2389" s="41"/>
      <c r="AQ2389" s="41"/>
      <c r="AR2389" s="41"/>
      <c r="AS2389" s="41"/>
      <c r="AT2389" s="41"/>
      <c r="AU2389" s="41"/>
      <c r="AV2389" s="41"/>
      <c r="AW2389" s="41"/>
      <c r="AX2389" s="41"/>
      <c r="AY2389" s="41"/>
      <c r="AZ2389" s="41"/>
      <c r="BA2389" s="41"/>
      <c r="BB2389" s="41"/>
      <c r="BC2389" s="41"/>
      <c r="BD2389" s="41"/>
      <c r="BE2389" s="41"/>
      <c r="BF2389" s="41"/>
      <c r="BG2389" s="41"/>
      <c r="BH2389" s="41"/>
      <c r="BI2389" s="41"/>
      <c r="BJ2389" s="41"/>
      <c r="BK2389" s="41"/>
      <c r="BL2389" s="41"/>
      <c r="BM2389" s="41"/>
      <c r="BN2389" s="41"/>
      <c r="BO2389" s="41"/>
      <c r="BP2389" s="41"/>
      <c r="BQ2389" s="41"/>
      <c r="BR2389" s="41"/>
      <c r="BS2389" s="41"/>
      <c r="BT2389" s="41"/>
      <c r="BU2389" s="41"/>
      <c r="BV2389" s="41"/>
      <c r="BW2389" s="41"/>
      <c r="BX2389" s="41"/>
      <c r="BY2389" s="41"/>
      <c r="BZ2389" s="41"/>
      <c r="CA2389" s="41"/>
      <c r="CB2389" s="41"/>
      <c r="CC2389" s="41"/>
      <c r="CD2389" s="41"/>
      <c r="CE2389" s="41"/>
      <c r="CF2389" s="41"/>
      <c r="CG2389" s="41"/>
      <c r="CH2389" s="41"/>
      <c r="CI2389" s="41"/>
      <c r="CJ2389" s="41"/>
      <c r="CK2389" s="41"/>
      <c r="CL2389" s="41"/>
      <c r="CM2389" s="41"/>
      <c r="CN2389" s="41"/>
      <c r="CO2389" s="41"/>
      <c r="CP2389" s="41"/>
      <c r="CQ2389" s="41"/>
      <c r="CR2389" s="41"/>
      <c r="CS2389" s="41"/>
      <c r="CT2389" s="41"/>
      <c r="CU2389" s="41"/>
      <c r="CV2389" s="41"/>
      <c r="CW2389" s="41"/>
      <c r="CX2389" s="41"/>
      <c r="CY2389" s="41"/>
      <c r="CZ2389" s="41"/>
      <c r="DA2389" s="41"/>
      <c r="DB2389" s="41"/>
      <c r="DC2389" s="41"/>
      <c r="DD2389" s="41"/>
      <c r="DE2389" s="41"/>
      <c r="DF2389" s="41"/>
      <c r="DG2389" s="41"/>
      <c r="DH2389" s="41"/>
      <c r="DI2389" s="41"/>
      <c r="DJ2389" s="41"/>
      <c r="DK2389" s="41"/>
      <c r="DL2389" s="41"/>
      <c r="DM2389" s="41"/>
      <c r="DN2389" s="41"/>
      <c r="DO2389" s="41"/>
      <c r="DP2389" s="41"/>
      <c r="DQ2389" s="41"/>
      <c r="DR2389" s="41"/>
      <c r="DS2389" s="41"/>
      <c r="DT2389" s="41"/>
      <c r="DU2389" s="41"/>
      <c r="DV2389" s="41"/>
      <c r="DW2389" s="41"/>
      <c r="DX2389" s="41"/>
      <c r="DY2389" s="41"/>
      <c r="DZ2389" s="41"/>
      <c r="EA2389" s="41"/>
      <c r="EB2389" s="41"/>
      <c r="EC2389" s="41"/>
      <c r="ED2389" s="41"/>
      <c r="EE2389" s="41"/>
      <c r="EF2389" s="41"/>
      <c r="EG2389" s="41"/>
      <c r="EH2389" s="41"/>
      <c r="EI2389" s="41"/>
      <c r="EJ2389" s="41"/>
      <c r="EK2389" s="41"/>
      <c r="EL2389" s="41"/>
      <c r="EM2389" s="41"/>
      <c r="EN2389" s="41"/>
      <c r="EO2389" s="41"/>
      <c r="EP2389" s="41"/>
      <c r="EQ2389" s="41"/>
      <c r="ER2389" s="41"/>
      <c r="ES2389" s="41"/>
      <c r="ET2389" s="41"/>
      <c r="EU2389" s="41"/>
      <c r="EV2389" s="41"/>
      <c r="EW2389" s="41"/>
      <c r="EX2389" s="41"/>
      <c r="EY2389" s="41"/>
      <c r="EZ2389" s="41"/>
      <c r="FA2389" s="41"/>
      <c r="FB2389" s="41"/>
      <c r="FC2389" s="41"/>
      <c r="FD2389" s="41"/>
      <c r="FE2389" s="41"/>
    </row>
    <row r="2390" spans="1:161" x14ac:dyDescent="0.25">
      <c r="A2390" s="311">
        <v>1</v>
      </c>
      <c r="B2390" s="216">
        <v>5055</v>
      </c>
      <c r="C2390" s="218" t="s">
        <v>288</v>
      </c>
      <c r="D2390" s="220">
        <v>7239.6</v>
      </c>
      <c r="E2390" s="228" t="s">
        <v>64</v>
      </c>
      <c r="F2390" s="228">
        <v>5</v>
      </c>
      <c r="G2390" s="216" t="s">
        <v>65</v>
      </c>
      <c r="H2390" s="54" t="s">
        <v>66</v>
      </c>
      <c r="I2390" s="50">
        <f>I2391</f>
        <v>1245211.2</v>
      </c>
      <c r="J2390" s="50">
        <f>J2391</f>
        <v>172</v>
      </c>
      <c r="K2390" s="50">
        <f>K2391</f>
        <v>172</v>
      </c>
      <c r="L2390" s="41"/>
      <c r="M2390" s="41"/>
      <c r="N2390" s="41"/>
      <c r="O2390" s="41"/>
      <c r="P2390" s="41"/>
      <c r="Q2390" s="41"/>
      <c r="R2390" s="41"/>
      <c r="S2390" s="41"/>
      <c r="T2390" s="41"/>
      <c r="U2390" s="41"/>
      <c r="V2390" s="41"/>
      <c r="W2390" s="41"/>
      <c r="X2390" s="41"/>
      <c r="Y2390" s="41"/>
      <c r="Z2390" s="41"/>
      <c r="AA2390" s="41"/>
      <c r="AB2390" s="41"/>
      <c r="AC2390" s="41"/>
      <c r="AD2390" s="41"/>
      <c r="AE2390" s="41"/>
      <c r="AF2390" s="41"/>
      <c r="AG2390" s="41"/>
      <c r="AH2390" s="41"/>
      <c r="AI2390" s="41"/>
      <c r="AJ2390" s="41"/>
      <c r="AK2390" s="41"/>
      <c r="AL2390" s="41"/>
      <c r="AM2390" s="41"/>
      <c r="AN2390" s="41"/>
      <c r="AO2390" s="41"/>
      <c r="AP2390" s="41"/>
      <c r="AQ2390" s="41"/>
      <c r="AR2390" s="41"/>
      <c r="AS2390" s="41"/>
      <c r="AT2390" s="41"/>
      <c r="AU2390" s="41"/>
      <c r="AV2390" s="41"/>
      <c r="AW2390" s="41"/>
      <c r="AX2390" s="41"/>
      <c r="AY2390" s="41"/>
      <c r="AZ2390" s="41"/>
      <c r="BA2390" s="41"/>
      <c r="BB2390" s="41"/>
      <c r="BC2390" s="41"/>
      <c r="BD2390" s="41"/>
      <c r="BE2390" s="41"/>
      <c r="BF2390" s="41"/>
      <c r="BG2390" s="41"/>
      <c r="BH2390" s="41"/>
      <c r="BI2390" s="41"/>
      <c r="BJ2390" s="41"/>
      <c r="BK2390" s="41"/>
      <c r="BL2390" s="41"/>
      <c r="BM2390" s="41"/>
      <c r="BN2390" s="41"/>
      <c r="BO2390" s="41"/>
      <c r="BP2390" s="41"/>
      <c r="BQ2390" s="41"/>
      <c r="BR2390" s="41"/>
      <c r="BS2390" s="41"/>
      <c r="BT2390" s="41"/>
      <c r="BU2390" s="41"/>
      <c r="BV2390" s="41"/>
      <c r="BW2390" s="41"/>
      <c r="BX2390" s="41"/>
      <c r="BY2390" s="41"/>
      <c r="BZ2390" s="41"/>
      <c r="CA2390" s="41"/>
      <c r="CB2390" s="41"/>
      <c r="CC2390" s="41"/>
      <c r="CD2390" s="41"/>
      <c r="CE2390" s="41"/>
      <c r="CF2390" s="41"/>
      <c r="CG2390" s="41"/>
      <c r="CH2390" s="41"/>
      <c r="CI2390" s="41"/>
      <c r="CJ2390" s="41"/>
      <c r="CK2390" s="41"/>
      <c r="CL2390" s="41"/>
      <c r="CM2390" s="41"/>
      <c r="CN2390" s="41"/>
      <c r="CO2390" s="41"/>
      <c r="CP2390" s="41"/>
      <c r="CQ2390" s="41"/>
      <c r="CR2390" s="41"/>
      <c r="CS2390" s="41"/>
      <c r="CT2390" s="41"/>
      <c r="CU2390" s="41"/>
      <c r="CV2390" s="41"/>
      <c r="CW2390" s="41"/>
      <c r="CX2390" s="41"/>
      <c r="CY2390" s="41"/>
      <c r="CZ2390" s="41"/>
      <c r="DA2390" s="41"/>
      <c r="DB2390" s="41"/>
      <c r="DC2390" s="41"/>
      <c r="DD2390" s="41"/>
      <c r="DE2390" s="41"/>
      <c r="DF2390" s="41"/>
      <c r="DG2390" s="41"/>
      <c r="DH2390" s="41"/>
      <c r="DI2390" s="41"/>
      <c r="DJ2390" s="41"/>
      <c r="DK2390" s="41"/>
      <c r="DL2390" s="41"/>
      <c r="DM2390" s="41"/>
      <c r="DN2390" s="41"/>
      <c r="DO2390" s="41"/>
      <c r="DP2390" s="41"/>
      <c r="DQ2390" s="41"/>
      <c r="DR2390" s="41"/>
      <c r="DS2390" s="41"/>
      <c r="DT2390" s="41"/>
      <c r="DU2390" s="41"/>
      <c r="DV2390" s="41"/>
      <c r="DW2390" s="41"/>
      <c r="DX2390" s="41"/>
      <c r="DY2390" s="41"/>
      <c r="DZ2390" s="41"/>
      <c r="EA2390" s="41"/>
      <c r="EB2390" s="41"/>
      <c r="EC2390" s="41"/>
      <c r="ED2390" s="41"/>
      <c r="EE2390" s="41"/>
      <c r="EF2390" s="41"/>
      <c r="EG2390" s="41"/>
      <c r="EH2390" s="41"/>
      <c r="EI2390" s="41"/>
      <c r="EJ2390" s="41"/>
      <c r="EK2390" s="41"/>
      <c r="EL2390" s="41"/>
      <c r="EM2390" s="41"/>
      <c r="EN2390" s="41"/>
      <c r="EO2390" s="41"/>
      <c r="EP2390" s="41"/>
      <c r="EQ2390" s="41"/>
      <c r="ER2390" s="41"/>
      <c r="ES2390" s="41"/>
      <c r="ET2390" s="41"/>
      <c r="EU2390" s="41"/>
      <c r="EV2390" s="41"/>
      <c r="EW2390" s="41"/>
      <c r="EX2390" s="41"/>
      <c r="EY2390" s="41"/>
      <c r="EZ2390" s="41"/>
      <c r="FA2390" s="41"/>
      <c r="FB2390" s="41"/>
      <c r="FC2390" s="41"/>
      <c r="FD2390" s="41"/>
      <c r="FE2390" s="41"/>
    </row>
    <row r="2391" spans="1:161" ht="63" x14ac:dyDescent="0.25">
      <c r="A2391" s="312">
        <v>61</v>
      </c>
      <c r="B2391" s="222"/>
      <c r="C2391" s="226"/>
      <c r="D2391" s="227"/>
      <c r="E2391" s="230"/>
      <c r="F2391" s="230"/>
      <c r="G2391" s="222"/>
      <c r="H2391" s="54" t="s">
        <v>178</v>
      </c>
      <c r="I2391" s="50">
        <f>D2390*K2391</f>
        <v>1245211.2</v>
      </c>
      <c r="J2391" s="50">
        <f>I2391/D2390</f>
        <v>172</v>
      </c>
      <c r="K2391" s="50">
        <f>154+18</f>
        <v>172</v>
      </c>
      <c r="L2391" s="41"/>
      <c r="M2391" s="41"/>
      <c r="N2391" s="41"/>
      <c r="O2391" s="41"/>
      <c r="P2391" s="41"/>
      <c r="Q2391" s="41"/>
      <c r="R2391" s="41"/>
      <c r="S2391" s="41"/>
      <c r="T2391" s="41"/>
      <c r="U2391" s="41"/>
      <c r="V2391" s="41"/>
      <c r="W2391" s="41"/>
      <c r="X2391" s="41"/>
      <c r="Y2391" s="41"/>
      <c r="Z2391" s="41"/>
      <c r="AA2391" s="41"/>
      <c r="AB2391" s="41"/>
      <c r="AC2391" s="41"/>
      <c r="AD2391" s="41"/>
      <c r="AE2391" s="41"/>
      <c r="AF2391" s="41"/>
      <c r="AG2391" s="41"/>
      <c r="AH2391" s="41"/>
      <c r="AI2391" s="41"/>
      <c r="AJ2391" s="41"/>
      <c r="AK2391" s="41"/>
      <c r="AL2391" s="41"/>
      <c r="AM2391" s="41"/>
      <c r="AN2391" s="41"/>
      <c r="AO2391" s="41"/>
      <c r="AP2391" s="41"/>
      <c r="AQ2391" s="41"/>
      <c r="AR2391" s="41"/>
      <c r="AS2391" s="41"/>
      <c r="AT2391" s="41"/>
      <c r="AU2391" s="41"/>
      <c r="AV2391" s="41"/>
      <c r="AW2391" s="41"/>
      <c r="AX2391" s="41"/>
      <c r="AY2391" s="41"/>
      <c r="AZ2391" s="41"/>
      <c r="BA2391" s="41"/>
      <c r="BB2391" s="41"/>
      <c r="BC2391" s="41"/>
      <c r="BD2391" s="41"/>
      <c r="BE2391" s="41"/>
      <c r="BF2391" s="41"/>
      <c r="BG2391" s="41"/>
      <c r="BH2391" s="41"/>
      <c r="BI2391" s="41"/>
      <c r="BJ2391" s="41"/>
      <c r="BK2391" s="41"/>
      <c r="BL2391" s="41"/>
      <c r="BM2391" s="41"/>
      <c r="BN2391" s="41"/>
      <c r="BO2391" s="41"/>
      <c r="BP2391" s="41"/>
      <c r="BQ2391" s="41"/>
      <c r="BR2391" s="41"/>
      <c r="BS2391" s="41"/>
      <c r="BT2391" s="41"/>
      <c r="BU2391" s="41"/>
      <c r="BV2391" s="41"/>
      <c r="BW2391" s="41"/>
      <c r="BX2391" s="41"/>
      <c r="BY2391" s="41"/>
      <c r="BZ2391" s="41"/>
      <c r="CA2391" s="41"/>
      <c r="CB2391" s="41"/>
      <c r="CC2391" s="41"/>
      <c r="CD2391" s="41"/>
      <c r="CE2391" s="41"/>
      <c r="CF2391" s="41"/>
      <c r="CG2391" s="41"/>
      <c r="CH2391" s="41"/>
      <c r="CI2391" s="41"/>
      <c r="CJ2391" s="41"/>
      <c r="CK2391" s="41"/>
      <c r="CL2391" s="41"/>
      <c r="CM2391" s="41"/>
      <c r="CN2391" s="41"/>
      <c r="CO2391" s="41"/>
      <c r="CP2391" s="41"/>
      <c r="CQ2391" s="41"/>
      <c r="CR2391" s="41"/>
      <c r="CS2391" s="41"/>
      <c r="CT2391" s="41"/>
      <c r="CU2391" s="41"/>
      <c r="CV2391" s="41"/>
      <c r="CW2391" s="41"/>
      <c r="CX2391" s="41"/>
      <c r="CY2391" s="41"/>
      <c r="CZ2391" s="41"/>
      <c r="DA2391" s="41"/>
      <c r="DB2391" s="41"/>
      <c r="DC2391" s="41"/>
      <c r="DD2391" s="41"/>
      <c r="DE2391" s="41"/>
      <c r="DF2391" s="41"/>
      <c r="DG2391" s="41"/>
      <c r="DH2391" s="41"/>
      <c r="DI2391" s="41"/>
      <c r="DJ2391" s="41"/>
      <c r="DK2391" s="41"/>
      <c r="DL2391" s="41"/>
      <c r="DM2391" s="41"/>
      <c r="DN2391" s="41"/>
      <c r="DO2391" s="41"/>
      <c r="DP2391" s="41"/>
      <c r="DQ2391" s="41"/>
      <c r="DR2391" s="41"/>
      <c r="DS2391" s="41"/>
      <c r="DT2391" s="41"/>
      <c r="DU2391" s="41"/>
      <c r="DV2391" s="41"/>
      <c r="DW2391" s="41"/>
      <c r="DX2391" s="41"/>
      <c r="DY2391" s="41"/>
      <c r="DZ2391" s="41"/>
      <c r="EA2391" s="41"/>
      <c r="EB2391" s="41"/>
      <c r="EC2391" s="41"/>
      <c r="ED2391" s="41"/>
      <c r="EE2391" s="41"/>
      <c r="EF2391" s="41"/>
      <c r="EG2391" s="41"/>
      <c r="EH2391" s="41"/>
      <c r="EI2391" s="41"/>
      <c r="EJ2391" s="41"/>
      <c r="EK2391" s="41"/>
      <c r="EL2391" s="41"/>
      <c r="EM2391" s="41"/>
      <c r="EN2391" s="41"/>
      <c r="EO2391" s="41"/>
      <c r="EP2391" s="41"/>
      <c r="EQ2391" s="41"/>
      <c r="ER2391" s="41"/>
      <c r="ES2391" s="41"/>
      <c r="ET2391" s="41"/>
      <c r="EU2391" s="41"/>
      <c r="EV2391" s="41"/>
      <c r="EW2391" s="41"/>
      <c r="EX2391" s="41"/>
      <c r="EY2391" s="41"/>
      <c r="EZ2391" s="41"/>
      <c r="FA2391" s="41"/>
      <c r="FB2391" s="41"/>
      <c r="FC2391" s="41"/>
      <c r="FD2391" s="41"/>
      <c r="FE2391" s="41"/>
    </row>
    <row r="2392" spans="1:161" x14ac:dyDescent="0.25">
      <c r="A2392" s="71" t="s">
        <v>40</v>
      </c>
      <c r="B2392" s="114"/>
      <c r="C2392" s="91"/>
      <c r="D2392" s="116">
        <f>D2393+D2400+D2403+D2406+D2409+D2412+D2415+D2426+D2429+D2436+D2439+D2442+D2445+D2448+D2451+D2453+D2460+D2463+D2466+D2473+D2480+D2487+D2494+D2497+D2500+D2507+D2510</f>
        <v>162026.94</v>
      </c>
      <c r="E2392" s="116"/>
      <c r="F2392" s="116"/>
      <c r="G2392" s="116"/>
      <c r="H2392" s="17"/>
      <c r="I2392" s="116">
        <f>I2393+I2400+I2403+I2406+I2409+I2412+I2415+I2426+I2429+I2436+I2439+I2442+I2445+I2448+I2451+I2453+I2460+I2463+I2466+I2473+I2480+I2487+I2494+I2497+I2500+I2507+I2510</f>
        <v>230039510.19999999</v>
      </c>
      <c r="J2392" s="104"/>
      <c r="K2392" s="104"/>
      <c r="L2392" s="41"/>
      <c r="M2392" s="41"/>
      <c r="N2392" s="41"/>
      <c r="O2392" s="41"/>
      <c r="P2392" s="41"/>
      <c r="Q2392" s="41"/>
      <c r="R2392" s="41"/>
      <c r="S2392" s="41"/>
      <c r="T2392" s="41"/>
      <c r="U2392" s="41"/>
      <c r="V2392" s="41"/>
      <c r="W2392" s="41"/>
      <c r="X2392" s="41"/>
      <c r="Y2392" s="41"/>
      <c r="Z2392" s="41"/>
      <c r="AA2392" s="41"/>
      <c r="AB2392" s="41"/>
      <c r="AC2392" s="41"/>
      <c r="AD2392" s="41"/>
      <c r="AE2392" s="41"/>
      <c r="AF2392" s="41"/>
      <c r="AG2392" s="41"/>
      <c r="AH2392" s="41"/>
      <c r="AI2392" s="41"/>
      <c r="AJ2392" s="41"/>
      <c r="AK2392" s="41"/>
      <c r="AL2392" s="41"/>
      <c r="AM2392" s="41"/>
      <c r="AN2392" s="41"/>
      <c r="AO2392" s="41"/>
      <c r="AP2392" s="41"/>
      <c r="AQ2392" s="41"/>
      <c r="AR2392" s="41"/>
      <c r="AS2392" s="41"/>
      <c r="AT2392" s="41"/>
      <c r="AU2392" s="41"/>
      <c r="AV2392" s="41"/>
      <c r="AW2392" s="41"/>
      <c r="AX2392" s="41"/>
      <c r="AY2392" s="41"/>
      <c r="AZ2392" s="41"/>
      <c r="BA2392" s="41"/>
      <c r="BB2392" s="41"/>
      <c r="BC2392" s="41"/>
      <c r="BD2392" s="41"/>
      <c r="BE2392" s="41"/>
      <c r="BF2392" s="41"/>
      <c r="BG2392" s="41"/>
      <c r="BH2392" s="41"/>
      <c r="BI2392" s="41"/>
      <c r="BJ2392" s="41"/>
      <c r="BK2392" s="41"/>
      <c r="BL2392" s="41"/>
      <c r="BM2392" s="41"/>
      <c r="BN2392" s="41"/>
      <c r="BO2392" s="41"/>
      <c r="BP2392" s="41"/>
      <c r="BQ2392" s="41"/>
      <c r="BR2392" s="41"/>
      <c r="BS2392" s="41"/>
      <c r="BT2392" s="41"/>
      <c r="BU2392" s="41"/>
      <c r="BV2392" s="41"/>
      <c r="BW2392" s="41"/>
      <c r="BX2392" s="41"/>
      <c r="BY2392" s="41"/>
      <c r="BZ2392" s="41"/>
      <c r="CA2392" s="41"/>
      <c r="CB2392" s="41"/>
      <c r="CC2392" s="41"/>
      <c r="CD2392" s="41"/>
      <c r="CE2392" s="41"/>
      <c r="CF2392" s="41"/>
      <c r="CG2392" s="41"/>
      <c r="CH2392" s="41"/>
      <c r="CI2392" s="41"/>
      <c r="CJ2392" s="41"/>
      <c r="CK2392" s="41"/>
      <c r="CL2392" s="41"/>
      <c r="CM2392" s="41"/>
      <c r="CN2392" s="41"/>
      <c r="CO2392" s="41"/>
      <c r="CP2392" s="41"/>
      <c r="CQ2392" s="41"/>
      <c r="CR2392" s="41"/>
      <c r="CS2392" s="41"/>
      <c r="CT2392" s="41"/>
      <c r="CU2392" s="41"/>
      <c r="CV2392" s="41"/>
      <c r="CW2392" s="41"/>
      <c r="CX2392" s="41"/>
      <c r="CY2392" s="41"/>
      <c r="CZ2392" s="41"/>
      <c r="DA2392" s="41"/>
      <c r="DB2392" s="41"/>
      <c r="DC2392" s="41"/>
      <c r="DD2392" s="41"/>
      <c r="DE2392" s="41"/>
      <c r="DF2392" s="41"/>
      <c r="DG2392" s="41"/>
      <c r="DH2392" s="41"/>
      <c r="DI2392" s="41"/>
      <c r="DJ2392" s="41"/>
      <c r="DK2392" s="41"/>
      <c r="DL2392" s="41"/>
      <c r="DM2392" s="41"/>
      <c r="DN2392" s="41"/>
      <c r="DO2392" s="41"/>
      <c r="DP2392" s="41"/>
      <c r="DQ2392" s="41"/>
      <c r="DR2392" s="41"/>
      <c r="DS2392" s="41"/>
      <c r="DT2392" s="41"/>
      <c r="DU2392" s="41"/>
      <c r="DV2392" s="41"/>
      <c r="DW2392" s="41"/>
      <c r="DX2392" s="41"/>
      <c r="DY2392" s="41"/>
      <c r="DZ2392" s="41"/>
      <c r="EA2392" s="41"/>
      <c r="EB2392" s="41"/>
      <c r="EC2392" s="41"/>
      <c r="ED2392" s="41"/>
      <c r="EE2392" s="41"/>
      <c r="EF2392" s="41"/>
      <c r="EG2392" s="41"/>
      <c r="EH2392" s="41"/>
      <c r="EI2392" s="41"/>
      <c r="EJ2392" s="41"/>
      <c r="EK2392" s="41"/>
      <c r="EL2392" s="41"/>
      <c r="EM2392" s="41"/>
      <c r="EN2392" s="41"/>
      <c r="EO2392" s="41"/>
      <c r="EP2392" s="41"/>
      <c r="EQ2392" s="41"/>
      <c r="ER2392" s="41"/>
      <c r="ES2392" s="41"/>
      <c r="ET2392" s="41"/>
      <c r="EU2392" s="41"/>
      <c r="EV2392" s="41"/>
      <c r="EW2392" s="41"/>
      <c r="EX2392" s="41"/>
      <c r="EY2392" s="41"/>
      <c r="EZ2392" s="41"/>
      <c r="FA2392" s="41"/>
      <c r="FB2392" s="41"/>
      <c r="FC2392" s="41"/>
      <c r="FD2392" s="41"/>
      <c r="FE2392" s="41"/>
    </row>
    <row r="2393" spans="1:161" s="41" customFormat="1" x14ac:dyDescent="0.25">
      <c r="A2393" s="209">
        <v>1</v>
      </c>
      <c r="B2393" s="209">
        <v>5956</v>
      </c>
      <c r="C2393" s="212" t="s">
        <v>394</v>
      </c>
      <c r="D2393" s="205">
        <v>1225.2</v>
      </c>
      <c r="E2393" s="262" t="s">
        <v>68</v>
      </c>
      <c r="F2393" s="262">
        <v>3</v>
      </c>
      <c r="G2393" s="124"/>
      <c r="H2393" s="62" t="s">
        <v>66</v>
      </c>
      <c r="I2393" s="125">
        <f>SUM(I2394:I2399)</f>
        <v>3401400.24</v>
      </c>
      <c r="J2393" s="125">
        <f>SUM(J2394:J2399)</f>
        <v>2776.2</v>
      </c>
      <c r="K2393" s="125">
        <f>SUM(K2394:K2399)</f>
        <v>4051</v>
      </c>
    </row>
    <row r="2394" spans="1:161" s="41" customFormat="1" x14ac:dyDescent="0.25">
      <c r="A2394" s="210"/>
      <c r="B2394" s="210"/>
      <c r="C2394" s="213"/>
      <c r="D2394" s="206"/>
      <c r="E2394" s="263"/>
      <c r="F2394" s="263"/>
      <c r="G2394" s="210" t="s">
        <v>70</v>
      </c>
      <c r="H2394" s="62" t="s">
        <v>169</v>
      </c>
      <c r="I2394" s="125">
        <f>D2393*K2394*70/100</f>
        <v>2496590.04</v>
      </c>
      <c r="J2394" s="125">
        <f>I2394/D2393</f>
        <v>2037.7</v>
      </c>
      <c r="K2394" s="125">
        <v>2911</v>
      </c>
    </row>
    <row r="2395" spans="1:161" s="41" customFormat="1" x14ac:dyDescent="0.25">
      <c r="A2395" s="210"/>
      <c r="B2395" s="210"/>
      <c r="C2395" s="213"/>
      <c r="D2395" s="206"/>
      <c r="E2395" s="263"/>
      <c r="F2395" s="263"/>
      <c r="G2395" s="211"/>
      <c r="H2395" s="62" t="s">
        <v>69</v>
      </c>
      <c r="I2395" s="125">
        <v>0</v>
      </c>
      <c r="J2395" s="125">
        <f>I2395/D2393</f>
        <v>0</v>
      </c>
      <c r="K2395" s="125">
        <v>62</v>
      </c>
    </row>
    <row r="2396" spans="1:161" s="41" customFormat="1" x14ac:dyDescent="0.25">
      <c r="A2396" s="210"/>
      <c r="B2396" s="210"/>
      <c r="C2396" s="213"/>
      <c r="D2396" s="206"/>
      <c r="E2396" s="263"/>
      <c r="F2396" s="263"/>
      <c r="G2396" s="210" t="s">
        <v>71</v>
      </c>
      <c r="H2396" s="62" t="s">
        <v>169</v>
      </c>
      <c r="I2396" s="125">
        <f>D2393*K2396*70/100</f>
        <v>439969.32</v>
      </c>
      <c r="J2396" s="125">
        <f>I2396/D2393</f>
        <v>359.1</v>
      </c>
      <c r="K2396" s="125">
        <v>513</v>
      </c>
    </row>
    <row r="2397" spans="1:161" s="41" customFormat="1" x14ac:dyDescent="0.25">
      <c r="A2397" s="210"/>
      <c r="B2397" s="210"/>
      <c r="C2397" s="213"/>
      <c r="D2397" s="206"/>
      <c r="E2397" s="263"/>
      <c r="F2397" s="263"/>
      <c r="G2397" s="211"/>
      <c r="H2397" s="62" t="s">
        <v>69</v>
      </c>
      <c r="I2397" s="125">
        <v>0</v>
      </c>
      <c r="J2397" s="125">
        <f>I2397/D2393</f>
        <v>0</v>
      </c>
      <c r="K2397" s="125">
        <v>11</v>
      </c>
    </row>
    <row r="2398" spans="1:161" s="41" customFormat="1" x14ac:dyDescent="0.25">
      <c r="A2398" s="210"/>
      <c r="B2398" s="210"/>
      <c r="C2398" s="213"/>
      <c r="D2398" s="206"/>
      <c r="E2398" s="263"/>
      <c r="F2398" s="263"/>
      <c r="G2398" s="210" t="s">
        <v>72</v>
      </c>
      <c r="H2398" s="62" t="s">
        <v>169</v>
      </c>
      <c r="I2398" s="125">
        <f>D2393*K2398*70/100</f>
        <v>464840.88</v>
      </c>
      <c r="J2398" s="125">
        <f>I2398/D2393</f>
        <v>379.4</v>
      </c>
      <c r="K2398" s="125">
        <v>542</v>
      </c>
    </row>
    <row r="2399" spans="1:161" s="41" customFormat="1" x14ac:dyDescent="0.25">
      <c r="A2399" s="211"/>
      <c r="B2399" s="211"/>
      <c r="C2399" s="214"/>
      <c r="D2399" s="207"/>
      <c r="E2399" s="264"/>
      <c r="F2399" s="264"/>
      <c r="G2399" s="211"/>
      <c r="H2399" s="62" t="s">
        <v>69</v>
      </c>
      <c r="I2399" s="125">
        <v>0</v>
      </c>
      <c r="J2399" s="125">
        <f>I2399/D2393</f>
        <v>0</v>
      </c>
      <c r="K2399" s="125">
        <v>12</v>
      </c>
    </row>
    <row r="2400" spans="1:161" s="41" customFormat="1" ht="15.75" customHeight="1" x14ac:dyDescent="0.25">
      <c r="A2400" s="209">
        <f>A2393+1</f>
        <v>2</v>
      </c>
      <c r="B2400" s="209">
        <v>5990</v>
      </c>
      <c r="C2400" s="212" t="s">
        <v>395</v>
      </c>
      <c r="D2400" s="205">
        <v>3134</v>
      </c>
      <c r="E2400" s="262" t="s">
        <v>68</v>
      </c>
      <c r="F2400" s="262">
        <v>5</v>
      </c>
      <c r="G2400" s="124"/>
      <c r="H2400" s="62" t="s">
        <v>66</v>
      </c>
      <c r="I2400" s="125">
        <f>SUM(I2401:I2402)</f>
        <v>8329858.5999999996</v>
      </c>
      <c r="J2400" s="125">
        <f>SUM(J2401:J2402)</f>
        <v>2657.9</v>
      </c>
      <c r="K2400" s="125">
        <f>SUM(K2401:K2402)</f>
        <v>3878</v>
      </c>
    </row>
    <row r="2401" spans="1:11" s="41" customFormat="1" ht="15.75" customHeight="1" x14ac:dyDescent="0.25">
      <c r="A2401" s="210"/>
      <c r="B2401" s="210"/>
      <c r="C2401" s="213"/>
      <c r="D2401" s="206"/>
      <c r="E2401" s="263"/>
      <c r="F2401" s="263"/>
      <c r="G2401" s="210" t="s">
        <v>65</v>
      </c>
      <c r="H2401" s="62" t="s">
        <v>169</v>
      </c>
      <c r="I2401" s="125">
        <f>D2400*K2401*70/100</f>
        <v>8329858.5999999996</v>
      </c>
      <c r="J2401" s="125">
        <f>I2401/D2400</f>
        <v>2657.9</v>
      </c>
      <c r="K2401" s="125">
        <v>3797</v>
      </c>
    </row>
    <row r="2402" spans="1:11" s="41" customFormat="1" x14ac:dyDescent="0.25">
      <c r="A2402" s="210"/>
      <c r="B2402" s="210"/>
      <c r="C2402" s="213"/>
      <c r="D2402" s="206"/>
      <c r="E2402" s="263"/>
      <c r="F2402" s="263"/>
      <c r="G2402" s="211"/>
      <c r="H2402" s="62" t="s">
        <v>69</v>
      </c>
      <c r="I2402" s="125">
        <v>0</v>
      </c>
      <c r="J2402" s="125">
        <f>I2402/D2400</f>
        <v>0</v>
      </c>
      <c r="K2402" s="125">
        <v>81</v>
      </c>
    </row>
    <row r="2403" spans="1:11" s="41" customFormat="1" x14ac:dyDescent="0.25">
      <c r="A2403" s="209">
        <f>A2400+1</f>
        <v>3</v>
      </c>
      <c r="B2403" s="209">
        <v>6007</v>
      </c>
      <c r="C2403" s="212" t="s">
        <v>396</v>
      </c>
      <c r="D2403" s="205">
        <v>3159.5</v>
      </c>
      <c r="E2403" s="262" t="s">
        <v>68</v>
      </c>
      <c r="F2403" s="262">
        <v>5</v>
      </c>
      <c r="G2403" s="124"/>
      <c r="H2403" s="62" t="s">
        <v>66</v>
      </c>
      <c r="I2403" s="125">
        <f>SUM(I2404:I2405)</f>
        <v>11996621.5</v>
      </c>
      <c r="J2403" s="125">
        <f>SUM(J2404:J2405)</f>
        <v>3797</v>
      </c>
      <c r="K2403" s="125">
        <f>SUM(K2404:K2405)</f>
        <v>3878</v>
      </c>
    </row>
    <row r="2404" spans="1:11" s="41" customFormat="1" ht="15.75" customHeight="1" x14ac:dyDescent="0.25">
      <c r="A2404" s="210"/>
      <c r="B2404" s="210"/>
      <c r="C2404" s="213"/>
      <c r="D2404" s="206"/>
      <c r="E2404" s="263"/>
      <c r="F2404" s="263"/>
      <c r="G2404" s="210" t="s">
        <v>65</v>
      </c>
      <c r="H2404" s="62" t="s">
        <v>169</v>
      </c>
      <c r="I2404" s="125">
        <f>D2403*K2404</f>
        <v>11996621.5</v>
      </c>
      <c r="J2404" s="125">
        <f>I2404/D2403</f>
        <v>3797</v>
      </c>
      <c r="K2404" s="125">
        <v>3797</v>
      </c>
    </row>
    <row r="2405" spans="1:11" s="41" customFormat="1" x14ac:dyDescent="0.25">
      <c r="A2405" s="210"/>
      <c r="B2405" s="210"/>
      <c r="C2405" s="213"/>
      <c r="D2405" s="206"/>
      <c r="E2405" s="263"/>
      <c r="F2405" s="263"/>
      <c r="G2405" s="211"/>
      <c r="H2405" s="62" t="s">
        <v>69</v>
      </c>
      <c r="I2405" s="125">
        <v>0</v>
      </c>
      <c r="J2405" s="125">
        <f>I2405/D2403</f>
        <v>0</v>
      </c>
      <c r="K2405" s="125">
        <v>81</v>
      </c>
    </row>
    <row r="2406" spans="1:11" s="41" customFormat="1" x14ac:dyDescent="0.25">
      <c r="A2406" s="209">
        <f>A2403+1</f>
        <v>4</v>
      </c>
      <c r="B2406" s="209">
        <v>6024</v>
      </c>
      <c r="C2406" s="212" t="s">
        <v>397</v>
      </c>
      <c r="D2406" s="205">
        <v>2445.6</v>
      </c>
      <c r="E2406" s="205" t="s">
        <v>68</v>
      </c>
      <c r="F2406" s="262">
        <v>9</v>
      </c>
      <c r="G2406" s="209" t="s">
        <v>65</v>
      </c>
      <c r="H2406" s="62" t="s">
        <v>66</v>
      </c>
      <c r="I2406" s="125">
        <f>I2407+I2408</f>
        <v>5967264</v>
      </c>
      <c r="J2406" s="125">
        <f>J2407+J2408</f>
        <v>2440</v>
      </c>
      <c r="K2406" s="125">
        <f>K2407+K2408</f>
        <v>2492</v>
      </c>
    </row>
    <row r="2407" spans="1:11" s="41" customFormat="1" x14ac:dyDescent="0.25">
      <c r="A2407" s="210"/>
      <c r="B2407" s="210"/>
      <c r="C2407" s="213"/>
      <c r="D2407" s="206"/>
      <c r="E2407" s="206"/>
      <c r="F2407" s="263"/>
      <c r="G2407" s="210"/>
      <c r="H2407" s="62" t="s">
        <v>67</v>
      </c>
      <c r="I2407" s="125">
        <f>D2406*K2407</f>
        <v>5967264</v>
      </c>
      <c r="J2407" s="125">
        <f>I2407/D2406</f>
        <v>2440</v>
      </c>
      <c r="K2407" s="125">
        <v>2440</v>
      </c>
    </row>
    <row r="2408" spans="1:11" s="41" customFormat="1" x14ac:dyDescent="0.25">
      <c r="A2408" s="211"/>
      <c r="B2408" s="211"/>
      <c r="C2408" s="214"/>
      <c r="D2408" s="207"/>
      <c r="E2408" s="207"/>
      <c r="F2408" s="264"/>
      <c r="G2408" s="211"/>
      <c r="H2408" s="62" t="s">
        <v>69</v>
      </c>
      <c r="I2408" s="125">
        <f>0</f>
        <v>0</v>
      </c>
      <c r="J2408" s="125">
        <f>I2408/D2406</f>
        <v>0</v>
      </c>
      <c r="K2408" s="125">
        <v>52</v>
      </c>
    </row>
    <row r="2409" spans="1:11" s="41" customFormat="1" x14ac:dyDescent="0.25">
      <c r="A2409" s="209">
        <f>A2406+1</f>
        <v>5</v>
      </c>
      <c r="B2409" s="209">
        <v>6031</v>
      </c>
      <c r="C2409" s="212" t="s">
        <v>420</v>
      </c>
      <c r="D2409" s="205">
        <v>5197.3900000000003</v>
      </c>
      <c r="E2409" s="205" t="s">
        <v>68</v>
      </c>
      <c r="F2409" s="262">
        <v>5</v>
      </c>
      <c r="G2409" s="209" t="s">
        <v>65</v>
      </c>
      <c r="H2409" s="62" t="s">
        <v>66</v>
      </c>
      <c r="I2409" s="125">
        <f>I2410+I2411</f>
        <v>19734489.829999998</v>
      </c>
      <c r="J2409" s="125">
        <f t="shared" ref="J2409:K2409" si="80">J2410+J2411</f>
        <v>3797</v>
      </c>
      <c r="K2409" s="125">
        <f t="shared" si="80"/>
        <v>3878</v>
      </c>
    </row>
    <row r="2410" spans="1:11" s="41" customFormat="1" x14ac:dyDescent="0.25">
      <c r="A2410" s="210"/>
      <c r="B2410" s="210"/>
      <c r="C2410" s="213"/>
      <c r="D2410" s="206"/>
      <c r="E2410" s="206"/>
      <c r="F2410" s="263"/>
      <c r="G2410" s="210"/>
      <c r="H2410" s="62" t="s">
        <v>169</v>
      </c>
      <c r="I2410" s="125">
        <f>D2409*K2410</f>
        <v>19734489.829999998</v>
      </c>
      <c r="J2410" s="125">
        <f>I2410/D2409</f>
        <v>3797</v>
      </c>
      <c r="K2410" s="125">
        <v>3797</v>
      </c>
    </row>
    <row r="2411" spans="1:11" s="41" customFormat="1" x14ac:dyDescent="0.25">
      <c r="A2411" s="210"/>
      <c r="B2411" s="210"/>
      <c r="C2411" s="213"/>
      <c r="D2411" s="206"/>
      <c r="E2411" s="206"/>
      <c r="F2411" s="263"/>
      <c r="G2411" s="210"/>
      <c r="H2411" s="62" t="s">
        <v>69</v>
      </c>
      <c r="I2411" s="125">
        <v>0</v>
      </c>
      <c r="J2411" s="125">
        <f>I2411/D2409</f>
        <v>0</v>
      </c>
      <c r="K2411" s="125">
        <v>81</v>
      </c>
    </row>
    <row r="2412" spans="1:11" s="41" customFormat="1" x14ac:dyDescent="0.25">
      <c r="A2412" s="209">
        <f>A2409+1</f>
        <v>6</v>
      </c>
      <c r="B2412" s="209">
        <v>6045</v>
      </c>
      <c r="C2412" s="212" t="s">
        <v>580</v>
      </c>
      <c r="D2412" s="205">
        <v>34688.300000000003</v>
      </c>
      <c r="E2412" s="205" t="s">
        <v>68</v>
      </c>
      <c r="F2412" s="262">
        <v>9</v>
      </c>
      <c r="G2412" s="117"/>
      <c r="H2412" s="62" t="s">
        <v>66</v>
      </c>
      <c r="I2412" s="125">
        <f>SUM(I2413:I2414)</f>
        <v>2241647</v>
      </c>
      <c r="J2412" s="125">
        <f>SUM(J2413:J2414)</f>
        <v>64.62</v>
      </c>
      <c r="K2412" s="125">
        <f>SUM(K2413:K2414)</f>
        <v>66.14</v>
      </c>
    </row>
    <row r="2413" spans="1:11" s="41" customFormat="1" x14ac:dyDescent="0.25">
      <c r="A2413" s="210"/>
      <c r="B2413" s="210"/>
      <c r="C2413" s="213"/>
      <c r="D2413" s="206"/>
      <c r="E2413" s="206"/>
      <c r="F2413" s="263"/>
      <c r="G2413" s="273" t="s">
        <v>581</v>
      </c>
      <c r="H2413" s="62" t="s">
        <v>171</v>
      </c>
      <c r="I2413" s="125">
        <v>2241647</v>
      </c>
      <c r="J2413" s="125">
        <f>I2413/D2412</f>
        <v>64.62</v>
      </c>
      <c r="K2413" s="125">
        <f>2241647/D2412</f>
        <v>64.62</v>
      </c>
    </row>
    <row r="2414" spans="1:11" s="41" customFormat="1" x14ac:dyDescent="0.25">
      <c r="A2414" s="210"/>
      <c r="B2414" s="210"/>
      <c r="C2414" s="213"/>
      <c r="D2414" s="206"/>
      <c r="E2414" s="206"/>
      <c r="F2414" s="263"/>
      <c r="G2414" s="273"/>
      <c r="H2414" s="62" t="s">
        <v>69</v>
      </c>
      <c r="I2414" s="125">
        <v>0</v>
      </c>
      <c r="J2414" s="125">
        <f>I2414/D2412</f>
        <v>0</v>
      </c>
      <c r="K2414" s="125">
        <f>52617/D2412</f>
        <v>1.52</v>
      </c>
    </row>
    <row r="2415" spans="1:11" s="41" customFormat="1" x14ac:dyDescent="0.25">
      <c r="A2415" s="209">
        <f>A2412+1</f>
        <v>7</v>
      </c>
      <c r="B2415" s="209">
        <v>6061</v>
      </c>
      <c r="C2415" s="212" t="s">
        <v>466</v>
      </c>
      <c r="D2415" s="205">
        <v>43293.2</v>
      </c>
      <c r="E2415" s="205" t="s">
        <v>68</v>
      </c>
      <c r="F2415" s="262">
        <v>9</v>
      </c>
      <c r="G2415" s="117"/>
      <c r="H2415" s="62" t="s">
        <v>66</v>
      </c>
      <c r="I2415" s="125">
        <f>SUM(I2416:I2425)</f>
        <v>11208235</v>
      </c>
      <c r="J2415" s="125">
        <f>SUM(J2416:J2425)</f>
        <v>258.89</v>
      </c>
      <c r="K2415" s="125">
        <f>SUM(K2416:K2425)</f>
        <v>264.99</v>
      </c>
    </row>
    <row r="2416" spans="1:11" s="41" customFormat="1" x14ac:dyDescent="0.25">
      <c r="A2416" s="210"/>
      <c r="B2416" s="210"/>
      <c r="C2416" s="213"/>
      <c r="D2416" s="206"/>
      <c r="E2416" s="206"/>
      <c r="F2416" s="263"/>
      <c r="G2416" s="209" t="s">
        <v>170</v>
      </c>
      <c r="H2416" s="62" t="s">
        <v>171</v>
      </c>
      <c r="I2416" s="125">
        <v>2241647</v>
      </c>
      <c r="J2416" s="125">
        <f>I2416/D2415</f>
        <v>51.78</v>
      </c>
      <c r="K2416" s="125">
        <f>2241647/D2415</f>
        <v>51.78</v>
      </c>
    </row>
    <row r="2417" spans="1:11" s="41" customFormat="1" x14ac:dyDescent="0.25">
      <c r="A2417" s="210"/>
      <c r="B2417" s="210"/>
      <c r="C2417" s="213"/>
      <c r="D2417" s="206"/>
      <c r="E2417" s="206"/>
      <c r="F2417" s="263"/>
      <c r="G2417" s="211"/>
      <c r="H2417" s="62" t="s">
        <v>69</v>
      </c>
      <c r="I2417" s="125">
        <v>0</v>
      </c>
      <c r="J2417" s="125">
        <f>I2417/D2415</f>
        <v>0</v>
      </c>
      <c r="K2417" s="125">
        <f>52617/D2415</f>
        <v>1.22</v>
      </c>
    </row>
    <row r="2418" spans="1:11" s="41" customFormat="1" x14ac:dyDescent="0.25">
      <c r="A2418" s="210"/>
      <c r="B2418" s="210"/>
      <c r="C2418" s="213"/>
      <c r="D2418" s="206"/>
      <c r="E2418" s="206"/>
      <c r="F2418" s="263"/>
      <c r="G2418" s="209" t="s">
        <v>173</v>
      </c>
      <c r="H2418" s="62" t="s">
        <v>171</v>
      </c>
      <c r="I2418" s="125">
        <v>2241647</v>
      </c>
      <c r="J2418" s="125">
        <f>I2418/D2415</f>
        <v>51.78</v>
      </c>
      <c r="K2418" s="125">
        <f>2241647/D2415</f>
        <v>51.78</v>
      </c>
    </row>
    <row r="2419" spans="1:11" s="41" customFormat="1" x14ac:dyDescent="0.25">
      <c r="A2419" s="210"/>
      <c r="B2419" s="210"/>
      <c r="C2419" s="213"/>
      <c r="D2419" s="206"/>
      <c r="E2419" s="206"/>
      <c r="F2419" s="263"/>
      <c r="G2419" s="211"/>
      <c r="H2419" s="62" t="s">
        <v>69</v>
      </c>
      <c r="I2419" s="125">
        <v>0</v>
      </c>
      <c r="J2419" s="125">
        <f>I2419/D2415</f>
        <v>0</v>
      </c>
      <c r="K2419" s="125">
        <f>52617/D2415</f>
        <v>1.22</v>
      </c>
    </row>
    <row r="2420" spans="1:11" s="41" customFormat="1" x14ac:dyDescent="0.25">
      <c r="A2420" s="210"/>
      <c r="B2420" s="210"/>
      <c r="C2420" s="213"/>
      <c r="D2420" s="206"/>
      <c r="E2420" s="206"/>
      <c r="F2420" s="263"/>
      <c r="G2420" s="209" t="s">
        <v>174</v>
      </c>
      <c r="H2420" s="62" t="s">
        <v>171</v>
      </c>
      <c r="I2420" s="125">
        <v>2241647</v>
      </c>
      <c r="J2420" s="125">
        <f>I2420/D2415-0.01</f>
        <v>51.77</v>
      </c>
      <c r="K2420" s="125">
        <f>2241647/D2415-0.01</f>
        <v>51.77</v>
      </c>
    </row>
    <row r="2421" spans="1:11" s="41" customFormat="1" x14ac:dyDescent="0.25">
      <c r="A2421" s="210"/>
      <c r="B2421" s="210"/>
      <c r="C2421" s="213"/>
      <c r="D2421" s="206"/>
      <c r="E2421" s="206"/>
      <c r="F2421" s="263"/>
      <c r="G2421" s="211"/>
      <c r="H2421" s="62" t="s">
        <v>69</v>
      </c>
      <c r="I2421" s="125">
        <v>0</v>
      </c>
      <c r="J2421" s="125">
        <f>I2421/D2415</f>
        <v>0</v>
      </c>
      <c r="K2421" s="125">
        <f>52617/D2415</f>
        <v>1.22</v>
      </c>
    </row>
    <row r="2422" spans="1:11" s="41" customFormat="1" x14ac:dyDescent="0.25">
      <c r="A2422" s="210"/>
      <c r="B2422" s="210"/>
      <c r="C2422" s="213"/>
      <c r="D2422" s="206"/>
      <c r="E2422" s="206"/>
      <c r="F2422" s="263"/>
      <c r="G2422" s="209" t="s">
        <v>175</v>
      </c>
      <c r="H2422" s="62" t="s">
        <v>171</v>
      </c>
      <c r="I2422" s="125">
        <v>2241647</v>
      </c>
      <c r="J2422" s="125">
        <f>I2422/D2415</f>
        <v>51.78</v>
      </c>
      <c r="K2422" s="125">
        <f>2241647/D2415</f>
        <v>51.78</v>
      </c>
    </row>
    <row r="2423" spans="1:11" s="41" customFormat="1" x14ac:dyDescent="0.25">
      <c r="A2423" s="210"/>
      <c r="B2423" s="210"/>
      <c r="C2423" s="213"/>
      <c r="D2423" s="206"/>
      <c r="E2423" s="206"/>
      <c r="F2423" s="263"/>
      <c r="G2423" s="211"/>
      <c r="H2423" s="62" t="s">
        <v>69</v>
      </c>
      <c r="I2423" s="125">
        <v>0</v>
      </c>
      <c r="J2423" s="125">
        <f>I2423/D2415</f>
        <v>0</v>
      </c>
      <c r="K2423" s="125">
        <f>52617/D2415</f>
        <v>1.22</v>
      </c>
    </row>
    <row r="2424" spans="1:11" s="41" customFormat="1" x14ac:dyDescent="0.25">
      <c r="A2424" s="210"/>
      <c r="B2424" s="210"/>
      <c r="C2424" s="213"/>
      <c r="D2424" s="206"/>
      <c r="E2424" s="206"/>
      <c r="F2424" s="263"/>
      <c r="G2424" s="209" t="s">
        <v>582</v>
      </c>
      <c r="H2424" s="62" t="s">
        <v>171</v>
      </c>
      <c r="I2424" s="125">
        <v>2241647</v>
      </c>
      <c r="J2424" s="125">
        <f>I2424/D2415</f>
        <v>51.78</v>
      </c>
      <c r="K2424" s="125">
        <f>2241647/D2415</f>
        <v>51.78</v>
      </c>
    </row>
    <row r="2425" spans="1:11" s="41" customFormat="1" x14ac:dyDescent="0.25">
      <c r="A2425" s="211"/>
      <c r="B2425" s="211"/>
      <c r="C2425" s="214"/>
      <c r="D2425" s="207"/>
      <c r="E2425" s="207"/>
      <c r="F2425" s="264"/>
      <c r="G2425" s="211"/>
      <c r="H2425" s="62" t="s">
        <v>69</v>
      </c>
      <c r="I2425" s="125">
        <v>0</v>
      </c>
      <c r="J2425" s="125">
        <f>I2425/D2415</f>
        <v>0</v>
      </c>
      <c r="K2425" s="125">
        <f>52617/D2415</f>
        <v>1.22</v>
      </c>
    </row>
    <row r="2426" spans="1:11" s="41" customFormat="1" x14ac:dyDescent="0.25">
      <c r="A2426" s="209">
        <f>A2415+1</f>
        <v>8</v>
      </c>
      <c r="B2426" s="209">
        <v>5835</v>
      </c>
      <c r="C2426" s="212" t="s">
        <v>398</v>
      </c>
      <c r="D2426" s="205">
        <v>3133.1</v>
      </c>
      <c r="E2426" s="262" t="s">
        <v>68</v>
      </c>
      <c r="F2426" s="262">
        <v>5</v>
      </c>
      <c r="G2426" s="124"/>
      <c r="H2426" s="62" t="s">
        <v>66</v>
      </c>
      <c r="I2426" s="125">
        <f>SUM(I2427:I2428)</f>
        <v>8327466.4900000002</v>
      </c>
      <c r="J2426" s="125">
        <f>SUM(J2427:J2428)</f>
        <v>2657.9</v>
      </c>
      <c r="K2426" s="125">
        <f>SUM(K2427:K2428)</f>
        <v>3878</v>
      </c>
    </row>
    <row r="2427" spans="1:11" s="41" customFormat="1" ht="15.75" customHeight="1" x14ac:dyDescent="0.25">
      <c r="A2427" s="210"/>
      <c r="B2427" s="210"/>
      <c r="C2427" s="213"/>
      <c r="D2427" s="206"/>
      <c r="E2427" s="263"/>
      <c r="F2427" s="263"/>
      <c r="G2427" s="210" t="s">
        <v>65</v>
      </c>
      <c r="H2427" s="62" t="s">
        <v>169</v>
      </c>
      <c r="I2427" s="125">
        <f>D2426*K2427*70/100</f>
        <v>8327466.4900000002</v>
      </c>
      <c r="J2427" s="125">
        <f>I2427/D2426</f>
        <v>2657.9</v>
      </c>
      <c r="K2427" s="125">
        <v>3797</v>
      </c>
    </row>
    <row r="2428" spans="1:11" s="41" customFormat="1" x14ac:dyDescent="0.25">
      <c r="A2428" s="210"/>
      <c r="B2428" s="210"/>
      <c r="C2428" s="213"/>
      <c r="D2428" s="206"/>
      <c r="E2428" s="263"/>
      <c r="F2428" s="263"/>
      <c r="G2428" s="211"/>
      <c r="H2428" s="62" t="s">
        <v>69</v>
      </c>
      <c r="I2428" s="125">
        <v>0</v>
      </c>
      <c r="J2428" s="125">
        <f>I2428/D2426</f>
        <v>0</v>
      </c>
      <c r="K2428" s="125">
        <v>81</v>
      </c>
    </row>
    <row r="2429" spans="1:11" s="41" customFormat="1" x14ac:dyDescent="0.25">
      <c r="A2429" s="209">
        <f>A2426+1</f>
        <v>9</v>
      </c>
      <c r="B2429" s="209">
        <v>5836</v>
      </c>
      <c r="C2429" s="212" t="s">
        <v>399</v>
      </c>
      <c r="D2429" s="205">
        <v>1222.0999999999999</v>
      </c>
      <c r="E2429" s="262" t="s">
        <v>68</v>
      </c>
      <c r="F2429" s="262">
        <v>4</v>
      </c>
      <c r="G2429" s="124"/>
      <c r="H2429" s="62" t="s">
        <v>66</v>
      </c>
      <c r="I2429" s="125">
        <f>SUM(I2430:I2435)</f>
        <v>3392794.02</v>
      </c>
      <c r="J2429" s="125">
        <f>SUM(J2430:J2435)</f>
        <v>2776.2</v>
      </c>
      <c r="K2429" s="125">
        <f>SUM(K2430:K2435)</f>
        <v>4051</v>
      </c>
    </row>
    <row r="2430" spans="1:11" s="41" customFormat="1" x14ac:dyDescent="0.25">
      <c r="A2430" s="210"/>
      <c r="B2430" s="210"/>
      <c r="C2430" s="213"/>
      <c r="D2430" s="206"/>
      <c r="E2430" s="263"/>
      <c r="F2430" s="263"/>
      <c r="G2430" s="210" t="s">
        <v>70</v>
      </c>
      <c r="H2430" s="62" t="s">
        <v>169</v>
      </c>
      <c r="I2430" s="125">
        <f>D2429*K2430*70/100</f>
        <v>2490273.17</v>
      </c>
      <c r="J2430" s="125">
        <f>I2430/D2429</f>
        <v>2037.7</v>
      </c>
      <c r="K2430" s="125">
        <v>2911</v>
      </c>
    </row>
    <row r="2431" spans="1:11" s="41" customFormat="1" x14ac:dyDescent="0.25">
      <c r="A2431" s="210"/>
      <c r="B2431" s="210"/>
      <c r="C2431" s="213"/>
      <c r="D2431" s="206"/>
      <c r="E2431" s="263"/>
      <c r="F2431" s="263"/>
      <c r="G2431" s="211"/>
      <c r="H2431" s="62" t="s">
        <v>69</v>
      </c>
      <c r="I2431" s="125">
        <v>0</v>
      </c>
      <c r="J2431" s="125">
        <f>I2431/D2429</f>
        <v>0</v>
      </c>
      <c r="K2431" s="125">
        <v>62</v>
      </c>
    </row>
    <row r="2432" spans="1:11" s="41" customFormat="1" x14ac:dyDescent="0.25">
      <c r="A2432" s="210"/>
      <c r="B2432" s="210"/>
      <c r="C2432" s="213"/>
      <c r="D2432" s="206"/>
      <c r="E2432" s="263"/>
      <c r="F2432" s="263"/>
      <c r="G2432" s="210" t="s">
        <v>71</v>
      </c>
      <c r="H2432" s="62" t="s">
        <v>169</v>
      </c>
      <c r="I2432" s="125">
        <f>D2429*K2432*70/100</f>
        <v>438856.11</v>
      </c>
      <c r="J2432" s="125">
        <f>I2432/D2429</f>
        <v>359.1</v>
      </c>
      <c r="K2432" s="125">
        <v>513</v>
      </c>
    </row>
    <row r="2433" spans="1:11" s="41" customFormat="1" x14ac:dyDescent="0.25">
      <c r="A2433" s="210"/>
      <c r="B2433" s="210"/>
      <c r="C2433" s="213"/>
      <c r="D2433" s="206"/>
      <c r="E2433" s="263"/>
      <c r="F2433" s="263"/>
      <c r="G2433" s="211"/>
      <c r="H2433" s="62" t="s">
        <v>69</v>
      </c>
      <c r="I2433" s="125">
        <v>0</v>
      </c>
      <c r="J2433" s="125">
        <f>I2433/D2429</f>
        <v>0</v>
      </c>
      <c r="K2433" s="125">
        <v>11</v>
      </c>
    </row>
    <row r="2434" spans="1:11" s="41" customFormat="1" x14ac:dyDescent="0.25">
      <c r="A2434" s="210"/>
      <c r="B2434" s="210"/>
      <c r="C2434" s="213"/>
      <c r="D2434" s="206"/>
      <c r="E2434" s="263"/>
      <c r="F2434" s="263"/>
      <c r="G2434" s="210" t="s">
        <v>72</v>
      </c>
      <c r="H2434" s="62" t="s">
        <v>169</v>
      </c>
      <c r="I2434" s="125">
        <f>D2429*K2434*70/100</f>
        <v>463664.74</v>
      </c>
      <c r="J2434" s="125">
        <f>I2434/D2429</f>
        <v>379.4</v>
      </c>
      <c r="K2434" s="125">
        <v>542</v>
      </c>
    </row>
    <row r="2435" spans="1:11" s="41" customFormat="1" x14ac:dyDescent="0.25">
      <c r="A2435" s="211"/>
      <c r="B2435" s="211"/>
      <c r="C2435" s="214"/>
      <c r="D2435" s="207"/>
      <c r="E2435" s="264"/>
      <c r="F2435" s="264"/>
      <c r="G2435" s="211"/>
      <c r="H2435" s="62" t="s">
        <v>69</v>
      </c>
      <c r="I2435" s="125">
        <v>0</v>
      </c>
      <c r="J2435" s="125">
        <f>I2435/D2429</f>
        <v>0</v>
      </c>
      <c r="K2435" s="125">
        <v>12</v>
      </c>
    </row>
    <row r="2436" spans="1:11" s="41" customFormat="1" x14ac:dyDescent="0.25">
      <c r="A2436" s="209">
        <f>A2429+1</f>
        <v>10</v>
      </c>
      <c r="B2436" s="209">
        <v>5847</v>
      </c>
      <c r="C2436" s="212" t="s">
        <v>400</v>
      </c>
      <c r="D2436" s="205">
        <v>3433.2</v>
      </c>
      <c r="E2436" s="205" t="s">
        <v>68</v>
      </c>
      <c r="F2436" s="262">
        <v>5</v>
      </c>
      <c r="G2436" s="209" t="s">
        <v>65</v>
      </c>
      <c r="H2436" s="62" t="s">
        <v>66</v>
      </c>
      <c r="I2436" s="125">
        <f>I2437+I2438</f>
        <v>9125102.2799999993</v>
      </c>
      <c r="J2436" s="125">
        <f>J2437+J2438</f>
        <v>2657.9</v>
      </c>
      <c r="K2436" s="125">
        <f>K2437+K2438</f>
        <v>3878</v>
      </c>
    </row>
    <row r="2437" spans="1:11" s="41" customFormat="1" x14ac:dyDescent="0.25">
      <c r="A2437" s="210"/>
      <c r="B2437" s="210"/>
      <c r="C2437" s="213"/>
      <c r="D2437" s="206"/>
      <c r="E2437" s="206"/>
      <c r="F2437" s="263"/>
      <c r="G2437" s="210"/>
      <c r="H2437" s="62" t="s">
        <v>67</v>
      </c>
      <c r="I2437" s="125">
        <f>D2436*K2437*70/100</f>
        <v>9125102.2799999993</v>
      </c>
      <c r="J2437" s="125">
        <f>I2437/D2436</f>
        <v>2657.9</v>
      </c>
      <c r="K2437" s="125">
        <v>3797</v>
      </c>
    </row>
    <row r="2438" spans="1:11" s="41" customFormat="1" x14ac:dyDescent="0.25">
      <c r="A2438" s="211"/>
      <c r="B2438" s="211"/>
      <c r="C2438" s="214"/>
      <c r="D2438" s="207"/>
      <c r="E2438" s="207"/>
      <c r="F2438" s="264"/>
      <c r="G2438" s="211"/>
      <c r="H2438" s="62" t="s">
        <v>69</v>
      </c>
      <c r="I2438" s="125">
        <f>0</f>
        <v>0</v>
      </c>
      <c r="J2438" s="125">
        <f>I2438/D2436</f>
        <v>0</v>
      </c>
      <c r="K2438" s="125">
        <v>81</v>
      </c>
    </row>
    <row r="2439" spans="1:11" s="41" customFormat="1" x14ac:dyDescent="0.25">
      <c r="A2439" s="209">
        <f>A2436+1</f>
        <v>11</v>
      </c>
      <c r="B2439" s="209">
        <v>5925</v>
      </c>
      <c r="C2439" s="212" t="s">
        <v>402</v>
      </c>
      <c r="D2439" s="205">
        <v>3413.9</v>
      </c>
      <c r="E2439" s="205" t="s">
        <v>68</v>
      </c>
      <c r="F2439" s="262">
        <v>5</v>
      </c>
      <c r="G2439" s="209" t="s">
        <v>65</v>
      </c>
      <c r="H2439" s="62" t="s">
        <v>66</v>
      </c>
      <c r="I2439" s="125">
        <f>I2440+I2441</f>
        <v>9073804.8100000005</v>
      </c>
      <c r="J2439" s="125">
        <f>J2440+J2441</f>
        <v>2657.9</v>
      </c>
      <c r="K2439" s="125">
        <f>K2440+K2441</f>
        <v>3878</v>
      </c>
    </row>
    <row r="2440" spans="1:11" s="41" customFormat="1" x14ac:dyDescent="0.25">
      <c r="A2440" s="210"/>
      <c r="B2440" s="210"/>
      <c r="C2440" s="213"/>
      <c r="D2440" s="206"/>
      <c r="E2440" s="206"/>
      <c r="F2440" s="263"/>
      <c r="G2440" s="210"/>
      <c r="H2440" s="62" t="s">
        <v>67</v>
      </c>
      <c r="I2440" s="125">
        <f>D2439*K2440*70/100</f>
        <v>9073804.8100000005</v>
      </c>
      <c r="J2440" s="125">
        <f>I2440/D2439</f>
        <v>2657.9</v>
      </c>
      <c r="K2440" s="125">
        <v>3797</v>
      </c>
    </row>
    <row r="2441" spans="1:11" s="41" customFormat="1" x14ac:dyDescent="0.25">
      <c r="A2441" s="211"/>
      <c r="B2441" s="211"/>
      <c r="C2441" s="214"/>
      <c r="D2441" s="207"/>
      <c r="E2441" s="207"/>
      <c r="F2441" s="264"/>
      <c r="G2441" s="211"/>
      <c r="H2441" s="62" t="s">
        <v>69</v>
      </c>
      <c r="I2441" s="125">
        <f>0</f>
        <v>0</v>
      </c>
      <c r="J2441" s="125">
        <f>I2441/D2439</f>
        <v>0</v>
      </c>
      <c r="K2441" s="125">
        <v>81</v>
      </c>
    </row>
    <row r="2442" spans="1:11" s="41" customFormat="1" x14ac:dyDescent="0.25">
      <c r="A2442" s="209">
        <f>A2439+1</f>
        <v>12</v>
      </c>
      <c r="B2442" s="209">
        <v>5928</v>
      </c>
      <c r="C2442" s="212" t="s">
        <v>403</v>
      </c>
      <c r="D2442" s="205">
        <v>5262.7</v>
      </c>
      <c r="E2442" s="205" t="s">
        <v>68</v>
      </c>
      <c r="F2442" s="262">
        <v>5</v>
      </c>
      <c r="G2442" s="209" t="s">
        <v>65</v>
      </c>
      <c r="H2442" s="62" t="s">
        <v>66</v>
      </c>
      <c r="I2442" s="125">
        <f>I2443+I2444</f>
        <v>13987730.33</v>
      </c>
      <c r="J2442" s="125">
        <f>J2443+J2444</f>
        <v>2657.9</v>
      </c>
      <c r="K2442" s="125">
        <f>K2443+K2444</f>
        <v>3878</v>
      </c>
    </row>
    <row r="2443" spans="1:11" s="41" customFormat="1" x14ac:dyDescent="0.25">
      <c r="A2443" s="210"/>
      <c r="B2443" s="210"/>
      <c r="C2443" s="213"/>
      <c r="D2443" s="206"/>
      <c r="E2443" s="206"/>
      <c r="F2443" s="263"/>
      <c r="G2443" s="210"/>
      <c r="H2443" s="62" t="s">
        <v>67</v>
      </c>
      <c r="I2443" s="125">
        <f>D2442*K2443*70/100</f>
        <v>13987730.33</v>
      </c>
      <c r="J2443" s="125">
        <f>I2443/D2442</f>
        <v>2657.9</v>
      </c>
      <c r="K2443" s="125">
        <v>3797</v>
      </c>
    </row>
    <row r="2444" spans="1:11" s="41" customFormat="1" x14ac:dyDescent="0.25">
      <c r="A2444" s="211"/>
      <c r="B2444" s="211"/>
      <c r="C2444" s="214"/>
      <c r="D2444" s="207"/>
      <c r="E2444" s="207"/>
      <c r="F2444" s="264"/>
      <c r="G2444" s="211"/>
      <c r="H2444" s="62" t="s">
        <v>69</v>
      </c>
      <c r="I2444" s="125">
        <v>0</v>
      </c>
      <c r="J2444" s="125">
        <f>I2444/D2442</f>
        <v>0</v>
      </c>
      <c r="K2444" s="125">
        <v>81</v>
      </c>
    </row>
    <row r="2445" spans="1:11" s="41" customFormat="1" x14ac:dyDescent="0.25">
      <c r="A2445" s="209">
        <f>A2442+1</f>
        <v>13</v>
      </c>
      <c r="B2445" s="209">
        <v>6080</v>
      </c>
      <c r="C2445" s="212" t="s">
        <v>404</v>
      </c>
      <c r="D2445" s="205">
        <v>2511.4</v>
      </c>
      <c r="E2445" s="262" t="s">
        <v>64</v>
      </c>
      <c r="F2445" s="262">
        <v>5</v>
      </c>
      <c r="G2445" s="124"/>
      <c r="H2445" s="62" t="s">
        <v>66</v>
      </c>
      <c r="I2445" s="125">
        <f>SUM(I2446:I2447)</f>
        <v>9535785.8000000007</v>
      </c>
      <c r="J2445" s="125">
        <f>SUM(J2446:J2447)</f>
        <v>3797</v>
      </c>
      <c r="K2445" s="125">
        <f>SUM(K2446:K2447)</f>
        <v>3878</v>
      </c>
    </row>
    <row r="2446" spans="1:11" s="41" customFormat="1" ht="15.75" customHeight="1" x14ac:dyDescent="0.25">
      <c r="A2446" s="210"/>
      <c r="B2446" s="210"/>
      <c r="C2446" s="213"/>
      <c r="D2446" s="206"/>
      <c r="E2446" s="263"/>
      <c r="F2446" s="263"/>
      <c r="G2446" s="210" t="s">
        <v>65</v>
      </c>
      <c r="H2446" s="62" t="s">
        <v>169</v>
      </c>
      <c r="I2446" s="125">
        <f>D2445*K2446</f>
        <v>9535785.8000000007</v>
      </c>
      <c r="J2446" s="125">
        <f>I2446/D2445</f>
        <v>3797</v>
      </c>
      <c r="K2446" s="125">
        <v>3797</v>
      </c>
    </row>
    <row r="2447" spans="1:11" s="41" customFormat="1" x14ac:dyDescent="0.25">
      <c r="A2447" s="210"/>
      <c r="B2447" s="210"/>
      <c r="C2447" s="213"/>
      <c r="D2447" s="206"/>
      <c r="E2447" s="263"/>
      <c r="F2447" s="263"/>
      <c r="G2447" s="211"/>
      <c r="H2447" s="62" t="s">
        <v>69</v>
      </c>
      <c r="I2447" s="125">
        <v>0</v>
      </c>
      <c r="J2447" s="125">
        <f>I2447/D2445</f>
        <v>0</v>
      </c>
      <c r="K2447" s="125">
        <v>81</v>
      </c>
    </row>
    <row r="2448" spans="1:11" s="41" customFormat="1" x14ac:dyDescent="0.25">
      <c r="A2448" s="209">
        <f>A2445+1</f>
        <v>14</v>
      </c>
      <c r="B2448" s="209">
        <v>6117</v>
      </c>
      <c r="C2448" s="212" t="s">
        <v>421</v>
      </c>
      <c r="D2448" s="205">
        <v>4372.33</v>
      </c>
      <c r="E2448" s="205" t="s">
        <v>64</v>
      </c>
      <c r="F2448" s="262">
        <v>5</v>
      </c>
      <c r="G2448" s="209" t="s">
        <v>65</v>
      </c>
      <c r="H2448" s="62" t="s">
        <v>66</v>
      </c>
      <c r="I2448" s="125">
        <f>I2449+I2450</f>
        <v>16601737.01</v>
      </c>
      <c r="J2448" s="125">
        <f t="shared" ref="J2448:K2448" si="81">J2449+J2450</f>
        <v>3797</v>
      </c>
      <c r="K2448" s="125">
        <f t="shared" si="81"/>
        <v>3878</v>
      </c>
    </row>
    <row r="2449" spans="1:11" s="41" customFormat="1" x14ac:dyDescent="0.25">
      <c r="A2449" s="210"/>
      <c r="B2449" s="210"/>
      <c r="C2449" s="213"/>
      <c r="D2449" s="206"/>
      <c r="E2449" s="206"/>
      <c r="F2449" s="263"/>
      <c r="G2449" s="210"/>
      <c r="H2449" s="62" t="s">
        <v>169</v>
      </c>
      <c r="I2449" s="125">
        <f>D2448*K2449</f>
        <v>16601737.01</v>
      </c>
      <c r="J2449" s="125">
        <f>I2449/D2448</f>
        <v>3797</v>
      </c>
      <c r="K2449" s="125">
        <v>3797</v>
      </c>
    </row>
    <row r="2450" spans="1:11" s="41" customFormat="1" x14ac:dyDescent="0.25">
      <c r="A2450" s="210"/>
      <c r="B2450" s="210"/>
      <c r="C2450" s="213"/>
      <c r="D2450" s="206"/>
      <c r="E2450" s="206"/>
      <c r="F2450" s="263"/>
      <c r="G2450" s="210"/>
      <c r="H2450" s="62" t="s">
        <v>69</v>
      </c>
      <c r="I2450" s="125">
        <v>0</v>
      </c>
      <c r="J2450" s="125">
        <f>I2450/D2448</f>
        <v>0</v>
      </c>
      <c r="K2450" s="125">
        <v>81</v>
      </c>
    </row>
    <row r="2451" spans="1:11" s="41" customFormat="1" x14ac:dyDescent="0.25">
      <c r="A2451" s="209">
        <f>A2448+1</f>
        <v>15</v>
      </c>
      <c r="B2451" s="209">
        <v>6125</v>
      </c>
      <c r="C2451" s="212" t="s">
        <v>422</v>
      </c>
      <c r="D2451" s="205">
        <v>2272.8000000000002</v>
      </c>
      <c r="E2451" s="205" t="s">
        <v>68</v>
      </c>
      <c r="F2451" s="262">
        <v>9</v>
      </c>
      <c r="G2451" s="209" t="s">
        <v>65</v>
      </c>
      <c r="H2451" s="62" t="s">
        <v>66</v>
      </c>
      <c r="I2451" s="125">
        <f>I2452</f>
        <v>372739.2</v>
      </c>
      <c r="J2451" s="125">
        <f>J2452</f>
        <v>164</v>
      </c>
      <c r="K2451" s="125">
        <f>K2452</f>
        <v>164</v>
      </c>
    </row>
    <row r="2452" spans="1:11" s="41" customFormat="1" ht="63" x14ac:dyDescent="0.25">
      <c r="A2452" s="210"/>
      <c r="B2452" s="210"/>
      <c r="C2452" s="213"/>
      <c r="D2452" s="206"/>
      <c r="E2452" s="206"/>
      <c r="F2452" s="263"/>
      <c r="G2452" s="210"/>
      <c r="H2452" s="62" t="s">
        <v>178</v>
      </c>
      <c r="I2452" s="125">
        <f>D2451*K2452</f>
        <v>372739.2</v>
      </c>
      <c r="J2452" s="125">
        <f>I2452/D2451</f>
        <v>164</v>
      </c>
      <c r="K2452" s="125">
        <f>151+13</f>
        <v>164</v>
      </c>
    </row>
    <row r="2453" spans="1:11" s="41" customFormat="1" x14ac:dyDescent="0.25">
      <c r="A2453" s="209">
        <f>A2451+1</f>
        <v>16</v>
      </c>
      <c r="B2453" s="209">
        <v>6145</v>
      </c>
      <c r="C2453" s="212" t="s">
        <v>405</v>
      </c>
      <c r="D2453" s="205">
        <v>1653.94</v>
      </c>
      <c r="E2453" s="262" t="s">
        <v>180</v>
      </c>
      <c r="F2453" s="262">
        <v>4</v>
      </c>
      <c r="G2453" s="124"/>
      <c r="H2453" s="62" t="s">
        <v>66</v>
      </c>
      <c r="I2453" s="125">
        <f>SUM(I2454:I2459)</f>
        <v>6559526.04</v>
      </c>
      <c r="J2453" s="125">
        <f>SUM(J2454:J2459)</f>
        <v>3966</v>
      </c>
      <c r="K2453" s="125">
        <f>SUM(K2454:K2459)</f>
        <v>4051</v>
      </c>
    </row>
    <row r="2454" spans="1:11" s="41" customFormat="1" x14ac:dyDescent="0.25">
      <c r="A2454" s="210"/>
      <c r="B2454" s="210"/>
      <c r="C2454" s="213"/>
      <c r="D2454" s="206"/>
      <c r="E2454" s="263"/>
      <c r="F2454" s="263"/>
      <c r="G2454" s="210" t="s">
        <v>70</v>
      </c>
      <c r="H2454" s="62" t="s">
        <v>169</v>
      </c>
      <c r="I2454" s="125">
        <f>D2453*K2454</f>
        <v>4814619.34</v>
      </c>
      <c r="J2454" s="125">
        <f>I2454/D2453</f>
        <v>2911</v>
      </c>
      <c r="K2454" s="125">
        <v>2911</v>
      </c>
    </row>
    <row r="2455" spans="1:11" s="41" customFormat="1" x14ac:dyDescent="0.25">
      <c r="A2455" s="210"/>
      <c r="B2455" s="210"/>
      <c r="C2455" s="213"/>
      <c r="D2455" s="206"/>
      <c r="E2455" s="263"/>
      <c r="F2455" s="263"/>
      <c r="G2455" s="211"/>
      <c r="H2455" s="62" t="s">
        <v>69</v>
      </c>
      <c r="I2455" s="125">
        <v>0</v>
      </c>
      <c r="J2455" s="125">
        <f>I2455/D2453</f>
        <v>0</v>
      </c>
      <c r="K2455" s="125">
        <v>62</v>
      </c>
    </row>
    <row r="2456" spans="1:11" s="41" customFormat="1" x14ac:dyDescent="0.25">
      <c r="A2456" s="210"/>
      <c r="B2456" s="210"/>
      <c r="C2456" s="213"/>
      <c r="D2456" s="206"/>
      <c r="E2456" s="263"/>
      <c r="F2456" s="263"/>
      <c r="G2456" s="210" t="s">
        <v>71</v>
      </c>
      <c r="H2456" s="62" t="s">
        <v>169</v>
      </c>
      <c r="I2456" s="125">
        <f>D2453*K2456</f>
        <v>848471.22</v>
      </c>
      <c r="J2456" s="125">
        <f>I2456/D2453</f>
        <v>513</v>
      </c>
      <c r="K2456" s="125">
        <v>513</v>
      </c>
    </row>
    <row r="2457" spans="1:11" s="41" customFormat="1" x14ac:dyDescent="0.25">
      <c r="A2457" s="210"/>
      <c r="B2457" s="210"/>
      <c r="C2457" s="213"/>
      <c r="D2457" s="206"/>
      <c r="E2457" s="263"/>
      <c r="F2457" s="263"/>
      <c r="G2457" s="211"/>
      <c r="H2457" s="62" t="s">
        <v>69</v>
      </c>
      <c r="I2457" s="125">
        <v>0</v>
      </c>
      <c r="J2457" s="125">
        <f>I2457/D2453</f>
        <v>0</v>
      </c>
      <c r="K2457" s="125">
        <v>11</v>
      </c>
    </row>
    <row r="2458" spans="1:11" s="41" customFormat="1" x14ac:dyDescent="0.25">
      <c r="A2458" s="210"/>
      <c r="B2458" s="210"/>
      <c r="C2458" s="213"/>
      <c r="D2458" s="206"/>
      <c r="E2458" s="263"/>
      <c r="F2458" s="263"/>
      <c r="G2458" s="210" t="s">
        <v>72</v>
      </c>
      <c r="H2458" s="62" t="s">
        <v>169</v>
      </c>
      <c r="I2458" s="125">
        <f>D2453*K2458</f>
        <v>896435.48</v>
      </c>
      <c r="J2458" s="125">
        <f>I2458/D2453</f>
        <v>542</v>
      </c>
      <c r="K2458" s="125">
        <v>542</v>
      </c>
    </row>
    <row r="2459" spans="1:11" s="41" customFormat="1" x14ac:dyDescent="0.25">
      <c r="A2459" s="211"/>
      <c r="B2459" s="211"/>
      <c r="C2459" s="214"/>
      <c r="D2459" s="207"/>
      <c r="E2459" s="264"/>
      <c r="F2459" s="264"/>
      <c r="G2459" s="211"/>
      <c r="H2459" s="62" t="s">
        <v>69</v>
      </c>
      <c r="I2459" s="125">
        <v>0</v>
      </c>
      <c r="J2459" s="125">
        <f>I2459/D2453</f>
        <v>0</v>
      </c>
      <c r="K2459" s="125">
        <v>12</v>
      </c>
    </row>
    <row r="2460" spans="1:11" s="41" customFormat="1" x14ac:dyDescent="0.25">
      <c r="A2460" s="209">
        <f>A2453+1</f>
        <v>17</v>
      </c>
      <c r="B2460" s="209">
        <v>6163</v>
      </c>
      <c r="C2460" s="212" t="s">
        <v>406</v>
      </c>
      <c r="D2460" s="205">
        <v>2467.5</v>
      </c>
      <c r="E2460" s="262" t="s">
        <v>68</v>
      </c>
      <c r="F2460" s="262">
        <v>5</v>
      </c>
      <c r="G2460" s="124"/>
      <c r="H2460" s="62" t="s">
        <v>66</v>
      </c>
      <c r="I2460" s="125">
        <f>SUM(I2461:I2462)</f>
        <v>9369097.5</v>
      </c>
      <c r="J2460" s="125">
        <f>SUM(J2461:J2462)</f>
        <v>3797</v>
      </c>
      <c r="K2460" s="125">
        <f>SUM(K2461:K2462)</f>
        <v>3878</v>
      </c>
    </row>
    <row r="2461" spans="1:11" s="41" customFormat="1" ht="15.75" customHeight="1" x14ac:dyDescent="0.25">
      <c r="A2461" s="210"/>
      <c r="B2461" s="210"/>
      <c r="C2461" s="213"/>
      <c r="D2461" s="206"/>
      <c r="E2461" s="263"/>
      <c r="F2461" s="263"/>
      <c r="G2461" s="210" t="s">
        <v>65</v>
      </c>
      <c r="H2461" s="62" t="s">
        <v>169</v>
      </c>
      <c r="I2461" s="125">
        <f>D2460*K2461</f>
        <v>9369097.5</v>
      </c>
      <c r="J2461" s="125">
        <f>I2461/D2460</f>
        <v>3797</v>
      </c>
      <c r="K2461" s="125">
        <v>3797</v>
      </c>
    </row>
    <row r="2462" spans="1:11" s="41" customFormat="1" x14ac:dyDescent="0.25">
      <c r="A2462" s="210"/>
      <c r="B2462" s="210"/>
      <c r="C2462" s="213"/>
      <c r="D2462" s="206"/>
      <c r="E2462" s="263"/>
      <c r="F2462" s="263"/>
      <c r="G2462" s="211"/>
      <c r="H2462" s="62" t="s">
        <v>69</v>
      </c>
      <c r="I2462" s="125">
        <v>0</v>
      </c>
      <c r="J2462" s="125">
        <f>I2462/D2460</f>
        <v>0</v>
      </c>
      <c r="K2462" s="125">
        <v>81</v>
      </c>
    </row>
    <row r="2463" spans="1:11" s="41" customFormat="1" x14ac:dyDescent="0.25">
      <c r="A2463" s="209">
        <f>A2460+1</f>
        <v>18</v>
      </c>
      <c r="B2463" s="209">
        <v>6304</v>
      </c>
      <c r="C2463" s="212" t="s">
        <v>407</v>
      </c>
      <c r="D2463" s="205">
        <v>3493.48</v>
      </c>
      <c r="E2463" s="205" t="s">
        <v>68</v>
      </c>
      <c r="F2463" s="262">
        <v>5</v>
      </c>
      <c r="G2463" s="209" t="s">
        <v>65</v>
      </c>
      <c r="H2463" s="62" t="s">
        <v>66</v>
      </c>
      <c r="I2463" s="125">
        <f>I2464+I2465</f>
        <v>13264743.560000001</v>
      </c>
      <c r="J2463" s="125">
        <f>J2464+J2465</f>
        <v>3797</v>
      </c>
      <c r="K2463" s="125">
        <f>K2464+K2465</f>
        <v>3878</v>
      </c>
    </row>
    <row r="2464" spans="1:11" s="41" customFormat="1" x14ac:dyDescent="0.25">
      <c r="A2464" s="210"/>
      <c r="B2464" s="210"/>
      <c r="C2464" s="213"/>
      <c r="D2464" s="206"/>
      <c r="E2464" s="206"/>
      <c r="F2464" s="263"/>
      <c r="G2464" s="210"/>
      <c r="H2464" s="62" t="s">
        <v>67</v>
      </c>
      <c r="I2464" s="125">
        <f>D2463*K2464</f>
        <v>13264743.560000001</v>
      </c>
      <c r="J2464" s="125">
        <f>I2464/D2463</f>
        <v>3797</v>
      </c>
      <c r="K2464" s="125">
        <v>3797</v>
      </c>
    </row>
    <row r="2465" spans="1:11" s="41" customFormat="1" x14ac:dyDescent="0.25">
      <c r="A2465" s="211"/>
      <c r="B2465" s="211"/>
      <c r="C2465" s="214"/>
      <c r="D2465" s="207"/>
      <c r="E2465" s="207"/>
      <c r="F2465" s="264"/>
      <c r="G2465" s="211"/>
      <c r="H2465" s="62" t="s">
        <v>69</v>
      </c>
      <c r="I2465" s="125">
        <f>0</f>
        <v>0</v>
      </c>
      <c r="J2465" s="125">
        <f>I2465/D2463</f>
        <v>0</v>
      </c>
      <c r="K2465" s="125">
        <v>81</v>
      </c>
    </row>
    <row r="2466" spans="1:11" s="41" customFormat="1" ht="15.75" customHeight="1" x14ac:dyDescent="0.25">
      <c r="A2466" s="209">
        <f>A2463+1</f>
        <v>19</v>
      </c>
      <c r="B2466" s="209">
        <v>6320</v>
      </c>
      <c r="C2466" s="212" t="s">
        <v>583</v>
      </c>
      <c r="D2466" s="205">
        <v>6684.9</v>
      </c>
      <c r="E2466" s="209" t="s">
        <v>64</v>
      </c>
      <c r="F2466" s="209">
        <v>10</v>
      </c>
      <c r="G2466" s="117"/>
      <c r="H2466" s="62" t="s">
        <v>66</v>
      </c>
      <c r="I2466" s="125">
        <f>SUM(I2467:I2472)</f>
        <v>6724941</v>
      </c>
      <c r="J2466" s="125">
        <f>SUM(J2467:J2472)</f>
        <v>1005.99</v>
      </c>
      <c r="K2466" s="125">
        <f>SUM(K2467:K2472)</f>
        <v>1027.53</v>
      </c>
    </row>
    <row r="2467" spans="1:11" s="41" customFormat="1" x14ac:dyDescent="0.25">
      <c r="A2467" s="210"/>
      <c r="B2467" s="210"/>
      <c r="C2467" s="213"/>
      <c r="D2467" s="206"/>
      <c r="E2467" s="210"/>
      <c r="F2467" s="210"/>
      <c r="G2467" s="209" t="s">
        <v>170</v>
      </c>
      <c r="H2467" s="62" t="s">
        <v>171</v>
      </c>
      <c r="I2467" s="125">
        <v>2241647</v>
      </c>
      <c r="J2467" s="125">
        <f>I2467/D2466</f>
        <v>335.33</v>
      </c>
      <c r="K2467" s="125">
        <f>2241647/D2466</f>
        <v>335.33</v>
      </c>
    </row>
    <row r="2468" spans="1:11" s="41" customFormat="1" x14ac:dyDescent="0.25">
      <c r="A2468" s="210"/>
      <c r="B2468" s="210"/>
      <c r="C2468" s="213"/>
      <c r="D2468" s="206"/>
      <c r="E2468" s="210"/>
      <c r="F2468" s="210"/>
      <c r="G2468" s="211"/>
      <c r="H2468" s="62" t="s">
        <v>69</v>
      </c>
      <c r="I2468" s="125">
        <v>0</v>
      </c>
      <c r="J2468" s="125">
        <f>I2468/D2466</f>
        <v>0</v>
      </c>
      <c r="K2468" s="125">
        <f>47971/D2466</f>
        <v>7.18</v>
      </c>
    </row>
    <row r="2469" spans="1:11" s="41" customFormat="1" x14ac:dyDescent="0.25">
      <c r="A2469" s="210"/>
      <c r="B2469" s="210"/>
      <c r="C2469" s="213"/>
      <c r="D2469" s="206"/>
      <c r="E2469" s="210"/>
      <c r="F2469" s="210"/>
      <c r="G2469" s="209" t="s">
        <v>173</v>
      </c>
      <c r="H2469" s="62" t="s">
        <v>171</v>
      </c>
      <c r="I2469" s="125">
        <v>2241647</v>
      </c>
      <c r="J2469" s="125">
        <f>I2469/D2466</f>
        <v>335.33</v>
      </c>
      <c r="K2469" s="125">
        <f>2241647/D2466</f>
        <v>335.33</v>
      </c>
    </row>
    <row r="2470" spans="1:11" s="41" customFormat="1" x14ac:dyDescent="0.25">
      <c r="A2470" s="210"/>
      <c r="B2470" s="210"/>
      <c r="C2470" s="213"/>
      <c r="D2470" s="206"/>
      <c r="E2470" s="210"/>
      <c r="F2470" s="210"/>
      <c r="G2470" s="211"/>
      <c r="H2470" s="62" t="s">
        <v>69</v>
      </c>
      <c r="I2470" s="125">
        <v>0</v>
      </c>
      <c r="J2470" s="125">
        <f>I2470/D2466</f>
        <v>0</v>
      </c>
      <c r="K2470" s="125">
        <f>47971/D2466</f>
        <v>7.18</v>
      </c>
    </row>
    <row r="2471" spans="1:11" s="41" customFormat="1" x14ac:dyDescent="0.25">
      <c r="A2471" s="210"/>
      <c r="B2471" s="210"/>
      <c r="C2471" s="213"/>
      <c r="D2471" s="206"/>
      <c r="E2471" s="210"/>
      <c r="F2471" s="210"/>
      <c r="G2471" s="209" t="s">
        <v>174</v>
      </c>
      <c r="H2471" s="62" t="s">
        <v>171</v>
      </c>
      <c r="I2471" s="125">
        <v>2241647</v>
      </c>
      <c r="J2471" s="125">
        <f>I2471/D2466</f>
        <v>335.33</v>
      </c>
      <c r="K2471" s="125">
        <f>2241647/D2466</f>
        <v>335.33</v>
      </c>
    </row>
    <row r="2472" spans="1:11" s="41" customFormat="1" x14ac:dyDescent="0.25">
      <c r="A2472" s="211"/>
      <c r="B2472" s="211"/>
      <c r="C2472" s="214"/>
      <c r="D2472" s="207"/>
      <c r="E2472" s="211"/>
      <c r="F2472" s="211"/>
      <c r="G2472" s="211"/>
      <c r="H2472" s="62" t="s">
        <v>69</v>
      </c>
      <c r="I2472" s="125">
        <v>0</v>
      </c>
      <c r="J2472" s="125">
        <f>I2472/D2466</f>
        <v>0</v>
      </c>
      <c r="K2472" s="125">
        <f>47971/D2466</f>
        <v>7.18</v>
      </c>
    </row>
    <row r="2473" spans="1:11" s="41" customFormat="1" x14ac:dyDescent="0.25">
      <c r="A2473" s="209">
        <f>A2466+1</f>
        <v>20</v>
      </c>
      <c r="B2473" s="209">
        <v>6330</v>
      </c>
      <c r="C2473" s="212" t="s">
        <v>577</v>
      </c>
      <c r="D2473" s="205">
        <v>10514.2</v>
      </c>
      <c r="E2473" s="205" t="s">
        <v>64</v>
      </c>
      <c r="F2473" s="262">
        <v>10</v>
      </c>
      <c r="G2473" s="117"/>
      <c r="H2473" s="62" t="s">
        <v>66</v>
      </c>
      <c r="I2473" s="125">
        <f>SUM(I2474:I2479)</f>
        <v>6724941</v>
      </c>
      <c r="J2473" s="125">
        <f>SUM(J2474:J2479)</f>
        <v>639.61</v>
      </c>
      <c r="K2473" s="125">
        <f>SUM(K2474:K2479)</f>
        <v>654.61</v>
      </c>
    </row>
    <row r="2474" spans="1:11" s="41" customFormat="1" x14ac:dyDescent="0.25">
      <c r="A2474" s="210"/>
      <c r="B2474" s="210"/>
      <c r="C2474" s="213"/>
      <c r="D2474" s="206"/>
      <c r="E2474" s="206"/>
      <c r="F2474" s="263"/>
      <c r="G2474" s="209" t="s">
        <v>170</v>
      </c>
      <c r="H2474" s="62" t="s">
        <v>171</v>
      </c>
      <c r="I2474" s="125">
        <v>2241647</v>
      </c>
      <c r="J2474" s="125">
        <f>I2474/D2473+0.01</f>
        <v>213.21</v>
      </c>
      <c r="K2474" s="125">
        <f>2241647/D2473+0.01</f>
        <v>213.21</v>
      </c>
    </row>
    <row r="2475" spans="1:11" s="41" customFormat="1" x14ac:dyDescent="0.25">
      <c r="A2475" s="210"/>
      <c r="B2475" s="210"/>
      <c r="C2475" s="213"/>
      <c r="D2475" s="206"/>
      <c r="E2475" s="206"/>
      <c r="F2475" s="263"/>
      <c r="G2475" s="211"/>
      <c r="H2475" s="62" t="s">
        <v>69</v>
      </c>
      <c r="I2475" s="125">
        <v>0</v>
      </c>
      <c r="J2475" s="125">
        <f>I2475/D2473</f>
        <v>0</v>
      </c>
      <c r="K2475" s="125">
        <f>52617/D2473</f>
        <v>5</v>
      </c>
    </row>
    <row r="2476" spans="1:11" s="41" customFormat="1" x14ac:dyDescent="0.25">
      <c r="A2476" s="210"/>
      <c r="B2476" s="210"/>
      <c r="C2476" s="213"/>
      <c r="D2476" s="206"/>
      <c r="E2476" s="206"/>
      <c r="F2476" s="263"/>
      <c r="G2476" s="209" t="s">
        <v>173</v>
      </c>
      <c r="H2476" s="62" t="s">
        <v>171</v>
      </c>
      <c r="I2476" s="125">
        <v>2241647</v>
      </c>
      <c r="J2476" s="125">
        <f>I2476/D2473</f>
        <v>213.2</v>
      </c>
      <c r="K2476" s="125">
        <f>2241647/D2473</f>
        <v>213.2</v>
      </c>
    </row>
    <row r="2477" spans="1:11" s="41" customFormat="1" x14ac:dyDescent="0.25">
      <c r="A2477" s="210"/>
      <c r="B2477" s="210"/>
      <c r="C2477" s="213"/>
      <c r="D2477" s="206"/>
      <c r="E2477" s="206"/>
      <c r="F2477" s="263"/>
      <c r="G2477" s="211"/>
      <c r="H2477" s="62" t="s">
        <v>69</v>
      </c>
      <c r="I2477" s="125">
        <v>0</v>
      </c>
      <c r="J2477" s="125">
        <f>I2477/D2473</f>
        <v>0</v>
      </c>
      <c r="K2477" s="125">
        <f>52617/D2473</f>
        <v>5</v>
      </c>
    </row>
    <row r="2478" spans="1:11" s="41" customFormat="1" x14ac:dyDescent="0.25">
      <c r="A2478" s="210"/>
      <c r="B2478" s="210"/>
      <c r="C2478" s="213"/>
      <c r="D2478" s="206"/>
      <c r="E2478" s="206"/>
      <c r="F2478" s="263"/>
      <c r="G2478" s="209" t="s">
        <v>174</v>
      </c>
      <c r="H2478" s="62" t="s">
        <v>171</v>
      </c>
      <c r="I2478" s="125">
        <v>2241647</v>
      </c>
      <c r="J2478" s="125">
        <f>I2478/D2473</f>
        <v>213.2</v>
      </c>
      <c r="K2478" s="125">
        <f>2241647/D2473</f>
        <v>213.2</v>
      </c>
    </row>
    <row r="2479" spans="1:11" s="41" customFormat="1" x14ac:dyDescent="0.25">
      <c r="A2479" s="210"/>
      <c r="B2479" s="210"/>
      <c r="C2479" s="213"/>
      <c r="D2479" s="206"/>
      <c r="E2479" s="206"/>
      <c r="F2479" s="263"/>
      <c r="G2479" s="211"/>
      <c r="H2479" s="62" t="s">
        <v>69</v>
      </c>
      <c r="I2479" s="125">
        <v>0</v>
      </c>
      <c r="J2479" s="125">
        <f>I2479/D2473</f>
        <v>0</v>
      </c>
      <c r="K2479" s="125">
        <f>52617/D2473</f>
        <v>5</v>
      </c>
    </row>
    <row r="2480" spans="1:11" s="41" customFormat="1" x14ac:dyDescent="0.25">
      <c r="A2480" s="209">
        <f>A2473+1</f>
        <v>21</v>
      </c>
      <c r="B2480" s="209">
        <v>6399</v>
      </c>
      <c r="C2480" s="212" t="s">
        <v>413</v>
      </c>
      <c r="D2480" s="205">
        <v>3130.7</v>
      </c>
      <c r="E2480" s="262" t="s">
        <v>68</v>
      </c>
      <c r="F2480" s="262">
        <v>5</v>
      </c>
      <c r="G2480" s="124"/>
      <c r="H2480" s="62" t="s">
        <v>66</v>
      </c>
      <c r="I2480" s="125">
        <f>SUM(I2481:I2486)</f>
        <v>7334917.0300000003</v>
      </c>
      <c r="J2480" s="125">
        <f>SUM(J2481:J2486)</f>
        <v>2342.9</v>
      </c>
      <c r="K2480" s="125">
        <f>SUM(K2481:K2486)</f>
        <v>3419</v>
      </c>
    </row>
    <row r="2481" spans="1:11" s="41" customFormat="1" x14ac:dyDescent="0.25">
      <c r="A2481" s="210"/>
      <c r="B2481" s="210"/>
      <c r="C2481" s="213"/>
      <c r="D2481" s="206"/>
      <c r="E2481" s="263"/>
      <c r="F2481" s="263"/>
      <c r="G2481" s="210" t="s">
        <v>70</v>
      </c>
      <c r="H2481" s="62" t="s">
        <v>169</v>
      </c>
      <c r="I2481" s="125">
        <f>D2480*K2481*70/100</f>
        <v>5022895.08</v>
      </c>
      <c r="J2481" s="125">
        <f>I2481/D2480</f>
        <v>1604.4</v>
      </c>
      <c r="K2481" s="125">
        <v>2292</v>
      </c>
    </row>
    <row r="2482" spans="1:11" s="41" customFormat="1" x14ac:dyDescent="0.25">
      <c r="A2482" s="210"/>
      <c r="B2482" s="210"/>
      <c r="C2482" s="213"/>
      <c r="D2482" s="206"/>
      <c r="E2482" s="263"/>
      <c r="F2482" s="263"/>
      <c r="G2482" s="211"/>
      <c r="H2482" s="62" t="s">
        <v>69</v>
      </c>
      <c r="I2482" s="125">
        <v>0</v>
      </c>
      <c r="J2482" s="125">
        <f>I2482/D2480</f>
        <v>0</v>
      </c>
      <c r="K2482" s="125">
        <v>49</v>
      </c>
    </row>
    <row r="2483" spans="1:11" s="41" customFormat="1" x14ac:dyDescent="0.25">
      <c r="A2483" s="210"/>
      <c r="B2483" s="210"/>
      <c r="C2483" s="213"/>
      <c r="D2483" s="206"/>
      <c r="E2483" s="263"/>
      <c r="F2483" s="263"/>
      <c r="G2483" s="210" t="s">
        <v>71</v>
      </c>
      <c r="H2483" s="62" t="s">
        <v>169</v>
      </c>
      <c r="I2483" s="125">
        <f>D2480*K2483*70/100</f>
        <v>1124234.3700000001</v>
      </c>
      <c r="J2483" s="125">
        <f>I2483/D2480</f>
        <v>359.1</v>
      </c>
      <c r="K2483" s="125">
        <v>513</v>
      </c>
    </row>
    <row r="2484" spans="1:11" s="41" customFormat="1" x14ac:dyDescent="0.25">
      <c r="A2484" s="210"/>
      <c r="B2484" s="210"/>
      <c r="C2484" s="213"/>
      <c r="D2484" s="206"/>
      <c r="E2484" s="263"/>
      <c r="F2484" s="263"/>
      <c r="G2484" s="211"/>
      <c r="H2484" s="62" t="s">
        <v>69</v>
      </c>
      <c r="I2484" s="125">
        <v>0</v>
      </c>
      <c r="J2484" s="125">
        <f>I2484/D2480</f>
        <v>0</v>
      </c>
      <c r="K2484" s="125">
        <v>11</v>
      </c>
    </row>
    <row r="2485" spans="1:11" s="41" customFormat="1" x14ac:dyDescent="0.25">
      <c r="A2485" s="210"/>
      <c r="B2485" s="210"/>
      <c r="C2485" s="213"/>
      <c r="D2485" s="206"/>
      <c r="E2485" s="263"/>
      <c r="F2485" s="263"/>
      <c r="G2485" s="210" t="s">
        <v>72</v>
      </c>
      <c r="H2485" s="62" t="s">
        <v>169</v>
      </c>
      <c r="I2485" s="125">
        <f>D2480*K2485*70/100</f>
        <v>1187787.58</v>
      </c>
      <c r="J2485" s="125">
        <f>I2485/D2480</f>
        <v>379.4</v>
      </c>
      <c r="K2485" s="125">
        <v>542</v>
      </c>
    </row>
    <row r="2486" spans="1:11" s="41" customFormat="1" x14ac:dyDescent="0.25">
      <c r="A2486" s="211"/>
      <c r="B2486" s="211"/>
      <c r="C2486" s="214"/>
      <c r="D2486" s="207"/>
      <c r="E2486" s="264"/>
      <c r="F2486" s="264"/>
      <c r="G2486" s="211"/>
      <c r="H2486" s="62" t="s">
        <v>69</v>
      </c>
      <c r="I2486" s="125">
        <v>0</v>
      </c>
      <c r="J2486" s="125">
        <f>I2486/D2480</f>
        <v>0</v>
      </c>
      <c r="K2486" s="125">
        <v>12</v>
      </c>
    </row>
    <row r="2487" spans="1:11" s="41" customFormat="1" x14ac:dyDescent="0.25">
      <c r="A2487" s="209">
        <f>A2480+1</f>
        <v>22</v>
      </c>
      <c r="B2487" s="209">
        <v>6400</v>
      </c>
      <c r="C2487" s="212" t="s">
        <v>414</v>
      </c>
      <c r="D2487" s="205">
        <v>2810.7</v>
      </c>
      <c r="E2487" s="262" t="s">
        <v>68</v>
      </c>
      <c r="F2487" s="262">
        <v>4</v>
      </c>
      <c r="G2487" s="124"/>
      <c r="H2487" s="62" t="s">
        <v>66</v>
      </c>
      <c r="I2487" s="125">
        <f>SUM(I2488:I2493)</f>
        <v>7803065.3399999999</v>
      </c>
      <c r="J2487" s="125">
        <f>SUM(J2488:J2493)</f>
        <v>2776.2</v>
      </c>
      <c r="K2487" s="125">
        <f>SUM(K2488:K2493)</f>
        <v>4051</v>
      </c>
    </row>
    <row r="2488" spans="1:11" s="41" customFormat="1" x14ac:dyDescent="0.25">
      <c r="A2488" s="210"/>
      <c r="B2488" s="210"/>
      <c r="C2488" s="213"/>
      <c r="D2488" s="206"/>
      <c r="E2488" s="263"/>
      <c r="F2488" s="263"/>
      <c r="G2488" s="210" t="s">
        <v>70</v>
      </c>
      <c r="H2488" s="62" t="s">
        <v>169</v>
      </c>
      <c r="I2488" s="125">
        <f>D2487*K2488*70/100</f>
        <v>5727363.3899999997</v>
      </c>
      <c r="J2488" s="125">
        <f>I2488/D2487</f>
        <v>2037.7</v>
      </c>
      <c r="K2488" s="125">
        <v>2911</v>
      </c>
    </row>
    <row r="2489" spans="1:11" s="41" customFormat="1" x14ac:dyDescent="0.25">
      <c r="A2489" s="210"/>
      <c r="B2489" s="210"/>
      <c r="C2489" s="213"/>
      <c r="D2489" s="206"/>
      <c r="E2489" s="263"/>
      <c r="F2489" s="263"/>
      <c r="G2489" s="211"/>
      <c r="H2489" s="62" t="s">
        <v>69</v>
      </c>
      <c r="I2489" s="125">
        <v>0</v>
      </c>
      <c r="J2489" s="125">
        <f>I2489/D2487</f>
        <v>0</v>
      </c>
      <c r="K2489" s="125">
        <v>62</v>
      </c>
    </row>
    <row r="2490" spans="1:11" s="41" customFormat="1" x14ac:dyDescent="0.25">
      <c r="A2490" s="210"/>
      <c r="B2490" s="210"/>
      <c r="C2490" s="213"/>
      <c r="D2490" s="206"/>
      <c r="E2490" s="263"/>
      <c r="F2490" s="263"/>
      <c r="G2490" s="210" t="s">
        <v>71</v>
      </c>
      <c r="H2490" s="62" t="s">
        <v>169</v>
      </c>
      <c r="I2490" s="125">
        <f>D2487*K2490*70/100</f>
        <v>1009322.37</v>
      </c>
      <c r="J2490" s="125">
        <f>I2490/D2487</f>
        <v>359.1</v>
      </c>
      <c r="K2490" s="125">
        <v>513</v>
      </c>
    </row>
    <row r="2491" spans="1:11" s="41" customFormat="1" x14ac:dyDescent="0.25">
      <c r="A2491" s="210"/>
      <c r="B2491" s="210"/>
      <c r="C2491" s="213"/>
      <c r="D2491" s="206"/>
      <c r="E2491" s="263"/>
      <c r="F2491" s="263"/>
      <c r="G2491" s="211"/>
      <c r="H2491" s="62" t="s">
        <v>69</v>
      </c>
      <c r="I2491" s="125">
        <v>0</v>
      </c>
      <c r="J2491" s="125">
        <f>I2491/D2487</f>
        <v>0</v>
      </c>
      <c r="K2491" s="125">
        <v>11</v>
      </c>
    </row>
    <row r="2492" spans="1:11" s="41" customFormat="1" x14ac:dyDescent="0.25">
      <c r="A2492" s="210"/>
      <c r="B2492" s="210"/>
      <c r="C2492" s="213"/>
      <c r="D2492" s="206"/>
      <c r="E2492" s="263"/>
      <c r="F2492" s="263"/>
      <c r="G2492" s="210" t="s">
        <v>72</v>
      </c>
      <c r="H2492" s="62" t="s">
        <v>169</v>
      </c>
      <c r="I2492" s="125">
        <f>D2487*K2492*70/100</f>
        <v>1066379.58</v>
      </c>
      <c r="J2492" s="125">
        <f>I2492/D2487</f>
        <v>379.4</v>
      </c>
      <c r="K2492" s="125">
        <v>542</v>
      </c>
    </row>
    <row r="2493" spans="1:11" s="41" customFormat="1" x14ac:dyDescent="0.25">
      <c r="A2493" s="211"/>
      <c r="B2493" s="211"/>
      <c r="C2493" s="214"/>
      <c r="D2493" s="207"/>
      <c r="E2493" s="264"/>
      <c r="F2493" s="264"/>
      <c r="G2493" s="211"/>
      <c r="H2493" s="62" t="s">
        <v>69</v>
      </c>
      <c r="I2493" s="125">
        <v>0</v>
      </c>
      <c r="J2493" s="125">
        <f>I2493/D2487</f>
        <v>0</v>
      </c>
      <c r="K2493" s="125">
        <v>12</v>
      </c>
    </row>
    <row r="2494" spans="1:11" s="41" customFormat="1" ht="15" customHeight="1" x14ac:dyDescent="0.25">
      <c r="A2494" s="209">
        <f>A2487+1</f>
        <v>23</v>
      </c>
      <c r="B2494" s="209">
        <v>6430</v>
      </c>
      <c r="C2494" s="212" t="s">
        <v>415</v>
      </c>
      <c r="D2494" s="205">
        <v>2506.4</v>
      </c>
      <c r="E2494" s="262" t="s">
        <v>64</v>
      </c>
      <c r="F2494" s="262">
        <v>5</v>
      </c>
      <c r="G2494" s="124"/>
      <c r="H2494" s="62" t="s">
        <v>66</v>
      </c>
      <c r="I2494" s="125">
        <f>SUM(I2495:I2496)</f>
        <v>9516800.8000000007</v>
      </c>
      <c r="J2494" s="125">
        <f>SUM(J2495:J2496)</f>
        <v>3797</v>
      </c>
      <c r="K2494" s="125">
        <f>SUM(K2495:K2496)</f>
        <v>3878</v>
      </c>
    </row>
    <row r="2495" spans="1:11" s="41" customFormat="1" ht="15" customHeight="1" x14ac:dyDescent="0.25">
      <c r="A2495" s="210"/>
      <c r="B2495" s="210"/>
      <c r="C2495" s="213"/>
      <c r="D2495" s="206"/>
      <c r="E2495" s="263"/>
      <c r="F2495" s="263"/>
      <c r="G2495" s="209" t="s">
        <v>65</v>
      </c>
      <c r="H2495" s="62" t="s">
        <v>169</v>
      </c>
      <c r="I2495" s="125">
        <f>D2494*K2495</f>
        <v>9516800.8000000007</v>
      </c>
      <c r="J2495" s="125">
        <f>I2495/D2494</f>
        <v>3797</v>
      </c>
      <c r="K2495" s="125">
        <v>3797</v>
      </c>
    </row>
    <row r="2496" spans="1:11" s="41" customFormat="1" x14ac:dyDescent="0.25">
      <c r="A2496" s="211"/>
      <c r="B2496" s="211"/>
      <c r="C2496" s="214"/>
      <c r="D2496" s="207"/>
      <c r="E2496" s="264"/>
      <c r="F2496" s="264"/>
      <c r="G2496" s="211"/>
      <c r="H2496" s="62" t="s">
        <v>69</v>
      </c>
      <c r="I2496" s="125">
        <v>0</v>
      </c>
      <c r="J2496" s="125">
        <f>I2496/D2494</f>
        <v>0</v>
      </c>
      <c r="K2496" s="125">
        <v>81</v>
      </c>
    </row>
    <row r="2497" spans="1:11" s="41" customFormat="1" x14ac:dyDescent="0.25">
      <c r="A2497" s="209">
        <f>A2494+1</f>
        <v>24</v>
      </c>
      <c r="B2497" s="209">
        <v>6433</v>
      </c>
      <c r="C2497" s="212" t="s">
        <v>416</v>
      </c>
      <c r="D2497" s="205">
        <v>3100.3</v>
      </c>
      <c r="E2497" s="262" t="s">
        <v>68</v>
      </c>
      <c r="F2497" s="262">
        <v>5</v>
      </c>
      <c r="G2497" s="209" t="s">
        <v>65</v>
      </c>
      <c r="H2497" s="62" t="s">
        <v>66</v>
      </c>
      <c r="I2497" s="125">
        <f>SUM(I2498:I2499)</f>
        <v>8240287.3700000001</v>
      </c>
      <c r="J2497" s="125">
        <f>SUM(J2498:J2499)</f>
        <v>2657.9</v>
      </c>
      <c r="K2497" s="125">
        <f>SUM(K2498:K2499)</f>
        <v>3878</v>
      </c>
    </row>
    <row r="2498" spans="1:11" s="41" customFormat="1" ht="15.75" customHeight="1" x14ac:dyDescent="0.25">
      <c r="A2498" s="210"/>
      <c r="B2498" s="210"/>
      <c r="C2498" s="213"/>
      <c r="D2498" s="206"/>
      <c r="E2498" s="263"/>
      <c r="F2498" s="263"/>
      <c r="G2498" s="210"/>
      <c r="H2498" s="62" t="s">
        <v>169</v>
      </c>
      <c r="I2498" s="125">
        <f>D2497*K2498*70/100</f>
        <v>8240287.3700000001</v>
      </c>
      <c r="J2498" s="125">
        <f>I2498/D2497</f>
        <v>2657.9</v>
      </c>
      <c r="K2498" s="125">
        <v>3797</v>
      </c>
    </row>
    <row r="2499" spans="1:11" s="41" customFormat="1" x14ac:dyDescent="0.25">
      <c r="A2499" s="210"/>
      <c r="B2499" s="210"/>
      <c r="C2499" s="213"/>
      <c r="D2499" s="206"/>
      <c r="E2499" s="263"/>
      <c r="F2499" s="263"/>
      <c r="G2499" s="211"/>
      <c r="H2499" s="62" t="s">
        <v>69</v>
      </c>
      <c r="I2499" s="125">
        <v>0</v>
      </c>
      <c r="J2499" s="125">
        <f>I2499/D2497</f>
        <v>0</v>
      </c>
      <c r="K2499" s="125">
        <v>81</v>
      </c>
    </row>
    <row r="2500" spans="1:11" s="41" customFormat="1" x14ac:dyDescent="0.25">
      <c r="A2500" s="209">
        <f>A2497+1</f>
        <v>25</v>
      </c>
      <c r="B2500" s="209">
        <v>6436</v>
      </c>
      <c r="C2500" s="212" t="s">
        <v>417</v>
      </c>
      <c r="D2500" s="205">
        <v>3038.5</v>
      </c>
      <c r="E2500" s="262" t="s">
        <v>68</v>
      </c>
      <c r="F2500" s="262">
        <v>5</v>
      </c>
      <c r="G2500" s="124"/>
      <c r="H2500" s="62" t="s">
        <v>66</v>
      </c>
      <c r="I2500" s="125">
        <f>SUM(I2501:I2506)</f>
        <v>7118901.6500000004</v>
      </c>
      <c r="J2500" s="125">
        <f>SUM(J2501:J2506)</f>
        <v>2342.9</v>
      </c>
      <c r="K2500" s="125">
        <f>SUM(K2501:K2506)</f>
        <v>3419</v>
      </c>
    </row>
    <row r="2501" spans="1:11" s="41" customFormat="1" x14ac:dyDescent="0.25">
      <c r="A2501" s="210"/>
      <c r="B2501" s="210"/>
      <c r="C2501" s="213"/>
      <c r="D2501" s="206"/>
      <c r="E2501" s="263"/>
      <c r="F2501" s="263"/>
      <c r="G2501" s="210" t="s">
        <v>70</v>
      </c>
      <c r="H2501" s="62" t="s">
        <v>169</v>
      </c>
      <c r="I2501" s="125">
        <f>D2500*K2501*70/100</f>
        <v>4874969.4000000004</v>
      </c>
      <c r="J2501" s="125">
        <f>I2501/D2500</f>
        <v>1604.4</v>
      </c>
      <c r="K2501" s="125">
        <v>2292</v>
      </c>
    </row>
    <row r="2502" spans="1:11" s="41" customFormat="1" x14ac:dyDescent="0.25">
      <c r="A2502" s="210"/>
      <c r="B2502" s="210"/>
      <c r="C2502" s="213"/>
      <c r="D2502" s="206"/>
      <c r="E2502" s="263"/>
      <c r="F2502" s="263"/>
      <c r="G2502" s="211"/>
      <c r="H2502" s="62" t="s">
        <v>69</v>
      </c>
      <c r="I2502" s="125">
        <v>0</v>
      </c>
      <c r="J2502" s="125">
        <f>I2502/D2500</f>
        <v>0</v>
      </c>
      <c r="K2502" s="125">
        <v>49</v>
      </c>
    </row>
    <row r="2503" spans="1:11" s="41" customFormat="1" x14ac:dyDescent="0.25">
      <c r="A2503" s="210"/>
      <c r="B2503" s="210"/>
      <c r="C2503" s="213"/>
      <c r="D2503" s="206"/>
      <c r="E2503" s="263"/>
      <c r="F2503" s="263"/>
      <c r="G2503" s="210" t="s">
        <v>71</v>
      </c>
      <c r="H2503" s="62" t="s">
        <v>169</v>
      </c>
      <c r="I2503" s="125">
        <f>D2500*K2503*70/100</f>
        <v>1091125.3500000001</v>
      </c>
      <c r="J2503" s="125">
        <f>I2503/D2500</f>
        <v>359.1</v>
      </c>
      <c r="K2503" s="125">
        <v>513</v>
      </c>
    </row>
    <row r="2504" spans="1:11" s="41" customFormat="1" x14ac:dyDescent="0.25">
      <c r="A2504" s="210"/>
      <c r="B2504" s="210"/>
      <c r="C2504" s="213"/>
      <c r="D2504" s="206"/>
      <c r="E2504" s="263"/>
      <c r="F2504" s="263"/>
      <c r="G2504" s="211"/>
      <c r="H2504" s="62" t="s">
        <v>69</v>
      </c>
      <c r="I2504" s="125">
        <v>0</v>
      </c>
      <c r="J2504" s="125">
        <f>I2504/D2500</f>
        <v>0</v>
      </c>
      <c r="K2504" s="125">
        <v>11</v>
      </c>
    </row>
    <row r="2505" spans="1:11" s="41" customFormat="1" x14ac:dyDescent="0.25">
      <c r="A2505" s="210"/>
      <c r="B2505" s="210"/>
      <c r="C2505" s="213"/>
      <c r="D2505" s="206"/>
      <c r="E2505" s="263"/>
      <c r="F2505" s="263"/>
      <c r="G2505" s="210" t="s">
        <v>72</v>
      </c>
      <c r="H2505" s="62" t="s">
        <v>169</v>
      </c>
      <c r="I2505" s="125">
        <f>D2500*K2505*70/100</f>
        <v>1152806.8999999999</v>
      </c>
      <c r="J2505" s="125">
        <f>I2505/D2500</f>
        <v>379.4</v>
      </c>
      <c r="K2505" s="125">
        <v>542</v>
      </c>
    </row>
    <row r="2506" spans="1:11" s="41" customFormat="1" x14ac:dyDescent="0.25">
      <c r="A2506" s="211"/>
      <c r="B2506" s="211"/>
      <c r="C2506" s="214"/>
      <c r="D2506" s="207"/>
      <c r="E2506" s="264"/>
      <c r="F2506" s="264"/>
      <c r="G2506" s="211"/>
      <c r="H2506" s="62" t="s">
        <v>69</v>
      </c>
      <c r="I2506" s="125">
        <v>0</v>
      </c>
      <c r="J2506" s="125">
        <f>I2506/D2500</f>
        <v>0</v>
      </c>
      <c r="K2506" s="125">
        <v>12</v>
      </c>
    </row>
    <row r="2507" spans="1:11" s="41" customFormat="1" ht="15.75" customHeight="1" x14ac:dyDescent="0.25">
      <c r="A2507" s="209">
        <f>A2500+1</f>
        <v>26</v>
      </c>
      <c r="B2507" s="209">
        <v>6439</v>
      </c>
      <c r="C2507" s="212" t="s">
        <v>418</v>
      </c>
      <c r="D2507" s="205">
        <v>3449.6</v>
      </c>
      <c r="E2507" s="262" t="s">
        <v>64</v>
      </c>
      <c r="F2507" s="262">
        <v>5</v>
      </c>
      <c r="G2507" s="124"/>
      <c r="H2507" s="62" t="s">
        <v>66</v>
      </c>
      <c r="I2507" s="125">
        <f>SUM(I2508:I2509)</f>
        <v>13098131.199999999</v>
      </c>
      <c r="J2507" s="125">
        <f>SUM(J2508:J2509)</f>
        <v>3797</v>
      </c>
      <c r="K2507" s="125">
        <f>SUM(K2508:K2509)</f>
        <v>3878</v>
      </c>
    </row>
    <row r="2508" spans="1:11" s="41" customFormat="1" x14ac:dyDescent="0.25">
      <c r="A2508" s="210"/>
      <c r="B2508" s="210"/>
      <c r="C2508" s="213"/>
      <c r="D2508" s="206"/>
      <c r="E2508" s="263"/>
      <c r="F2508" s="263"/>
      <c r="G2508" s="209" t="s">
        <v>65</v>
      </c>
      <c r="H2508" s="62" t="s">
        <v>169</v>
      </c>
      <c r="I2508" s="125">
        <f>D2507*K2508</f>
        <v>13098131.199999999</v>
      </c>
      <c r="J2508" s="125">
        <f>I2508/D2507</f>
        <v>3797</v>
      </c>
      <c r="K2508" s="125">
        <v>3797</v>
      </c>
    </row>
    <row r="2509" spans="1:11" s="41" customFormat="1" x14ac:dyDescent="0.25">
      <c r="A2509" s="211"/>
      <c r="B2509" s="211"/>
      <c r="C2509" s="214"/>
      <c r="D2509" s="207"/>
      <c r="E2509" s="264"/>
      <c r="F2509" s="264"/>
      <c r="G2509" s="211"/>
      <c r="H2509" s="62" t="s">
        <v>69</v>
      </c>
      <c r="I2509" s="125">
        <v>0</v>
      </c>
      <c r="J2509" s="125">
        <f>I2509/D2507</f>
        <v>0</v>
      </c>
      <c r="K2509" s="125">
        <v>81</v>
      </c>
    </row>
    <row r="2510" spans="1:11" s="41" customFormat="1" x14ac:dyDescent="0.25">
      <c r="A2510" s="209">
        <f>A2507+1</f>
        <v>27</v>
      </c>
      <c r="B2510" s="209">
        <v>6538</v>
      </c>
      <c r="C2510" s="212" t="s">
        <v>419</v>
      </c>
      <c r="D2510" s="205">
        <v>412</v>
      </c>
      <c r="E2510" s="262" t="s">
        <v>167</v>
      </c>
      <c r="F2510" s="262">
        <v>2</v>
      </c>
      <c r="G2510" s="124"/>
      <c r="H2510" s="62" t="s">
        <v>66</v>
      </c>
      <c r="I2510" s="125">
        <f>SUM(I2511:I2514)</f>
        <v>987481.59999999998</v>
      </c>
      <c r="J2510" s="125">
        <f>SUM(J2511:J2514)</f>
        <v>2396.8000000000002</v>
      </c>
      <c r="K2510" s="125">
        <f>SUM(K2511:K2514)</f>
        <v>3497</v>
      </c>
    </row>
    <row r="2511" spans="1:11" s="41" customFormat="1" x14ac:dyDescent="0.25">
      <c r="A2511" s="210"/>
      <c r="B2511" s="210"/>
      <c r="C2511" s="213"/>
      <c r="D2511" s="206"/>
      <c r="E2511" s="263"/>
      <c r="F2511" s="263"/>
      <c r="G2511" s="210" t="s">
        <v>70</v>
      </c>
      <c r="H2511" s="62" t="s">
        <v>169</v>
      </c>
      <c r="I2511" s="125">
        <f>D2510*K2511*70/100</f>
        <v>839532.4</v>
      </c>
      <c r="J2511" s="125">
        <f>I2511/D2510</f>
        <v>2037.7</v>
      </c>
      <c r="K2511" s="125">
        <v>2911</v>
      </c>
    </row>
    <row r="2512" spans="1:11" s="41" customFormat="1" x14ac:dyDescent="0.25">
      <c r="A2512" s="210"/>
      <c r="B2512" s="210"/>
      <c r="C2512" s="213"/>
      <c r="D2512" s="206"/>
      <c r="E2512" s="263"/>
      <c r="F2512" s="263"/>
      <c r="G2512" s="211"/>
      <c r="H2512" s="62" t="s">
        <v>69</v>
      </c>
      <c r="I2512" s="125">
        <v>0</v>
      </c>
      <c r="J2512" s="125">
        <f>I2512/D2510</f>
        <v>0</v>
      </c>
      <c r="K2512" s="125">
        <v>62</v>
      </c>
    </row>
    <row r="2513" spans="1:11" s="41" customFormat="1" x14ac:dyDescent="0.25">
      <c r="A2513" s="210"/>
      <c r="B2513" s="210"/>
      <c r="C2513" s="213"/>
      <c r="D2513" s="206"/>
      <c r="E2513" s="263"/>
      <c r="F2513" s="263"/>
      <c r="G2513" s="210" t="s">
        <v>71</v>
      </c>
      <c r="H2513" s="62" t="s">
        <v>169</v>
      </c>
      <c r="I2513" s="125">
        <f>D2510*K2513*70/100</f>
        <v>147949.20000000001</v>
      </c>
      <c r="J2513" s="125">
        <f>I2513/D2510</f>
        <v>359.1</v>
      </c>
      <c r="K2513" s="125">
        <v>513</v>
      </c>
    </row>
    <row r="2514" spans="1:11" s="41" customFormat="1" x14ac:dyDescent="0.25">
      <c r="A2514" s="211"/>
      <c r="B2514" s="211"/>
      <c r="C2514" s="214"/>
      <c r="D2514" s="207"/>
      <c r="E2514" s="264"/>
      <c r="F2514" s="264"/>
      <c r="G2514" s="211"/>
      <c r="H2514" s="62" t="s">
        <v>69</v>
      </c>
      <c r="I2514" s="125">
        <v>0</v>
      </c>
      <c r="J2514" s="125">
        <f>I2514/D2510</f>
        <v>0</v>
      </c>
      <c r="K2514" s="125">
        <v>11</v>
      </c>
    </row>
    <row r="2515" spans="1:11" x14ac:dyDescent="0.25">
      <c r="A2515" s="51" t="s">
        <v>41</v>
      </c>
      <c r="B2515" s="51"/>
      <c r="C2515" s="91"/>
      <c r="D2515" s="109">
        <f>D2516+D2523+D2530+D2533+D2540+D2547+D2554+D2561+D2568+D2575+D2580</f>
        <v>43301.51</v>
      </c>
      <c r="E2515" s="109"/>
      <c r="F2515" s="109"/>
      <c r="G2515" s="109"/>
      <c r="H2515" s="55"/>
      <c r="I2515" s="109">
        <f>I2516+I2523+I2530+I2533+I2540+I2547+I2554+I2561+I2568+I2575+I2580</f>
        <v>71034534.739999995</v>
      </c>
      <c r="J2515" s="105"/>
      <c r="K2515" s="105"/>
    </row>
    <row r="2516" spans="1:11" x14ac:dyDescent="0.25">
      <c r="A2516" s="216">
        <v>1</v>
      </c>
      <c r="B2516" s="216">
        <v>5079</v>
      </c>
      <c r="C2516" s="267" t="s">
        <v>337</v>
      </c>
      <c r="D2516" s="220">
        <v>712.3</v>
      </c>
      <c r="E2516" s="220" t="s">
        <v>68</v>
      </c>
      <c r="F2516" s="228">
        <v>2</v>
      </c>
      <c r="G2516" s="110"/>
      <c r="H2516" s="57" t="s">
        <v>66</v>
      </c>
      <c r="I2516" s="50">
        <f>I2517+I2518+I2519+I2520+I2521+I2522</f>
        <v>3045082.5</v>
      </c>
      <c r="J2516" s="50">
        <f>J2517+J2518+J2519+J2520+J2521+J2522</f>
        <v>4275</v>
      </c>
      <c r="K2516" s="50">
        <f>K2517+K2518+K2519+K2520+K2521+K2522</f>
        <v>4275</v>
      </c>
    </row>
    <row r="2517" spans="1:11" x14ac:dyDescent="0.25">
      <c r="A2517" s="217"/>
      <c r="B2517" s="217"/>
      <c r="C2517" s="268"/>
      <c r="D2517" s="221"/>
      <c r="E2517" s="221"/>
      <c r="F2517" s="229"/>
      <c r="G2517" s="216" t="s">
        <v>70</v>
      </c>
      <c r="H2517" s="129" t="s">
        <v>67</v>
      </c>
      <c r="I2517" s="50">
        <f>D2516*K2517</f>
        <v>2113394.1</v>
      </c>
      <c r="J2517" s="50">
        <f>I2517/D2516</f>
        <v>2967</v>
      </c>
      <c r="K2517" s="50">
        <v>2967</v>
      </c>
    </row>
    <row r="2518" spans="1:11" x14ac:dyDescent="0.25">
      <c r="A2518" s="217"/>
      <c r="B2518" s="217"/>
      <c r="C2518" s="268"/>
      <c r="D2518" s="221"/>
      <c r="E2518" s="221"/>
      <c r="F2518" s="229"/>
      <c r="G2518" s="222"/>
      <c r="H2518" s="129" t="s">
        <v>69</v>
      </c>
      <c r="I2518" s="50">
        <f>D2516*K2518</f>
        <v>44874.9</v>
      </c>
      <c r="J2518" s="50">
        <f>I2518/D2516</f>
        <v>63</v>
      </c>
      <c r="K2518" s="50">
        <v>63</v>
      </c>
    </row>
    <row r="2519" spans="1:11" x14ac:dyDescent="0.25">
      <c r="A2519" s="217"/>
      <c r="B2519" s="217"/>
      <c r="C2519" s="268"/>
      <c r="D2519" s="221"/>
      <c r="E2519" s="221"/>
      <c r="F2519" s="229"/>
      <c r="G2519" s="216" t="s">
        <v>71</v>
      </c>
      <c r="H2519" s="57" t="s">
        <v>67</v>
      </c>
      <c r="I2519" s="50">
        <f>D2516*K2519</f>
        <v>440201.4</v>
      </c>
      <c r="J2519" s="50">
        <f>I2519/D2516</f>
        <v>618</v>
      </c>
      <c r="K2519" s="50">
        <v>618</v>
      </c>
    </row>
    <row r="2520" spans="1:11" x14ac:dyDescent="0.25">
      <c r="A2520" s="217"/>
      <c r="B2520" s="217"/>
      <c r="C2520" s="268"/>
      <c r="D2520" s="221"/>
      <c r="E2520" s="221"/>
      <c r="F2520" s="229"/>
      <c r="G2520" s="222"/>
      <c r="H2520" s="57" t="s">
        <v>69</v>
      </c>
      <c r="I2520" s="50">
        <f>D2516*K2520</f>
        <v>9259.9</v>
      </c>
      <c r="J2520" s="50">
        <f>I2520/D2516</f>
        <v>13</v>
      </c>
      <c r="K2520" s="50">
        <v>13</v>
      </c>
    </row>
    <row r="2521" spans="1:11" x14ac:dyDescent="0.25">
      <c r="A2521" s="217"/>
      <c r="B2521" s="217"/>
      <c r="C2521" s="268"/>
      <c r="D2521" s="221"/>
      <c r="E2521" s="221"/>
      <c r="F2521" s="229"/>
      <c r="G2521" s="216" t="s">
        <v>72</v>
      </c>
      <c r="H2521" s="57" t="s">
        <v>67</v>
      </c>
      <c r="I2521" s="50">
        <f>D2516*K2521</f>
        <v>428092.3</v>
      </c>
      <c r="J2521" s="50">
        <f>I2521/D2516</f>
        <v>601</v>
      </c>
      <c r="K2521" s="50">
        <v>601</v>
      </c>
    </row>
    <row r="2522" spans="1:11" x14ac:dyDescent="0.25">
      <c r="A2522" s="217"/>
      <c r="B2522" s="217"/>
      <c r="C2522" s="268"/>
      <c r="D2522" s="221"/>
      <c r="E2522" s="221"/>
      <c r="F2522" s="229"/>
      <c r="G2522" s="222"/>
      <c r="H2522" s="57" t="s">
        <v>69</v>
      </c>
      <c r="I2522" s="50">
        <f>D2516*K2522</f>
        <v>9259.9</v>
      </c>
      <c r="J2522" s="50">
        <f>I2522/D2516</f>
        <v>13</v>
      </c>
      <c r="K2522" s="50">
        <v>13</v>
      </c>
    </row>
    <row r="2523" spans="1:11" x14ac:dyDescent="0.25">
      <c r="A2523" s="216">
        <f>A2516+1</f>
        <v>2</v>
      </c>
      <c r="B2523" s="216">
        <v>5080</v>
      </c>
      <c r="C2523" s="267" t="s">
        <v>338</v>
      </c>
      <c r="D2523" s="220">
        <v>704</v>
      </c>
      <c r="E2523" s="220" t="s">
        <v>68</v>
      </c>
      <c r="F2523" s="228">
        <v>2</v>
      </c>
      <c r="G2523" s="110"/>
      <c r="H2523" s="57" t="s">
        <v>66</v>
      </c>
      <c r="I2523" s="50">
        <f>I2524+I2525+I2526+I2527+I2528+I2529</f>
        <v>3009600</v>
      </c>
      <c r="J2523" s="50">
        <f>J2524+J2525+J2526+J2527+J2528+J2529</f>
        <v>4275</v>
      </c>
      <c r="K2523" s="50">
        <f>K2524+K2525+K2526+K2527+K2528+K2529</f>
        <v>4275</v>
      </c>
    </row>
    <row r="2524" spans="1:11" x14ac:dyDescent="0.25">
      <c r="A2524" s="217"/>
      <c r="B2524" s="217"/>
      <c r="C2524" s="268"/>
      <c r="D2524" s="221"/>
      <c r="E2524" s="221"/>
      <c r="F2524" s="229"/>
      <c r="G2524" s="216" t="s">
        <v>70</v>
      </c>
      <c r="H2524" s="129" t="s">
        <v>67</v>
      </c>
      <c r="I2524" s="50">
        <f>D2523*K2524</f>
        <v>2088768</v>
      </c>
      <c r="J2524" s="50">
        <f>I2524/D2523</f>
        <v>2967</v>
      </c>
      <c r="K2524" s="50">
        <v>2967</v>
      </c>
    </row>
    <row r="2525" spans="1:11" x14ac:dyDescent="0.25">
      <c r="A2525" s="217"/>
      <c r="B2525" s="217"/>
      <c r="C2525" s="268"/>
      <c r="D2525" s="221"/>
      <c r="E2525" s="221"/>
      <c r="F2525" s="229"/>
      <c r="G2525" s="222"/>
      <c r="H2525" s="129" t="s">
        <v>69</v>
      </c>
      <c r="I2525" s="50">
        <f>D2523*K2525</f>
        <v>44352</v>
      </c>
      <c r="J2525" s="50">
        <f>I2525/D2523</f>
        <v>63</v>
      </c>
      <c r="K2525" s="50">
        <v>63</v>
      </c>
    </row>
    <row r="2526" spans="1:11" x14ac:dyDescent="0.25">
      <c r="A2526" s="217"/>
      <c r="B2526" s="217"/>
      <c r="C2526" s="268"/>
      <c r="D2526" s="221"/>
      <c r="E2526" s="221"/>
      <c r="F2526" s="229"/>
      <c r="G2526" s="216" t="s">
        <v>71</v>
      </c>
      <c r="H2526" s="57" t="s">
        <v>67</v>
      </c>
      <c r="I2526" s="50">
        <f>D2523*K2526</f>
        <v>435072</v>
      </c>
      <c r="J2526" s="50">
        <f>I2526/D2523</f>
        <v>618</v>
      </c>
      <c r="K2526" s="50">
        <v>618</v>
      </c>
    </row>
    <row r="2527" spans="1:11" x14ac:dyDescent="0.25">
      <c r="A2527" s="217"/>
      <c r="B2527" s="217"/>
      <c r="C2527" s="268"/>
      <c r="D2527" s="221"/>
      <c r="E2527" s="221"/>
      <c r="F2527" s="229"/>
      <c r="G2527" s="222"/>
      <c r="H2527" s="57" t="s">
        <v>69</v>
      </c>
      <c r="I2527" s="50">
        <f>D2523*K2527</f>
        <v>9152</v>
      </c>
      <c r="J2527" s="50">
        <f>I2527/D2523</f>
        <v>13</v>
      </c>
      <c r="K2527" s="50">
        <v>13</v>
      </c>
    </row>
    <row r="2528" spans="1:11" x14ac:dyDescent="0.25">
      <c r="A2528" s="217"/>
      <c r="B2528" s="217"/>
      <c r="C2528" s="268"/>
      <c r="D2528" s="221"/>
      <c r="E2528" s="221"/>
      <c r="F2528" s="229"/>
      <c r="G2528" s="216" t="s">
        <v>72</v>
      </c>
      <c r="H2528" s="57" t="s">
        <v>67</v>
      </c>
      <c r="I2528" s="50">
        <f>D2523*K2528</f>
        <v>423104</v>
      </c>
      <c r="J2528" s="50">
        <f>I2528/D2523</f>
        <v>601</v>
      </c>
      <c r="K2528" s="50">
        <v>601</v>
      </c>
    </row>
    <row r="2529" spans="1:11" x14ac:dyDescent="0.25">
      <c r="A2529" s="217"/>
      <c r="B2529" s="217"/>
      <c r="C2529" s="268"/>
      <c r="D2529" s="221"/>
      <c r="E2529" s="221"/>
      <c r="F2529" s="229"/>
      <c r="G2529" s="222"/>
      <c r="H2529" s="57" t="s">
        <v>69</v>
      </c>
      <c r="I2529" s="50">
        <f>D2523*K2529</f>
        <v>9152</v>
      </c>
      <c r="J2529" s="50">
        <f>I2529/D2523</f>
        <v>13</v>
      </c>
      <c r="K2529" s="50">
        <v>13</v>
      </c>
    </row>
    <row r="2530" spans="1:11" x14ac:dyDescent="0.25">
      <c r="A2530" s="216">
        <f>A2523+1</f>
        <v>3</v>
      </c>
      <c r="B2530" s="216">
        <v>5091</v>
      </c>
      <c r="C2530" s="241" t="s">
        <v>339</v>
      </c>
      <c r="D2530" s="220">
        <v>2295.21</v>
      </c>
      <c r="E2530" s="220" t="s">
        <v>68</v>
      </c>
      <c r="F2530" s="228">
        <v>9</v>
      </c>
      <c r="G2530" s="216" t="s">
        <v>65</v>
      </c>
      <c r="H2530" s="57" t="s">
        <v>66</v>
      </c>
      <c r="I2530" s="50">
        <f>I2531+I2532</f>
        <v>6688241.9400000004</v>
      </c>
      <c r="J2530" s="50">
        <f>J2531+J2532</f>
        <v>2914</v>
      </c>
      <c r="K2530" s="50">
        <f>K2531+K2532</f>
        <v>2914</v>
      </c>
    </row>
    <row r="2531" spans="1:11" x14ac:dyDescent="0.25">
      <c r="A2531" s="217"/>
      <c r="B2531" s="217"/>
      <c r="C2531" s="242"/>
      <c r="D2531" s="221"/>
      <c r="E2531" s="221"/>
      <c r="F2531" s="229"/>
      <c r="G2531" s="217"/>
      <c r="H2531" s="57" t="s">
        <v>67</v>
      </c>
      <c r="I2531" s="50">
        <f>D2530*K2531</f>
        <v>6548234.1299999999</v>
      </c>
      <c r="J2531" s="50">
        <f>I2531/D2530</f>
        <v>2853</v>
      </c>
      <c r="K2531" s="50">
        <v>2853</v>
      </c>
    </row>
    <row r="2532" spans="1:11" x14ac:dyDescent="0.25">
      <c r="A2532" s="222"/>
      <c r="B2532" s="222"/>
      <c r="C2532" s="243"/>
      <c r="D2532" s="227"/>
      <c r="E2532" s="227"/>
      <c r="F2532" s="230"/>
      <c r="G2532" s="222"/>
      <c r="H2532" s="57" t="s">
        <v>69</v>
      </c>
      <c r="I2532" s="50">
        <f>D2530*K2532</f>
        <v>140007.81</v>
      </c>
      <c r="J2532" s="50">
        <f>I2532/D2530</f>
        <v>61</v>
      </c>
      <c r="K2532" s="50">
        <v>61</v>
      </c>
    </row>
    <row r="2533" spans="1:11" x14ac:dyDescent="0.25">
      <c r="A2533" s="216">
        <f>A2530+1</f>
        <v>4</v>
      </c>
      <c r="B2533" s="216">
        <v>5097</v>
      </c>
      <c r="C2533" s="267" t="s">
        <v>340</v>
      </c>
      <c r="D2533" s="220">
        <v>371</v>
      </c>
      <c r="E2533" s="220" t="s">
        <v>64</v>
      </c>
      <c r="F2533" s="228">
        <v>2</v>
      </c>
      <c r="G2533" s="110"/>
      <c r="H2533" s="57" t="s">
        <v>66</v>
      </c>
      <c r="I2533" s="50">
        <f>I2534+I2535+I2536+I2537+I2538+I2539</f>
        <v>1586025</v>
      </c>
      <c r="J2533" s="50">
        <f>J2534+J2535+J2536+J2537+J2538+J2539</f>
        <v>4275</v>
      </c>
      <c r="K2533" s="50">
        <f>K2534+K2535+K2536+K2537+K2538+K2539</f>
        <v>4275</v>
      </c>
    </row>
    <row r="2534" spans="1:11" x14ac:dyDescent="0.25">
      <c r="A2534" s="217"/>
      <c r="B2534" s="217"/>
      <c r="C2534" s="268"/>
      <c r="D2534" s="221"/>
      <c r="E2534" s="221"/>
      <c r="F2534" s="229"/>
      <c r="G2534" s="216" t="s">
        <v>70</v>
      </c>
      <c r="H2534" s="129" t="s">
        <v>67</v>
      </c>
      <c r="I2534" s="50">
        <f>D2533*K2534</f>
        <v>1100757</v>
      </c>
      <c r="J2534" s="50">
        <f>I2534/D2533</f>
        <v>2967</v>
      </c>
      <c r="K2534" s="50">
        <v>2967</v>
      </c>
    </row>
    <row r="2535" spans="1:11" x14ac:dyDescent="0.25">
      <c r="A2535" s="217"/>
      <c r="B2535" s="217"/>
      <c r="C2535" s="268"/>
      <c r="D2535" s="221"/>
      <c r="E2535" s="221"/>
      <c r="F2535" s="229"/>
      <c r="G2535" s="222"/>
      <c r="H2535" s="129" t="s">
        <v>69</v>
      </c>
      <c r="I2535" s="50">
        <f>D2533*K2535</f>
        <v>23373</v>
      </c>
      <c r="J2535" s="50">
        <f>I2535/D2533</f>
        <v>63</v>
      </c>
      <c r="K2535" s="50">
        <v>63</v>
      </c>
    </row>
    <row r="2536" spans="1:11" x14ac:dyDescent="0.25">
      <c r="A2536" s="217"/>
      <c r="B2536" s="217"/>
      <c r="C2536" s="268"/>
      <c r="D2536" s="221"/>
      <c r="E2536" s="221"/>
      <c r="F2536" s="229"/>
      <c r="G2536" s="216" t="s">
        <v>71</v>
      </c>
      <c r="H2536" s="57" t="s">
        <v>67</v>
      </c>
      <c r="I2536" s="50">
        <f>D2533*K2536</f>
        <v>229278</v>
      </c>
      <c r="J2536" s="50">
        <f>I2536/D2533</f>
        <v>618</v>
      </c>
      <c r="K2536" s="50">
        <v>618</v>
      </c>
    </row>
    <row r="2537" spans="1:11" x14ac:dyDescent="0.25">
      <c r="A2537" s="217"/>
      <c r="B2537" s="217"/>
      <c r="C2537" s="268"/>
      <c r="D2537" s="221"/>
      <c r="E2537" s="221"/>
      <c r="F2537" s="229"/>
      <c r="G2537" s="222"/>
      <c r="H2537" s="57" t="s">
        <v>69</v>
      </c>
      <c r="I2537" s="50">
        <f>D2533*K2537</f>
        <v>4823</v>
      </c>
      <c r="J2537" s="50">
        <f>I2537/D2533</f>
        <v>13</v>
      </c>
      <c r="K2537" s="50">
        <v>13</v>
      </c>
    </row>
    <row r="2538" spans="1:11" x14ac:dyDescent="0.25">
      <c r="A2538" s="217"/>
      <c r="B2538" s="217"/>
      <c r="C2538" s="268"/>
      <c r="D2538" s="221"/>
      <c r="E2538" s="221"/>
      <c r="F2538" s="229"/>
      <c r="G2538" s="216" t="s">
        <v>72</v>
      </c>
      <c r="H2538" s="57" t="s">
        <v>67</v>
      </c>
      <c r="I2538" s="50">
        <f>D2533*K2538</f>
        <v>222971</v>
      </c>
      <c r="J2538" s="50">
        <f>I2538/D2533</f>
        <v>601</v>
      </c>
      <c r="K2538" s="50">
        <v>601</v>
      </c>
    </row>
    <row r="2539" spans="1:11" x14ac:dyDescent="0.25">
      <c r="A2539" s="217"/>
      <c r="B2539" s="217"/>
      <c r="C2539" s="268"/>
      <c r="D2539" s="221"/>
      <c r="E2539" s="221"/>
      <c r="F2539" s="229"/>
      <c r="G2539" s="222"/>
      <c r="H2539" s="57" t="s">
        <v>69</v>
      </c>
      <c r="I2539" s="50">
        <f>D2533*K2539</f>
        <v>4823</v>
      </c>
      <c r="J2539" s="50">
        <f>I2539/D2533</f>
        <v>13</v>
      </c>
      <c r="K2539" s="50">
        <v>13</v>
      </c>
    </row>
    <row r="2540" spans="1:11" x14ac:dyDescent="0.25">
      <c r="A2540" s="216">
        <f>A2533+1</f>
        <v>5</v>
      </c>
      <c r="B2540" s="216">
        <v>5107</v>
      </c>
      <c r="C2540" s="267" t="s">
        <v>234</v>
      </c>
      <c r="D2540" s="220">
        <v>743</v>
      </c>
      <c r="E2540" s="220" t="s">
        <v>68</v>
      </c>
      <c r="F2540" s="228">
        <v>2</v>
      </c>
      <c r="G2540" s="110"/>
      <c r="H2540" s="57" t="s">
        <v>66</v>
      </c>
      <c r="I2540" s="50">
        <f>I2541+I2542+I2543+I2544+I2545+I2546</f>
        <v>3176325</v>
      </c>
      <c r="J2540" s="50">
        <f>J2541+J2542+J2543+J2544+J2545+J2546</f>
        <v>4275</v>
      </c>
      <c r="K2540" s="50">
        <f>K2541+K2542+K2543+K2544+K2545+K2546</f>
        <v>4275</v>
      </c>
    </row>
    <row r="2541" spans="1:11" x14ac:dyDescent="0.25">
      <c r="A2541" s="217"/>
      <c r="B2541" s="217"/>
      <c r="C2541" s="268"/>
      <c r="D2541" s="221"/>
      <c r="E2541" s="221"/>
      <c r="F2541" s="229"/>
      <c r="G2541" s="216" t="s">
        <v>70</v>
      </c>
      <c r="H2541" s="129" t="s">
        <v>67</v>
      </c>
      <c r="I2541" s="50">
        <f>D2540*K2541</f>
        <v>2204481</v>
      </c>
      <c r="J2541" s="50">
        <f>I2541/D2540</f>
        <v>2967</v>
      </c>
      <c r="K2541" s="50">
        <v>2967</v>
      </c>
    </row>
    <row r="2542" spans="1:11" x14ac:dyDescent="0.25">
      <c r="A2542" s="217"/>
      <c r="B2542" s="217"/>
      <c r="C2542" s="268"/>
      <c r="D2542" s="221"/>
      <c r="E2542" s="221"/>
      <c r="F2542" s="229"/>
      <c r="G2542" s="222"/>
      <c r="H2542" s="129" t="s">
        <v>69</v>
      </c>
      <c r="I2542" s="50">
        <f>D2540*K2542</f>
        <v>46809</v>
      </c>
      <c r="J2542" s="50">
        <f>I2542/D2540</f>
        <v>63</v>
      </c>
      <c r="K2542" s="50">
        <v>63</v>
      </c>
    </row>
    <row r="2543" spans="1:11" x14ac:dyDescent="0.25">
      <c r="A2543" s="217"/>
      <c r="B2543" s="217"/>
      <c r="C2543" s="268"/>
      <c r="D2543" s="221"/>
      <c r="E2543" s="221"/>
      <c r="F2543" s="229"/>
      <c r="G2543" s="216" t="s">
        <v>71</v>
      </c>
      <c r="H2543" s="57" t="s">
        <v>67</v>
      </c>
      <c r="I2543" s="50">
        <f>D2540*K2543</f>
        <v>459174</v>
      </c>
      <c r="J2543" s="50">
        <f>I2543/D2540</f>
        <v>618</v>
      </c>
      <c r="K2543" s="50">
        <v>618</v>
      </c>
    </row>
    <row r="2544" spans="1:11" x14ac:dyDescent="0.25">
      <c r="A2544" s="217"/>
      <c r="B2544" s="217"/>
      <c r="C2544" s="268"/>
      <c r="D2544" s="221"/>
      <c r="E2544" s="221"/>
      <c r="F2544" s="229"/>
      <c r="G2544" s="222"/>
      <c r="H2544" s="57" t="s">
        <v>69</v>
      </c>
      <c r="I2544" s="50">
        <f>D2540*K2544</f>
        <v>9659</v>
      </c>
      <c r="J2544" s="50">
        <f>I2544/D2540</f>
        <v>13</v>
      </c>
      <c r="K2544" s="50">
        <v>13</v>
      </c>
    </row>
    <row r="2545" spans="1:11" x14ac:dyDescent="0.25">
      <c r="A2545" s="217"/>
      <c r="B2545" s="217"/>
      <c r="C2545" s="268"/>
      <c r="D2545" s="221"/>
      <c r="E2545" s="221"/>
      <c r="F2545" s="229"/>
      <c r="G2545" s="216" t="s">
        <v>72</v>
      </c>
      <c r="H2545" s="57" t="s">
        <v>67</v>
      </c>
      <c r="I2545" s="50">
        <f>D2540*K2545</f>
        <v>446543</v>
      </c>
      <c r="J2545" s="50">
        <f>I2545/D2540</f>
        <v>601</v>
      </c>
      <c r="K2545" s="50">
        <v>601</v>
      </c>
    </row>
    <row r="2546" spans="1:11" x14ac:dyDescent="0.25">
      <c r="A2546" s="217"/>
      <c r="B2546" s="217"/>
      <c r="C2546" s="268"/>
      <c r="D2546" s="221"/>
      <c r="E2546" s="221"/>
      <c r="F2546" s="229"/>
      <c r="G2546" s="222"/>
      <c r="H2546" s="57" t="s">
        <v>69</v>
      </c>
      <c r="I2546" s="50">
        <f>D2540*K2546</f>
        <v>9659</v>
      </c>
      <c r="J2546" s="50">
        <f>I2546/D2540</f>
        <v>13</v>
      </c>
      <c r="K2546" s="50">
        <v>13</v>
      </c>
    </row>
    <row r="2547" spans="1:11" x14ac:dyDescent="0.25">
      <c r="A2547" s="216">
        <f>A2540+1</f>
        <v>6</v>
      </c>
      <c r="B2547" s="216">
        <v>5111</v>
      </c>
      <c r="C2547" s="267" t="s">
        <v>341</v>
      </c>
      <c r="D2547" s="220">
        <v>4156.3999999999996</v>
      </c>
      <c r="E2547" s="220" t="s">
        <v>68</v>
      </c>
      <c r="F2547" s="228">
        <v>5</v>
      </c>
      <c r="G2547" s="110"/>
      <c r="H2547" s="57" t="s">
        <v>66</v>
      </c>
      <c r="I2547" s="50">
        <f>I2548+I2549+I2550+I2551+I2552+I2553</f>
        <v>15054480.800000001</v>
      </c>
      <c r="J2547" s="50">
        <f>J2548+J2549+J2550+J2551+J2552+J2553</f>
        <v>3622</v>
      </c>
      <c r="K2547" s="50">
        <f>K2548+K2549+K2550+K2551+K2552+K2553</f>
        <v>3622</v>
      </c>
    </row>
    <row r="2548" spans="1:11" x14ac:dyDescent="0.25">
      <c r="A2548" s="217"/>
      <c r="B2548" s="217"/>
      <c r="C2548" s="268"/>
      <c r="D2548" s="221"/>
      <c r="E2548" s="221"/>
      <c r="F2548" s="229"/>
      <c r="G2548" s="216" t="s">
        <v>70</v>
      </c>
      <c r="H2548" s="129" t="s">
        <v>67</v>
      </c>
      <c r="I2548" s="50">
        <f>D2547*K2548</f>
        <v>9671942.8000000007</v>
      </c>
      <c r="J2548" s="50">
        <f>I2548/D2547</f>
        <v>2327</v>
      </c>
      <c r="K2548" s="50">
        <v>2327</v>
      </c>
    </row>
    <row r="2549" spans="1:11" x14ac:dyDescent="0.25">
      <c r="A2549" s="217"/>
      <c r="B2549" s="217"/>
      <c r="C2549" s="268"/>
      <c r="D2549" s="221"/>
      <c r="E2549" s="221"/>
      <c r="F2549" s="229"/>
      <c r="G2549" s="222"/>
      <c r="H2549" s="129" t="s">
        <v>69</v>
      </c>
      <c r="I2549" s="50">
        <f>D2547*K2549</f>
        <v>207820</v>
      </c>
      <c r="J2549" s="50">
        <f>I2549/D2547</f>
        <v>50</v>
      </c>
      <c r="K2549" s="50">
        <v>50</v>
      </c>
    </row>
    <row r="2550" spans="1:11" x14ac:dyDescent="0.25">
      <c r="A2550" s="217"/>
      <c r="B2550" s="217"/>
      <c r="C2550" s="268"/>
      <c r="D2550" s="221"/>
      <c r="E2550" s="221"/>
      <c r="F2550" s="229"/>
      <c r="G2550" s="216" t="s">
        <v>71</v>
      </c>
      <c r="H2550" s="57" t="s">
        <v>67</v>
      </c>
      <c r="I2550" s="50">
        <f>D2547*K2550</f>
        <v>2568655.2000000002</v>
      </c>
      <c r="J2550" s="50">
        <f>I2550/D2547</f>
        <v>618</v>
      </c>
      <c r="K2550" s="50">
        <v>618</v>
      </c>
    </row>
    <row r="2551" spans="1:11" x14ac:dyDescent="0.25">
      <c r="A2551" s="217"/>
      <c r="B2551" s="217"/>
      <c r="C2551" s="268"/>
      <c r="D2551" s="221"/>
      <c r="E2551" s="221"/>
      <c r="F2551" s="229"/>
      <c r="G2551" s="222"/>
      <c r="H2551" s="57" t="s">
        <v>69</v>
      </c>
      <c r="I2551" s="50">
        <f>D2547*K2551</f>
        <v>54033.2</v>
      </c>
      <c r="J2551" s="50">
        <f>I2551/D2547</f>
        <v>13</v>
      </c>
      <c r="K2551" s="50">
        <v>13</v>
      </c>
    </row>
    <row r="2552" spans="1:11" x14ac:dyDescent="0.25">
      <c r="A2552" s="217"/>
      <c r="B2552" s="217"/>
      <c r="C2552" s="268"/>
      <c r="D2552" s="221"/>
      <c r="E2552" s="221"/>
      <c r="F2552" s="229"/>
      <c r="G2552" s="216" t="s">
        <v>72</v>
      </c>
      <c r="H2552" s="57" t="s">
        <v>67</v>
      </c>
      <c r="I2552" s="50">
        <f>D2547*K2552</f>
        <v>2497996.4</v>
      </c>
      <c r="J2552" s="50">
        <f>I2552/D2547</f>
        <v>601</v>
      </c>
      <c r="K2552" s="50">
        <v>601</v>
      </c>
    </row>
    <row r="2553" spans="1:11" x14ac:dyDescent="0.25">
      <c r="A2553" s="217"/>
      <c r="B2553" s="217"/>
      <c r="C2553" s="268"/>
      <c r="D2553" s="221"/>
      <c r="E2553" s="221"/>
      <c r="F2553" s="229"/>
      <c r="G2553" s="222"/>
      <c r="H2553" s="57" t="s">
        <v>69</v>
      </c>
      <c r="I2553" s="50">
        <f>D2547*K2553</f>
        <v>54033.2</v>
      </c>
      <c r="J2553" s="50">
        <f>I2553/D2547</f>
        <v>13</v>
      </c>
      <c r="K2553" s="50">
        <v>13</v>
      </c>
    </row>
    <row r="2554" spans="1:11" x14ac:dyDescent="0.25">
      <c r="A2554" s="216">
        <f>A2547+1</f>
        <v>7</v>
      </c>
      <c r="B2554" s="216">
        <v>5112</v>
      </c>
      <c r="C2554" s="267" t="s">
        <v>342</v>
      </c>
      <c r="D2554" s="220">
        <v>745.9</v>
      </c>
      <c r="E2554" s="220" t="s">
        <v>64</v>
      </c>
      <c r="F2554" s="228">
        <v>2</v>
      </c>
      <c r="G2554" s="110"/>
      <c r="H2554" s="57" t="s">
        <v>66</v>
      </c>
      <c r="I2554" s="50">
        <f>I2555+I2556+I2557+I2558+I2559+I2560</f>
        <v>3188722.5</v>
      </c>
      <c r="J2554" s="50">
        <f>J2555+J2556+J2557+J2558+J2559+J2560</f>
        <v>4275</v>
      </c>
      <c r="K2554" s="50">
        <f>K2555+K2556+K2557+K2558+K2559+K2560</f>
        <v>4275</v>
      </c>
    </row>
    <row r="2555" spans="1:11" x14ac:dyDescent="0.25">
      <c r="A2555" s="217"/>
      <c r="B2555" s="217"/>
      <c r="C2555" s="268"/>
      <c r="D2555" s="221"/>
      <c r="E2555" s="221"/>
      <c r="F2555" s="229"/>
      <c r="G2555" s="216" t="s">
        <v>70</v>
      </c>
      <c r="H2555" s="129" t="s">
        <v>67</v>
      </c>
      <c r="I2555" s="50">
        <f>D2554*K2555</f>
        <v>2213085.2999999998</v>
      </c>
      <c r="J2555" s="50">
        <f>I2555/D2554</f>
        <v>2967</v>
      </c>
      <c r="K2555" s="50">
        <v>2967</v>
      </c>
    </row>
    <row r="2556" spans="1:11" x14ac:dyDescent="0.25">
      <c r="A2556" s="217"/>
      <c r="B2556" s="217"/>
      <c r="C2556" s="268"/>
      <c r="D2556" s="221"/>
      <c r="E2556" s="221"/>
      <c r="F2556" s="229"/>
      <c r="G2556" s="222"/>
      <c r="H2556" s="129" t="s">
        <v>69</v>
      </c>
      <c r="I2556" s="50">
        <f>D2554*K2556</f>
        <v>46991.7</v>
      </c>
      <c r="J2556" s="50">
        <f>I2556/D2554</f>
        <v>63</v>
      </c>
      <c r="K2556" s="50">
        <v>63</v>
      </c>
    </row>
    <row r="2557" spans="1:11" x14ac:dyDescent="0.25">
      <c r="A2557" s="217"/>
      <c r="B2557" s="217"/>
      <c r="C2557" s="268"/>
      <c r="D2557" s="221"/>
      <c r="E2557" s="221"/>
      <c r="F2557" s="229"/>
      <c r="G2557" s="216" t="s">
        <v>71</v>
      </c>
      <c r="H2557" s="57" t="s">
        <v>67</v>
      </c>
      <c r="I2557" s="50">
        <f>D2554*K2557</f>
        <v>460966.2</v>
      </c>
      <c r="J2557" s="50">
        <f>I2557/D2554</f>
        <v>618</v>
      </c>
      <c r="K2557" s="50">
        <v>618</v>
      </c>
    </row>
    <row r="2558" spans="1:11" x14ac:dyDescent="0.25">
      <c r="A2558" s="217"/>
      <c r="B2558" s="217"/>
      <c r="C2558" s="268"/>
      <c r="D2558" s="221"/>
      <c r="E2558" s="221"/>
      <c r="F2558" s="229"/>
      <c r="G2558" s="222"/>
      <c r="H2558" s="57" t="s">
        <v>69</v>
      </c>
      <c r="I2558" s="50">
        <f>D2554*K2558</f>
        <v>9696.7000000000007</v>
      </c>
      <c r="J2558" s="50">
        <f>I2558/D2554</f>
        <v>13</v>
      </c>
      <c r="K2558" s="50">
        <v>13</v>
      </c>
    </row>
    <row r="2559" spans="1:11" x14ac:dyDescent="0.25">
      <c r="A2559" s="217"/>
      <c r="B2559" s="217"/>
      <c r="C2559" s="268"/>
      <c r="D2559" s="221"/>
      <c r="E2559" s="221"/>
      <c r="F2559" s="229"/>
      <c r="G2559" s="216" t="s">
        <v>72</v>
      </c>
      <c r="H2559" s="57" t="s">
        <v>67</v>
      </c>
      <c r="I2559" s="50">
        <f>D2554*K2559</f>
        <v>448285.9</v>
      </c>
      <c r="J2559" s="50">
        <f>I2559/D2554</f>
        <v>601</v>
      </c>
      <c r="K2559" s="50">
        <v>601</v>
      </c>
    </row>
    <row r="2560" spans="1:11" x14ac:dyDescent="0.25">
      <c r="A2560" s="217"/>
      <c r="B2560" s="217"/>
      <c r="C2560" s="268"/>
      <c r="D2560" s="221"/>
      <c r="E2560" s="221"/>
      <c r="F2560" s="229"/>
      <c r="G2560" s="222"/>
      <c r="H2560" s="57" t="s">
        <v>69</v>
      </c>
      <c r="I2560" s="50">
        <f>D2554*K2560</f>
        <v>9696.7000000000007</v>
      </c>
      <c r="J2560" s="50">
        <f>I2560/D2554</f>
        <v>13</v>
      </c>
      <c r="K2560" s="50">
        <v>13</v>
      </c>
    </row>
    <row r="2561" spans="1:11" x14ac:dyDescent="0.25">
      <c r="A2561" s="216">
        <f>A2554+1</f>
        <v>8</v>
      </c>
      <c r="B2561" s="216">
        <v>5115</v>
      </c>
      <c r="C2561" s="267" t="s">
        <v>343</v>
      </c>
      <c r="D2561" s="220">
        <v>860.4</v>
      </c>
      <c r="E2561" s="220" t="s">
        <v>68</v>
      </c>
      <c r="F2561" s="228">
        <v>2</v>
      </c>
      <c r="G2561" s="110"/>
      <c r="H2561" s="57" t="s">
        <v>66</v>
      </c>
      <c r="I2561" s="50">
        <f>I2562+I2563+I2564+I2565+I2566+I2567</f>
        <v>3678210</v>
      </c>
      <c r="J2561" s="50">
        <f>J2562+J2563+J2564+J2565+J2566+J2567</f>
        <v>4275</v>
      </c>
      <c r="K2561" s="50">
        <f>K2562+K2563+K2564+K2565+K2566+K2567</f>
        <v>4275</v>
      </c>
    </row>
    <row r="2562" spans="1:11" x14ac:dyDescent="0.25">
      <c r="A2562" s="217"/>
      <c r="B2562" s="217"/>
      <c r="C2562" s="268"/>
      <c r="D2562" s="221"/>
      <c r="E2562" s="221"/>
      <c r="F2562" s="229"/>
      <c r="G2562" s="216" t="s">
        <v>70</v>
      </c>
      <c r="H2562" s="129" t="s">
        <v>67</v>
      </c>
      <c r="I2562" s="50">
        <f>D2561*K2562</f>
        <v>2552806.7999999998</v>
      </c>
      <c r="J2562" s="50">
        <f>I2562/D2561</f>
        <v>2967</v>
      </c>
      <c r="K2562" s="50">
        <v>2967</v>
      </c>
    </row>
    <row r="2563" spans="1:11" x14ac:dyDescent="0.25">
      <c r="A2563" s="217"/>
      <c r="B2563" s="217"/>
      <c r="C2563" s="268"/>
      <c r="D2563" s="221"/>
      <c r="E2563" s="221"/>
      <c r="F2563" s="229"/>
      <c r="G2563" s="222"/>
      <c r="H2563" s="129" t="s">
        <v>69</v>
      </c>
      <c r="I2563" s="50">
        <f>D2561*K2563</f>
        <v>54205.2</v>
      </c>
      <c r="J2563" s="50">
        <f>I2563/D2561</f>
        <v>63</v>
      </c>
      <c r="K2563" s="50">
        <v>63</v>
      </c>
    </row>
    <row r="2564" spans="1:11" x14ac:dyDescent="0.25">
      <c r="A2564" s="217"/>
      <c r="B2564" s="217"/>
      <c r="C2564" s="268"/>
      <c r="D2564" s="221"/>
      <c r="E2564" s="221"/>
      <c r="F2564" s="229"/>
      <c r="G2564" s="216" t="s">
        <v>71</v>
      </c>
      <c r="H2564" s="57" t="s">
        <v>67</v>
      </c>
      <c r="I2564" s="50">
        <f>D2561*K2564</f>
        <v>531727.19999999995</v>
      </c>
      <c r="J2564" s="50">
        <f>I2564/D2561</f>
        <v>618</v>
      </c>
      <c r="K2564" s="50">
        <v>618</v>
      </c>
    </row>
    <row r="2565" spans="1:11" x14ac:dyDescent="0.25">
      <c r="A2565" s="217"/>
      <c r="B2565" s="217"/>
      <c r="C2565" s="268"/>
      <c r="D2565" s="221"/>
      <c r="E2565" s="221"/>
      <c r="F2565" s="229"/>
      <c r="G2565" s="222"/>
      <c r="H2565" s="57" t="s">
        <v>69</v>
      </c>
      <c r="I2565" s="50">
        <f>D2561*K2565</f>
        <v>11185.2</v>
      </c>
      <c r="J2565" s="50">
        <f>I2565/D2561</f>
        <v>13</v>
      </c>
      <c r="K2565" s="50">
        <v>13</v>
      </c>
    </row>
    <row r="2566" spans="1:11" x14ac:dyDescent="0.25">
      <c r="A2566" s="217"/>
      <c r="B2566" s="217"/>
      <c r="C2566" s="268"/>
      <c r="D2566" s="221"/>
      <c r="E2566" s="221"/>
      <c r="F2566" s="229"/>
      <c r="G2566" s="216" t="s">
        <v>72</v>
      </c>
      <c r="H2566" s="57" t="s">
        <v>67</v>
      </c>
      <c r="I2566" s="50">
        <f>D2561*K2566</f>
        <v>517100.4</v>
      </c>
      <c r="J2566" s="50">
        <f>I2566/D2561</f>
        <v>601</v>
      </c>
      <c r="K2566" s="50">
        <v>601</v>
      </c>
    </row>
    <row r="2567" spans="1:11" x14ac:dyDescent="0.25">
      <c r="A2567" s="217"/>
      <c r="B2567" s="217"/>
      <c r="C2567" s="268"/>
      <c r="D2567" s="221"/>
      <c r="E2567" s="221"/>
      <c r="F2567" s="229"/>
      <c r="G2567" s="222"/>
      <c r="H2567" s="57" t="s">
        <v>69</v>
      </c>
      <c r="I2567" s="50">
        <f>D2561*K2567</f>
        <v>11185.2</v>
      </c>
      <c r="J2567" s="50">
        <f>I2567/D2561</f>
        <v>13</v>
      </c>
      <c r="K2567" s="50">
        <v>13</v>
      </c>
    </row>
    <row r="2568" spans="1:11" x14ac:dyDescent="0.25">
      <c r="A2568" s="215">
        <f>A2561+1</f>
        <v>9</v>
      </c>
      <c r="B2568" s="215">
        <v>5123</v>
      </c>
      <c r="C2568" s="300" t="s">
        <v>345</v>
      </c>
      <c r="D2568" s="224">
        <v>2573.4</v>
      </c>
      <c r="E2568" s="224" t="s">
        <v>68</v>
      </c>
      <c r="F2568" s="225">
        <v>4</v>
      </c>
      <c r="G2568" s="108"/>
      <c r="H2568" s="57" t="s">
        <v>66</v>
      </c>
      <c r="I2568" s="50">
        <f>I2569+I2570+I2571+I2572+I2573+I2574</f>
        <v>11001285</v>
      </c>
      <c r="J2568" s="50">
        <f>J2569+J2570+J2571+J2572+J2573+J2574</f>
        <v>4275</v>
      </c>
      <c r="K2568" s="50">
        <f>K2569+K2570+K2571+K2572+K2573+K2574</f>
        <v>4275</v>
      </c>
    </row>
    <row r="2569" spans="1:11" x14ac:dyDescent="0.25">
      <c r="A2569" s="215"/>
      <c r="B2569" s="215"/>
      <c r="C2569" s="300"/>
      <c r="D2569" s="224"/>
      <c r="E2569" s="224"/>
      <c r="F2569" s="225"/>
      <c r="G2569" s="215" t="s">
        <v>70</v>
      </c>
      <c r="H2569" s="129" t="s">
        <v>67</v>
      </c>
      <c r="I2569" s="50">
        <f>D2568*K2569</f>
        <v>7635277.7999999998</v>
      </c>
      <c r="J2569" s="50">
        <f>I2569/D2568</f>
        <v>2967</v>
      </c>
      <c r="K2569" s="50">
        <v>2967</v>
      </c>
    </row>
    <row r="2570" spans="1:11" x14ac:dyDescent="0.25">
      <c r="A2570" s="215"/>
      <c r="B2570" s="215"/>
      <c r="C2570" s="300"/>
      <c r="D2570" s="224"/>
      <c r="E2570" s="224"/>
      <c r="F2570" s="225"/>
      <c r="G2570" s="215"/>
      <c r="H2570" s="129" t="s">
        <v>69</v>
      </c>
      <c r="I2570" s="50">
        <f>D2568*K2570</f>
        <v>162124.20000000001</v>
      </c>
      <c r="J2570" s="50">
        <f>I2570/D2568</f>
        <v>63</v>
      </c>
      <c r="K2570" s="50">
        <v>63</v>
      </c>
    </row>
    <row r="2571" spans="1:11" x14ac:dyDescent="0.25">
      <c r="A2571" s="215"/>
      <c r="B2571" s="215"/>
      <c r="C2571" s="300"/>
      <c r="D2571" s="224"/>
      <c r="E2571" s="224"/>
      <c r="F2571" s="225"/>
      <c r="G2571" s="215" t="s">
        <v>71</v>
      </c>
      <c r="H2571" s="57" t="s">
        <v>67</v>
      </c>
      <c r="I2571" s="50">
        <f>D2568*K2571</f>
        <v>1590361.2</v>
      </c>
      <c r="J2571" s="50">
        <f>I2571/D2568</f>
        <v>618</v>
      </c>
      <c r="K2571" s="50">
        <v>618</v>
      </c>
    </row>
    <row r="2572" spans="1:11" x14ac:dyDescent="0.25">
      <c r="A2572" s="215"/>
      <c r="B2572" s="215"/>
      <c r="C2572" s="300"/>
      <c r="D2572" s="224"/>
      <c r="E2572" s="224"/>
      <c r="F2572" s="225"/>
      <c r="G2572" s="215"/>
      <c r="H2572" s="57" t="s">
        <v>69</v>
      </c>
      <c r="I2572" s="50">
        <f>D2568*K2572</f>
        <v>33454.199999999997</v>
      </c>
      <c r="J2572" s="50">
        <f>I2572/D2568</f>
        <v>13</v>
      </c>
      <c r="K2572" s="50">
        <v>13</v>
      </c>
    </row>
    <row r="2573" spans="1:11" x14ac:dyDescent="0.25">
      <c r="A2573" s="215"/>
      <c r="B2573" s="215"/>
      <c r="C2573" s="300"/>
      <c r="D2573" s="224"/>
      <c r="E2573" s="224"/>
      <c r="F2573" s="225"/>
      <c r="G2573" s="215" t="s">
        <v>72</v>
      </c>
      <c r="H2573" s="57" t="s">
        <v>67</v>
      </c>
      <c r="I2573" s="50">
        <f>D2568*K2573</f>
        <v>1546613.4</v>
      </c>
      <c r="J2573" s="50">
        <f>I2573/D2568</f>
        <v>601</v>
      </c>
      <c r="K2573" s="50">
        <v>601</v>
      </c>
    </row>
    <row r="2574" spans="1:11" x14ac:dyDescent="0.25">
      <c r="A2574" s="215"/>
      <c r="B2574" s="215"/>
      <c r="C2574" s="300"/>
      <c r="D2574" s="224"/>
      <c r="E2574" s="224"/>
      <c r="F2574" s="225"/>
      <c r="G2574" s="215"/>
      <c r="H2574" s="57" t="s">
        <v>69</v>
      </c>
      <c r="I2574" s="50">
        <f>D2568*K2574</f>
        <v>33454.199999999997</v>
      </c>
      <c r="J2574" s="50">
        <f>I2574/D2568</f>
        <v>13</v>
      </c>
      <c r="K2574" s="50">
        <v>13</v>
      </c>
    </row>
    <row r="2575" spans="1:11" x14ac:dyDescent="0.25">
      <c r="A2575" s="216">
        <f>A2568+1</f>
        <v>10</v>
      </c>
      <c r="B2575" s="216">
        <v>5187</v>
      </c>
      <c r="C2575" s="218" t="s">
        <v>586</v>
      </c>
      <c r="D2575" s="220">
        <v>13834.8</v>
      </c>
      <c r="E2575" s="216" t="s">
        <v>64</v>
      </c>
      <c r="F2575" s="216">
        <v>10</v>
      </c>
      <c r="G2575" s="110"/>
      <c r="H2575" s="57" t="s">
        <v>66</v>
      </c>
      <c r="I2575" s="50">
        <f>SUM(I2576:I2579)</f>
        <v>4579236</v>
      </c>
      <c r="J2575" s="50">
        <f>SUM(J2576:J2579)</f>
        <v>330.99</v>
      </c>
      <c r="K2575" s="50">
        <f>SUM(K2576:K2579)</f>
        <v>330.99</v>
      </c>
    </row>
    <row r="2576" spans="1:11" x14ac:dyDescent="0.25">
      <c r="A2576" s="217"/>
      <c r="B2576" s="217"/>
      <c r="C2576" s="219"/>
      <c r="D2576" s="221"/>
      <c r="E2576" s="217"/>
      <c r="F2576" s="217"/>
      <c r="G2576" s="216" t="s">
        <v>490</v>
      </c>
      <c r="H2576" s="57" t="s">
        <v>171</v>
      </c>
      <c r="I2576" s="50">
        <v>2241647</v>
      </c>
      <c r="J2576" s="50">
        <f>I2576/D2575-0.01</f>
        <v>162.02000000000001</v>
      </c>
      <c r="K2576" s="50">
        <f>2241647/D2575-0.01</f>
        <v>162.02000000000001</v>
      </c>
    </row>
    <row r="2577" spans="1:11" x14ac:dyDescent="0.25">
      <c r="A2577" s="217"/>
      <c r="B2577" s="217"/>
      <c r="C2577" s="219"/>
      <c r="D2577" s="221"/>
      <c r="E2577" s="217"/>
      <c r="F2577" s="217"/>
      <c r="G2577" s="222"/>
      <c r="H2577" s="57" t="s">
        <v>69</v>
      </c>
      <c r="I2577" s="50">
        <v>47971</v>
      </c>
      <c r="J2577" s="50">
        <f>I2577/D2575</f>
        <v>3.47</v>
      </c>
      <c r="K2577" s="50">
        <f>47971/D2575</f>
        <v>3.47</v>
      </c>
    </row>
    <row r="2578" spans="1:11" x14ac:dyDescent="0.25">
      <c r="A2578" s="217"/>
      <c r="B2578" s="217"/>
      <c r="C2578" s="219"/>
      <c r="D2578" s="221"/>
      <c r="E2578" s="217"/>
      <c r="F2578" s="217"/>
      <c r="G2578" s="216" t="s">
        <v>491</v>
      </c>
      <c r="H2578" s="57" t="s">
        <v>171</v>
      </c>
      <c r="I2578" s="50">
        <v>2241647</v>
      </c>
      <c r="J2578" s="50">
        <f>I2578/D2575</f>
        <v>162.03</v>
      </c>
      <c r="K2578" s="50">
        <f>2241647/D2575</f>
        <v>162.03</v>
      </c>
    </row>
    <row r="2579" spans="1:11" x14ac:dyDescent="0.25">
      <c r="A2579" s="217"/>
      <c r="B2579" s="217"/>
      <c r="C2579" s="219"/>
      <c r="D2579" s="221"/>
      <c r="E2579" s="217"/>
      <c r="F2579" s="217"/>
      <c r="G2579" s="222"/>
      <c r="H2579" s="57" t="s">
        <v>69</v>
      </c>
      <c r="I2579" s="50">
        <v>47971</v>
      </c>
      <c r="J2579" s="50">
        <f>I2579/D2575</f>
        <v>3.47</v>
      </c>
      <c r="K2579" s="50">
        <f>47971/D2575</f>
        <v>3.47</v>
      </c>
    </row>
    <row r="2580" spans="1:11" x14ac:dyDescent="0.25">
      <c r="A2580" s="215">
        <f>A2575+1</f>
        <v>11</v>
      </c>
      <c r="B2580" s="215">
        <v>5291</v>
      </c>
      <c r="C2580" s="223" t="s">
        <v>587</v>
      </c>
      <c r="D2580" s="224">
        <v>16305.1</v>
      </c>
      <c r="E2580" s="215" t="s">
        <v>64</v>
      </c>
      <c r="F2580" s="215">
        <v>10</v>
      </c>
      <c r="G2580" s="110"/>
      <c r="H2580" s="57" t="s">
        <v>66</v>
      </c>
      <c r="I2580" s="50">
        <f>SUM(I2581:I2594)</f>
        <v>16027326</v>
      </c>
      <c r="J2580" s="50">
        <f>SUM(J2581:J2594)</f>
        <v>982.96</v>
      </c>
      <c r="K2580" s="50">
        <f>SUM(K2581:K2594)</f>
        <v>982.96</v>
      </c>
    </row>
    <row r="2581" spans="1:11" x14ac:dyDescent="0.25">
      <c r="A2581" s="215"/>
      <c r="B2581" s="215"/>
      <c r="C2581" s="223"/>
      <c r="D2581" s="224"/>
      <c r="E2581" s="215"/>
      <c r="F2581" s="215"/>
      <c r="G2581" s="215" t="s">
        <v>486</v>
      </c>
      <c r="H2581" s="57" t="s">
        <v>171</v>
      </c>
      <c r="I2581" s="50">
        <v>2241647</v>
      </c>
      <c r="J2581" s="50">
        <f>I2581/D2580+0.01</f>
        <v>137.49</v>
      </c>
      <c r="K2581" s="50">
        <f>2241647/D2580+0.01</f>
        <v>137.49</v>
      </c>
    </row>
    <row r="2582" spans="1:11" x14ac:dyDescent="0.25">
      <c r="A2582" s="215"/>
      <c r="B2582" s="215"/>
      <c r="C2582" s="223"/>
      <c r="D2582" s="224"/>
      <c r="E2582" s="215"/>
      <c r="F2582" s="215"/>
      <c r="G2582" s="215"/>
      <c r="H2582" s="57" t="s">
        <v>69</v>
      </c>
      <c r="I2582" s="50">
        <v>47971</v>
      </c>
      <c r="J2582" s="50">
        <f>I2582/D2580</f>
        <v>2.94</v>
      </c>
      <c r="K2582" s="50">
        <f>47971/D2580</f>
        <v>2.94</v>
      </c>
    </row>
    <row r="2583" spans="1:11" x14ac:dyDescent="0.25">
      <c r="A2583" s="215"/>
      <c r="B2583" s="215"/>
      <c r="C2583" s="223"/>
      <c r="D2583" s="224"/>
      <c r="E2583" s="215"/>
      <c r="F2583" s="215"/>
      <c r="G2583" s="217" t="s">
        <v>487</v>
      </c>
      <c r="H2583" s="57" t="s">
        <v>171</v>
      </c>
      <c r="I2583" s="50">
        <v>2241647</v>
      </c>
      <c r="J2583" s="50">
        <f>I2583/D2580+0.01</f>
        <v>137.49</v>
      </c>
      <c r="K2583" s="50">
        <f>2241647/D2580+0.01</f>
        <v>137.49</v>
      </c>
    </row>
    <row r="2584" spans="1:11" x14ac:dyDescent="0.25">
      <c r="A2584" s="215"/>
      <c r="B2584" s="215"/>
      <c r="C2584" s="223"/>
      <c r="D2584" s="224"/>
      <c r="E2584" s="215"/>
      <c r="F2584" s="215"/>
      <c r="G2584" s="222"/>
      <c r="H2584" s="57" t="s">
        <v>69</v>
      </c>
      <c r="I2584" s="50">
        <v>47971</v>
      </c>
      <c r="J2584" s="50">
        <f>I2584/D2580</f>
        <v>2.94</v>
      </c>
      <c r="K2584" s="50">
        <f>47971/D2580</f>
        <v>2.94</v>
      </c>
    </row>
    <row r="2585" spans="1:11" x14ac:dyDescent="0.25">
      <c r="A2585" s="215"/>
      <c r="B2585" s="215"/>
      <c r="C2585" s="223"/>
      <c r="D2585" s="224"/>
      <c r="E2585" s="215"/>
      <c r="F2585" s="215"/>
      <c r="G2585" s="217" t="s">
        <v>488</v>
      </c>
      <c r="H2585" s="57" t="s">
        <v>171</v>
      </c>
      <c r="I2585" s="50">
        <v>2241647</v>
      </c>
      <c r="J2585" s="50">
        <f>I2585/D2580</f>
        <v>137.47999999999999</v>
      </c>
      <c r="K2585" s="50">
        <f>2241647/D2580</f>
        <v>137.47999999999999</v>
      </c>
    </row>
    <row r="2586" spans="1:11" x14ac:dyDescent="0.25">
      <c r="A2586" s="215"/>
      <c r="B2586" s="215"/>
      <c r="C2586" s="223"/>
      <c r="D2586" s="224"/>
      <c r="E2586" s="215"/>
      <c r="F2586" s="215"/>
      <c r="G2586" s="222"/>
      <c r="H2586" s="57" t="s">
        <v>69</v>
      </c>
      <c r="I2586" s="50">
        <v>47971</v>
      </c>
      <c r="J2586" s="50">
        <f>I2586/D2580</f>
        <v>2.94</v>
      </c>
      <c r="K2586" s="50">
        <f>47971/D2580</f>
        <v>2.94</v>
      </c>
    </row>
    <row r="2587" spans="1:11" x14ac:dyDescent="0.25">
      <c r="A2587" s="215"/>
      <c r="B2587" s="215"/>
      <c r="C2587" s="223"/>
      <c r="D2587" s="224"/>
      <c r="E2587" s="215"/>
      <c r="F2587" s="215"/>
      <c r="G2587" s="217" t="s">
        <v>489</v>
      </c>
      <c r="H2587" s="57" t="s">
        <v>171</v>
      </c>
      <c r="I2587" s="50">
        <v>2241647</v>
      </c>
      <c r="J2587" s="50">
        <f>I2587/D2580</f>
        <v>137.47999999999999</v>
      </c>
      <c r="K2587" s="50">
        <f>2241647/D2580</f>
        <v>137.47999999999999</v>
      </c>
    </row>
    <row r="2588" spans="1:11" x14ac:dyDescent="0.25">
      <c r="A2588" s="215"/>
      <c r="B2588" s="215"/>
      <c r="C2588" s="223"/>
      <c r="D2588" s="224"/>
      <c r="E2588" s="215"/>
      <c r="F2588" s="215"/>
      <c r="G2588" s="222"/>
      <c r="H2588" s="57" t="s">
        <v>69</v>
      </c>
      <c r="I2588" s="50">
        <v>47971</v>
      </c>
      <c r="J2588" s="50">
        <f>I2588/D2580</f>
        <v>2.94</v>
      </c>
      <c r="K2588" s="50">
        <f>47971/D2580</f>
        <v>2.94</v>
      </c>
    </row>
    <row r="2589" spans="1:11" x14ac:dyDescent="0.25">
      <c r="A2589" s="215"/>
      <c r="B2589" s="215"/>
      <c r="C2589" s="223"/>
      <c r="D2589" s="224"/>
      <c r="E2589" s="215"/>
      <c r="F2589" s="215"/>
      <c r="G2589" s="217" t="s">
        <v>490</v>
      </c>
      <c r="H2589" s="57" t="s">
        <v>171</v>
      </c>
      <c r="I2589" s="50">
        <v>2241647</v>
      </c>
      <c r="J2589" s="50">
        <f>I2589/D2580</f>
        <v>137.47999999999999</v>
      </c>
      <c r="K2589" s="50">
        <f>2241647/D2580</f>
        <v>137.47999999999999</v>
      </c>
    </row>
    <row r="2590" spans="1:11" x14ac:dyDescent="0.25">
      <c r="A2590" s="215"/>
      <c r="B2590" s="215"/>
      <c r="C2590" s="223"/>
      <c r="D2590" s="224"/>
      <c r="E2590" s="215"/>
      <c r="F2590" s="215"/>
      <c r="G2590" s="222"/>
      <c r="H2590" s="57" t="s">
        <v>69</v>
      </c>
      <c r="I2590" s="50">
        <v>47971</v>
      </c>
      <c r="J2590" s="50">
        <f>I2590/D2580</f>
        <v>2.94</v>
      </c>
      <c r="K2590" s="50">
        <f>47971/D2580</f>
        <v>2.94</v>
      </c>
    </row>
    <row r="2591" spans="1:11" x14ac:dyDescent="0.25">
      <c r="A2591" s="215"/>
      <c r="B2591" s="215"/>
      <c r="C2591" s="223"/>
      <c r="D2591" s="224"/>
      <c r="E2591" s="215"/>
      <c r="F2591" s="215"/>
      <c r="G2591" s="217" t="s">
        <v>491</v>
      </c>
      <c r="H2591" s="57" t="s">
        <v>171</v>
      </c>
      <c r="I2591" s="50">
        <v>2241647</v>
      </c>
      <c r="J2591" s="50">
        <f>I2591/D2580</f>
        <v>137.47999999999999</v>
      </c>
      <c r="K2591" s="50">
        <f>2241647/D2580</f>
        <v>137.47999999999999</v>
      </c>
    </row>
    <row r="2592" spans="1:11" x14ac:dyDescent="0.25">
      <c r="A2592" s="215"/>
      <c r="B2592" s="215"/>
      <c r="C2592" s="223"/>
      <c r="D2592" s="224"/>
      <c r="E2592" s="215"/>
      <c r="F2592" s="215"/>
      <c r="G2592" s="222"/>
      <c r="H2592" s="57" t="s">
        <v>69</v>
      </c>
      <c r="I2592" s="50">
        <v>47971</v>
      </c>
      <c r="J2592" s="50">
        <f>I2592/D2580</f>
        <v>2.94</v>
      </c>
      <c r="K2592" s="50">
        <f>47971/D2580</f>
        <v>2.94</v>
      </c>
    </row>
    <row r="2593" spans="1:11" x14ac:dyDescent="0.25">
      <c r="A2593" s="215"/>
      <c r="B2593" s="215"/>
      <c r="C2593" s="223"/>
      <c r="D2593" s="224"/>
      <c r="E2593" s="215"/>
      <c r="F2593" s="215"/>
      <c r="G2593" s="217" t="s">
        <v>492</v>
      </c>
      <c r="H2593" s="57" t="s">
        <v>171</v>
      </c>
      <c r="I2593" s="50">
        <v>2241647</v>
      </c>
      <c r="J2593" s="50">
        <f>I2593/D2580</f>
        <v>137.47999999999999</v>
      </c>
      <c r="K2593" s="50">
        <f>2241647/D2580</f>
        <v>137.47999999999999</v>
      </c>
    </row>
    <row r="2594" spans="1:11" x14ac:dyDescent="0.25">
      <c r="A2594" s="215"/>
      <c r="B2594" s="215"/>
      <c r="C2594" s="223"/>
      <c r="D2594" s="224"/>
      <c r="E2594" s="215"/>
      <c r="F2594" s="215"/>
      <c r="G2594" s="222"/>
      <c r="H2594" s="57" t="s">
        <v>69</v>
      </c>
      <c r="I2594" s="50">
        <v>47971</v>
      </c>
      <c r="J2594" s="50">
        <f>I2594/D2580</f>
        <v>2.94</v>
      </c>
      <c r="K2594" s="50">
        <f>47971/D2580</f>
        <v>2.94</v>
      </c>
    </row>
    <row r="2595" spans="1:11" x14ac:dyDescent="0.25">
      <c r="A2595" s="51" t="s">
        <v>42</v>
      </c>
      <c r="B2595" s="51"/>
      <c r="C2595" s="51"/>
      <c r="D2595" s="50">
        <f>D2596+D2601+D2606+D2609+D2612+D2615+D2618+D2621+D2624+D2627+D2630+D2633+D2636+D2639+D2642+D2645+D2648+D2651+D2654+D2657+D2660+D2663+D2666+D2669+D2672+D2679+D2686+D2695+D2698+D2701+D2704+D2707+D2710+D2713+D2716+D2723+D2730+D2733+D2737+D2740+D2743+D2754+D2757+D2764+D2769+D2772+D2779+D2782+D2785+D2788+D2791+D2794+D2797+D2800+D2803+D2806+D2809+D2812+D2815+D2818+D2821+D2828+D2841+D2844+D2849+D2856+D2859</f>
        <v>358101.43</v>
      </c>
      <c r="E2595" s="53"/>
      <c r="F2595" s="53"/>
      <c r="G2595" s="105"/>
      <c r="H2595" s="54"/>
      <c r="I2595" s="50">
        <f>I2596+I2601+I2606+I2609+I2612+I2615+I2618+I2621+I2624+I2627+I2630+I2633+I2636+I2639+I2642+I2645+I2648+I2651+I2654+I2657+I2660+I2663+I2666+I2669+I2672+I2679+I2686+I2695+I2698+I2701+I2704+I2707+I2710+I2713+I2716+I2723+I2730+I2733+I2737+I2740+I2743+I2754+I2757+I2764+I2769+I2772+I2779+I2782+I2785+I2788+I2791+I2794+I2797+I2800+I2803+I2806+I2809+I2812+I2815+I2818+I2821+I2828+I2841+I2844+I2849+I2856+I2859</f>
        <v>614076638.30999994</v>
      </c>
      <c r="J2595" s="50"/>
      <c r="K2595" s="50"/>
    </row>
    <row r="2596" spans="1:11" x14ac:dyDescent="0.25">
      <c r="A2596" s="216">
        <v>1</v>
      </c>
      <c r="B2596" s="216">
        <v>757</v>
      </c>
      <c r="C2596" s="218" t="s">
        <v>92</v>
      </c>
      <c r="D2596" s="220">
        <v>1020.67</v>
      </c>
      <c r="E2596" s="220" t="s">
        <v>68</v>
      </c>
      <c r="F2596" s="228">
        <v>5</v>
      </c>
      <c r="G2596" s="216" t="s">
        <v>75</v>
      </c>
      <c r="H2596" s="57" t="s">
        <v>66</v>
      </c>
      <c r="I2596" s="50">
        <f>I2597+I2598+I2599+I2600</f>
        <v>7788732.7699999996</v>
      </c>
      <c r="J2596" s="50">
        <f>J2597+J2598+J2599+J2600</f>
        <v>7631</v>
      </c>
      <c r="K2596" s="50">
        <f>K2597+K2598+K2599+K2600</f>
        <v>7631</v>
      </c>
    </row>
    <row r="2597" spans="1:11" x14ac:dyDescent="0.25">
      <c r="A2597" s="217"/>
      <c r="B2597" s="217"/>
      <c r="C2597" s="219"/>
      <c r="D2597" s="217"/>
      <c r="E2597" s="221"/>
      <c r="F2597" s="229"/>
      <c r="G2597" s="217"/>
      <c r="H2597" s="57" t="s">
        <v>67</v>
      </c>
      <c r="I2597" s="50">
        <f>D2596*K2597</f>
        <v>1768821.11</v>
      </c>
      <c r="J2597" s="50">
        <f>I2597/D2596</f>
        <v>1733</v>
      </c>
      <c r="K2597" s="50">
        <v>1733</v>
      </c>
    </row>
    <row r="2598" spans="1:11" x14ac:dyDescent="0.25">
      <c r="A2598" s="217"/>
      <c r="B2598" s="217"/>
      <c r="C2598" s="219"/>
      <c r="D2598" s="217"/>
      <c r="E2598" s="221"/>
      <c r="F2598" s="229"/>
      <c r="G2598" s="217"/>
      <c r="H2598" s="57" t="s">
        <v>69</v>
      </c>
      <c r="I2598" s="50">
        <f>D2596*K2598</f>
        <v>37764.79</v>
      </c>
      <c r="J2598" s="50">
        <f>I2598/D2596</f>
        <v>37</v>
      </c>
      <c r="K2598" s="50">
        <v>37</v>
      </c>
    </row>
    <row r="2599" spans="1:11" x14ac:dyDescent="0.25">
      <c r="A2599" s="217"/>
      <c r="B2599" s="217"/>
      <c r="C2599" s="219"/>
      <c r="D2599" s="217"/>
      <c r="E2599" s="221"/>
      <c r="F2599" s="229"/>
      <c r="G2599" s="217"/>
      <c r="H2599" s="57" t="s">
        <v>179</v>
      </c>
      <c r="I2599" s="50">
        <f>D2596*K2599</f>
        <v>5856604.46</v>
      </c>
      <c r="J2599" s="50">
        <f>I2599/D2596</f>
        <v>5738</v>
      </c>
      <c r="K2599" s="50">
        <v>5738</v>
      </c>
    </row>
    <row r="2600" spans="1:11" x14ac:dyDescent="0.25">
      <c r="A2600" s="222"/>
      <c r="B2600" s="222"/>
      <c r="C2600" s="226"/>
      <c r="D2600" s="222"/>
      <c r="E2600" s="227"/>
      <c r="F2600" s="230"/>
      <c r="G2600" s="222"/>
      <c r="H2600" s="57" t="s">
        <v>69</v>
      </c>
      <c r="I2600" s="50">
        <f>D2596*K2600</f>
        <v>125542.41</v>
      </c>
      <c r="J2600" s="50">
        <f>I2600/D2596</f>
        <v>123</v>
      </c>
      <c r="K2600" s="50">
        <v>123</v>
      </c>
    </row>
    <row r="2601" spans="1:11" x14ac:dyDescent="0.25">
      <c r="A2601" s="216">
        <f>A2596+1</f>
        <v>2</v>
      </c>
      <c r="B2601" s="216">
        <v>887</v>
      </c>
      <c r="C2601" s="218" t="s">
        <v>187</v>
      </c>
      <c r="D2601" s="220">
        <v>2590.4</v>
      </c>
      <c r="E2601" s="220" t="s">
        <v>73</v>
      </c>
      <c r="F2601" s="228">
        <v>5</v>
      </c>
      <c r="G2601" s="216" t="s">
        <v>75</v>
      </c>
      <c r="H2601" s="57" t="s">
        <v>66</v>
      </c>
      <c r="I2601" s="50">
        <f>I2602+I2603+I2604+I2605</f>
        <v>18688855.050000001</v>
      </c>
      <c r="J2601" s="50">
        <f>J2602+J2603+J2604+J2605</f>
        <v>7214.66</v>
      </c>
      <c r="K2601" s="50">
        <f>K2602+K2603+K2604+K2605</f>
        <v>8273</v>
      </c>
    </row>
    <row r="2602" spans="1:11" x14ac:dyDescent="0.25">
      <c r="A2602" s="217"/>
      <c r="B2602" s="217"/>
      <c r="C2602" s="219"/>
      <c r="D2602" s="217"/>
      <c r="E2602" s="221"/>
      <c r="F2602" s="229"/>
      <c r="G2602" s="217"/>
      <c r="H2602" s="57" t="s">
        <v>67</v>
      </c>
      <c r="I2602" s="50">
        <f>(2724519+80263.12)*1.02*1.2</f>
        <v>3433053.31</v>
      </c>
      <c r="J2602" s="50">
        <f>I2602/D2601</f>
        <v>1325.3</v>
      </c>
      <c r="K2602" s="50">
        <v>2361</v>
      </c>
    </row>
    <row r="2603" spans="1:11" x14ac:dyDescent="0.25">
      <c r="A2603" s="217"/>
      <c r="B2603" s="217"/>
      <c r="C2603" s="219"/>
      <c r="D2603" s="217"/>
      <c r="E2603" s="221"/>
      <c r="F2603" s="229"/>
      <c r="G2603" s="217"/>
      <c r="H2603" s="57" t="s">
        <v>69</v>
      </c>
      <c r="I2603" s="50">
        <f>I2602*0.0214</f>
        <v>73467.34</v>
      </c>
      <c r="J2603" s="50">
        <f>I2603/D2601</f>
        <v>28.36</v>
      </c>
      <c r="K2603" s="50">
        <v>51</v>
      </c>
    </row>
    <row r="2604" spans="1:11" x14ac:dyDescent="0.25">
      <c r="A2604" s="217"/>
      <c r="B2604" s="217"/>
      <c r="C2604" s="219"/>
      <c r="D2604" s="217"/>
      <c r="E2604" s="221"/>
      <c r="F2604" s="229"/>
      <c r="G2604" s="217"/>
      <c r="H2604" s="57" t="s">
        <v>179</v>
      </c>
      <c r="I2604" s="50">
        <f>D2601*K2604</f>
        <v>14863715.199999999</v>
      </c>
      <c r="J2604" s="50">
        <f>I2604/D2601</f>
        <v>5738</v>
      </c>
      <c r="K2604" s="50">
        <v>5738</v>
      </c>
    </row>
    <row r="2605" spans="1:11" x14ac:dyDescent="0.25">
      <c r="A2605" s="222"/>
      <c r="B2605" s="222"/>
      <c r="C2605" s="226"/>
      <c r="D2605" s="222"/>
      <c r="E2605" s="227"/>
      <c r="F2605" s="230"/>
      <c r="G2605" s="222"/>
      <c r="H2605" s="57" t="s">
        <v>69</v>
      </c>
      <c r="I2605" s="50">
        <f>D2601*K2605</f>
        <v>318619.2</v>
      </c>
      <c r="J2605" s="50">
        <f>I2605/D2601</f>
        <v>123</v>
      </c>
      <c r="K2605" s="50">
        <v>123</v>
      </c>
    </row>
    <row r="2606" spans="1:11" ht="15.75" customHeight="1" x14ac:dyDescent="0.25">
      <c r="A2606" s="215">
        <f>A2601+1</f>
        <v>3</v>
      </c>
      <c r="B2606" s="215">
        <v>320</v>
      </c>
      <c r="C2606" s="223" t="s">
        <v>635</v>
      </c>
      <c r="D2606" s="224">
        <v>1563.9</v>
      </c>
      <c r="E2606" s="224" t="s">
        <v>68</v>
      </c>
      <c r="F2606" s="225">
        <v>5</v>
      </c>
      <c r="G2606" s="215" t="s">
        <v>74</v>
      </c>
      <c r="H2606" s="57" t="s">
        <v>66</v>
      </c>
      <c r="I2606" s="50">
        <f>I2607+I2608</f>
        <v>566131.80000000005</v>
      </c>
      <c r="J2606" s="50">
        <f>J2607+J2608</f>
        <v>362</v>
      </c>
      <c r="K2606" s="50">
        <f>K2607+K2608</f>
        <v>362</v>
      </c>
    </row>
    <row r="2607" spans="1:11" ht="15.75" customHeight="1" x14ac:dyDescent="0.25">
      <c r="A2607" s="215"/>
      <c r="B2607" s="215"/>
      <c r="C2607" s="223"/>
      <c r="D2607" s="224"/>
      <c r="E2607" s="224"/>
      <c r="F2607" s="225"/>
      <c r="G2607" s="215"/>
      <c r="H2607" s="57" t="s">
        <v>67</v>
      </c>
      <c r="I2607" s="50">
        <f>K2607*D2606</f>
        <v>553620.6</v>
      </c>
      <c r="J2607" s="50">
        <f>I2607/D2606</f>
        <v>354</v>
      </c>
      <c r="K2607" s="50">
        <v>354</v>
      </c>
    </row>
    <row r="2608" spans="1:11" ht="15.75" customHeight="1" x14ac:dyDescent="0.25">
      <c r="A2608" s="215"/>
      <c r="B2608" s="215"/>
      <c r="C2608" s="223"/>
      <c r="D2608" s="224"/>
      <c r="E2608" s="224"/>
      <c r="F2608" s="225"/>
      <c r="G2608" s="215"/>
      <c r="H2608" s="57" t="s">
        <v>69</v>
      </c>
      <c r="I2608" s="50">
        <f>D2606*K2608</f>
        <v>12511.2</v>
      </c>
      <c r="J2608" s="50">
        <f>I2608/D2606</f>
        <v>8</v>
      </c>
      <c r="K2608" s="50">
        <v>8</v>
      </c>
    </row>
    <row r="2609" spans="1:11" ht="15.75" customHeight="1" x14ac:dyDescent="0.25">
      <c r="A2609" s="215">
        <f>A2606+1</f>
        <v>4</v>
      </c>
      <c r="B2609" s="215">
        <v>190</v>
      </c>
      <c r="C2609" s="223" t="s">
        <v>636</v>
      </c>
      <c r="D2609" s="224">
        <v>1091.8</v>
      </c>
      <c r="E2609" s="224" t="s">
        <v>73</v>
      </c>
      <c r="F2609" s="225">
        <v>3</v>
      </c>
      <c r="G2609" s="215" t="s">
        <v>74</v>
      </c>
      <c r="H2609" s="57" t="s">
        <v>66</v>
      </c>
      <c r="I2609" s="50">
        <f>I2610+I2611</f>
        <v>395231.6</v>
      </c>
      <c r="J2609" s="50">
        <f>J2610+J2611</f>
        <v>362</v>
      </c>
      <c r="K2609" s="50">
        <f>K2610+K2611</f>
        <v>362</v>
      </c>
    </row>
    <row r="2610" spans="1:11" ht="15.75" customHeight="1" x14ac:dyDescent="0.25">
      <c r="A2610" s="215"/>
      <c r="B2610" s="215"/>
      <c r="C2610" s="223"/>
      <c r="D2610" s="224"/>
      <c r="E2610" s="224"/>
      <c r="F2610" s="225"/>
      <c r="G2610" s="215"/>
      <c r="H2610" s="57" t="s">
        <v>67</v>
      </c>
      <c r="I2610" s="50">
        <f>K2610*D2609</f>
        <v>386497.2</v>
      </c>
      <c r="J2610" s="50">
        <f>I2610/D2609</f>
        <v>354</v>
      </c>
      <c r="K2610" s="50">
        <v>354</v>
      </c>
    </row>
    <row r="2611" spans="1:11" ht="15.75" customHeight="1" x14ac:dyDescent="0.25">
      <c r="A2611" s="215"/>
      <c r="B2611" s="215"/>
      <c r="C2611" s="223"/>
      <c r="D2611" s="224"/>
      <c r="E2611" s="224"/>
      <c r="F2611" s="225"/>
      <c r="G2611" s="215"/>
      <c r="H2611" s="57" t="s">
        <v>69</v>
      </c>
      <c r="I2611" s="50">
        <f>D2609*K2611</f>
        <v>8734.4</v>
      </c>
      <c r="J2611" s="50">
        <f>I2611/D2609</f>
        <v>8</v>
      </c>
      <c r="K2611" s="50">
        <v>8</v>
      </c>
    </row>
    <row r="2612" spans="1:11" ht="15.75" customHeight="1" x14ac:dyDescent="0.25">
      <c r="A2612" s="215">
        <f>A2609+1</f>
        <v>5</v>
      </c>
      <c r="B2612" s="215">
        <v>197</v>
      </c>
      <c r="C2612" s="223" t="s">
        <v>637</v>
      </c>
      <c r="D2612" s="224">
        <v>1027.9000000000001</v>
      </c>
      <c r="E2612" s="224" t="s">
        <v>73</v>
      </c>
      <c r="F2612" s="225">
        <v>3</v>
      </c>
      <c r="G2612" s="215" t="s">
        <v>74</v>
      </c>
      <c r="H2612" s="57" t="s">
        <v>66</v>
      </c>
      <c r="I2612" s="50">
        <f>I2613+I2614</f>
        <v>372099.8</v>
      </c>
      <c r="J2612" s="50">
        <f>J2613+J2614</f>
        <v>362</v>
      </c>
      <c r="K2612" s="50">
        <f>K2613+K2614</f>
        <v>362</v>
      </c>
    </row>
    <row r="2613" spans="1:11" ht="15.75" customHeight="1" x14ac:dyDescent="0.25">
      <c r="A2613" s="215"/>
      <c r="B2613" s="215"/>
      <c r="C2613" s="223"/>
      <c r="D2613" s="224"/>
      <c r="E2613" s="224"/>
      <c r="F2613" s="225"/>
      <c r="G2613" s="215"/>
      <c r="H2613" s="57" t="s">
        <v>67</v>
      </c>
      <c r="I2613" s="50">
        <f>K2613*D2612</f>
        <v>363876.6</v>
      </c>
      <c r="J2613" s="50">
        <f>I2613/D2612</f>
        <v>354</v>
      </c>
      <c r="K2613" s="50">
        <v>354</v>
      </c>
    </row>
    <row r="2614" spans="1:11" ht="15.75" customHeight="1" x14ac:dyDescent="0.25">
      <c r="A2614" s="215"/>
      <c r="B2614" s="215"/>
      <c r="C2614" s="223"/>
      <c r="D2614" s="224"/>
      <c r="E2614" s="224"/>
      <c r="F2614" s="225"/>
      <c r="G2614" s="215"/>
      <c r="H2614" s="57" t="s">
        <v>69</v>
      </c>
      <c r="I2614" s="50">
        <f>D2612*K2614</f>
        <v>8223.2000000000007</v>
      </c>
      <c r="J2614" s="50">
        <f>I2614/D2612</f>
        <v>8</v>
      </c>
      <c r="K2614" s="50">
        <v>8</v>
      </c>
    </row>
    <row r="2615" spans="1:11" ht="15.75" customHeight="1" x14ac:dyDescent="0.25">
      <c r="A2615" s="215">
        <f>A2612+1</f>
        <v>6</v>
      </c>
      <c r="B2615" s="215">
        <v>347</v>
      </c>
      <c r="C2615" s="223" t="s">
        <v>638</v>
      </c>
      <c r="D2615" s="224">
        <v>3127.4</v>
      </c>
      <c r="E2615" s="224" t="s">
        <v>68</v>
      </c>
      <c r="F2615" s="225">
        <v>5</v>
      </c>
      <c r="G2615" s="215" t="s">
        <v>74</v>
      </c>
      <c r="H2615" s="57" t="s">
        <v>66</v>
      </c>
      <c r="I2615" s="50">
        <f>I2616+I2617</f>
        <v>1272851.8</v>
      </c>
      <c r="J2615" s="50">
        <f>J2616+J2617</f>
        <v>407</v>
      </c>
      <c r="K2615" s="50">
        <f>K2616+K2617</f>
        <v>407</v>
      </c>
    </row>
    <row r="2616" spans="1:11" ht="15.75" customHeight="1" x14ac:dyDescent="0.25">
      <c r="A2616" s="215"/>
      <c r="B2616" s="215"/>
      <c r="C2616" s="223"/>
      <c r="D2616" s="224"/>
      <c r="E2616" s="224"/>
      <c r="F2616" s="225"/>
      <c r="G2616" s="215"/>
      <c r="H2616" s="57" t="s">
        <v>67</v>
      </c>
      <c r="I2616" s="50">
        <f>K2616*D2615</f>
        <v>1244705.2</v>
      </c>
      <c r="J2616" s="50">
        <f>I2616/D2615</f>
        <v>398</v>
      </c>
      <c r="K2616" s="50">
        <v>398</v>
      </c>
    </row>
    <row r="2617" spans="1:11" ht="15.75" customHeight="1" x14ac:dyDescent="0.25">
      <c r="A2617" s="215"/>
      <c r="B2617" s="215"/>
      <c r="C2617" s="223"/>
      <c r="D2617" s="224"/>
      <c r="E2617" s="224"/>
      <c r="F2617" s="225"/>
      <c r="G2617" s="215"/>
      <c r="H2617" s="57" t="s">
        <v>69</v>
      </c>
      <c r="I2617" s="50">
        <f>D2615*K2617</f>
        <v>28146.6</v>
      </c>
      <c r="J2617" s="50">
        <f>I2617/D2615</f>
        <v>9</v>
      </c>
      <c r="K2617" s="50">
        <v>9</v>
      </c>
    </row>
    <row r="2618" spans="1:11" ht="15.75" customHeight="1" x14ac:dyDescent="0.25">
      <c r="A2618" s="215">
        <f>A2615+1</f>
        <v>7</v>
      </c>
      <c r="B2618" s="215">
        <v>348</v>
      </c>
      <c r="C2618" s="223" t="s">
        <v>639</v>
      </c>
      <c r="D2618" s="224">
        <v>3202.33</v>
      </c>
      <c r="E2618" s="224" t="s">
        <v>68</v>
      </c>
      <c r="F2618" s="225">
        <v>5</v>
      </c>
      <c r="G2618" s="215" t="s">
        <v>74</v>
      </c>
      <c r="H2618" s="57" t="s">
        <v>66</v>
      </c>
      <c r="I2618" s="50">
        <f>I2619+I2620</f>
        <v>1303348.31</v>
      </c>
      <c r="J2618" s="50">
        <f>J2619+J2620</f>
        <v>407</v>
      </c>
      <c r="K2618" s="50">
        <f>K2619+K2620</f>
        <v>407</v>
      </c>
    </row>
    <row r="2619" spans="1:11" ht="15.75" customHeight="1" x14ac:dyDescent="0.25">
      <c r="A2619" s="215"/>
      <c r="B2619" s="215"/>
      <c r="C2619" s="223"/>
      <c r="D2619" s="224"/>
      <c r="E2619" s="224"/>
      <c r="F2619" s="225"/>
      <c r="G2619" s="215"/>
      <c r="H2619" s="57" t="s">
        <v>67</v>
      </c>
      <c r="I2619" s="50">
        <f>K2619*D2618</f>
        <v>1274527.3400000001</v>
      </c>
      <c r="J2619" s="50">
        <f>I2619/D2618</f>
        <v>398</v>
      </c>
      <c r="K2619" s="50">
        <v>398</v>
      </c>
    </row>
    <row r="2620" spans="1:11" ht="15.75" customHeight="1" x14ac:dyDescent="0.25">
      <c r="A2620" s="215"/>
      <c r="B2620" s="215"/>
      <c r="C2620" s="223"/>
      <c r="D2620" s="224"/>
      <c r="E2620" s="224"/>
      <c r="F2620" s="225"/>
      <c r="G2620" s="215"/>
      <c r="H2620" s="57" t="s">
        <v>69</v>
      </c>
      <c r="I2620" s="50">
        <f>D2618*K2620</f>
        <v>28820.97</v>
      </c>
      <c r="J2620" s="50">
        <f>I2620/D2618</f>
        <v>9</v>
      </c>
      <c r="K2620" s="50">
        <v>9</v>
      </c>
    </row>
    <row r="2621" spans="1:11" ht="15.75" customHeight="1" x14ac:dyDescent="0.25">
      <c r="A2621" s="215">
        <f>A2618+1</f>
        <v>8</v>
      </c>
      <c r="B2621" s="215">
        <v>349</v>
      </c>
      <c r="C2621" s="223" t="s">
        <v>640</v>
      </c>
      <c r="D2621" s="224">
        <v>4539.0600000000004</v>
      </c>
      <c r="E2621" s="224" t="s">
        <v>68</v>
      </c>
      <c r="F2621" s="225">
        <v>5</v>
      </c>
      <c r="G2621" s="215" t="s">
        <v>74</v>
      </c>
      <c r="H2621" s="57" t="s">
        <v>66</v>
      </c>
      <c r="I2621" s="50">
        <f>I2622+I2623</f>
        <v>1847397.42</v>
      </c>
      <c r="J2621" s="50">
        <f>J2622+J2623</f>
        <v>407</v>
      </c>
      <c r="K2621" s="50">
        <f>K2622+K2623</f>
        <v>407</v>
      </c>
    </row>
    <row r="2622" spans="1:11" ht="15.75" customHeight="1" x14ac:dyDescent="0.25">
      <c r="A2622" s="215"/>
      <c r="B2622" s="215"/>
      <c r="C2622" s="223"/>
      <c r="D2622" s="224"/>
      <c r="E2622" s="224"/>
      <c r="F2622" s="225"/>
      <c r="G2622" s="215"/>
      <c r="H2622" s="57" t="s">
        <v>67</v>
      </c>
      <c r="I2622" s="50">
        <f>K2622*D2621</f>
        <v>1806545.88</v>
      </c>
      <c r="J2622" s="50">
        <f>I2622/D2621</f>
        <v>398</v>
      </c>
      <c r="K2622" s="50">
        <v>398</v>
      </c>
    </row>
    <row r="2623" spans="1:11" ht="15.75" customHeight="1" x14ac:dyDescent="0.25">
      <c r="A2623" s="215"/>
      <c r="B2623" s="215"/>
      <c r="C2623" s="223"/>
      <c r="D2623" s="224"/>
      <c r="E2623" s="224"/>
      <c r="F2623" s="225"/>
      <c r="G2623" s="215"/>
      <c r="H2623" s="57" t="s">
        <v>69</v>
      </c>
      <c r="I2623" s="50">
        <f>D2621*K2623</f>
        <v>40851.54</v>
      </c>
      <c r="J2623" s="50">
        <f>I2623/D2621</f>
        <v>9</v>
      </c>
      <c r="K2623" s="50">
        <v>9</v>
      </c>
    </row>
    <row r="2624" spans="1:11" x14ac:dyDescent="0.25">
      <c r="A2624" s="215">
        <f>A2621+1</f>
        <v>9</v>
      </c>
      <c r="B2624" s="215">
        <v>870</v>
      </c>
      <c r="C2624" s="223" t="s">
        <v>190</v>
      </c>
      <c r="D2624" s="224">
        <v>3342.5</v>
      </c>
      <c r="E2624" s="224" t="s">
        <v>68</v>
      </c>
      <c r="F2624" s="225">
        <v>6</v>
      </c>
      <c r="G2624" s="215" t="s">
        <v>65</v>
      </c>
      <c r="H2624" s="57" t="s">
        <v>66</v>
      </c>
      <c r="I2624" s="50">
        <f>I2625+I2626</f>
        <v>11064099.52</v>
      </c>
      <c r="J2624" s="50">
        <f>J2625+J2626</f>
        <v>3310.13</v>
      </c>
      <c r="K2624" s="50">
        <f>K2625+K2626</f>
        <v>3878</v>
      </c>
    </row>
    <row r="2625" spans="1:11" x14ac:dyDescent="0.25">
      <c r="A2625" s="215">
        <v>77</v>
      </c>
      <c r="B2625" s="215"/>
      <c r="C2625" s="223"/>
      <c r="D2625" s="215"/>
      <c r="E2625" s="224"/>
      <c r="F2625" s="225"/>
      <c r="G2625" s="215"/>
      <c r="H2625" s="57" t="s">
        <v>67</v>
      </c>
      <c r="I2625" s="50">
        <f>(8523089+326819.95)*1.02*1.2</f>
        <v>10832288.550000001</v>
      </c>
      <c r="J2625" s="50">
        <f>I2625/D2624+0.01</f>
        <v>3240.78</v>
      </c>
      <c r="K2625" s="50">
        <v>3797</v>
      </c>
    </row>
    <row r="2626" spans="1:11" x14ac:dyDescent="0.25">
      <c r="A2626" s="215"/>
      <c r="B2626" s="215"/>
      <c r="C2626" s="223"/>
      <c r="D2626" s="215"/>
      <c r="E2626" s="224"/>
      <c r="F2626" s="225"/>
      <c r="G2626" s="215"/>
      <c r="H2626" s="57" t="s">
        <v>69</v>
      </c>
      <c r="I2626" s="50">
        <f>I2625*0.0214</f>
        <v>231810.97</v>
      </c>
      <c r="J2626" s="50">
        <f>I2626/D2624</f>
        <v>69.349999999999994</v>
      </c>
      <c r="K2626" s="50">
        <v>81</v>
      </c>
    </row>
    <row r="2627" spans="1:11" x14ac:dyDescent="0.25">
      <c r="A2627" s="215">
        <f>A2624+1</f>
        <v>10</v>
      </c>
      <c r="B2627" s="215">
        <v>827</v>
      </c>
      <c r="C2627" s="223" t="s">
        <v>373</v>
      </c>
      <c r="D2627" s="224">
        <v>4235.7</v>
      </c>
      <c r="E2627" s="224" t="s">
        <v>68</v>
      </c>
      <c r="F2627" s="225">
        <v>5</v>
      </c>
      <c r="G2627" s="215" t="s">
        <v>65</v>
      </c>
      <c r="H2627" s="57" t="s">
        <v>66</v>
      </c>
      <c r="I2627" s="50">
        <f>I2628+I2629</f>
        <v>16426044.6</v>
      </c>
      <c r="J2627" s="50">
        <f>J2628+J2629</f>
        <v>3878</v>
      </c>
      <c r="K2627" s="50">
        <f>K2628+K2629</f>
        <v>3878</v>
      </c>
    </row>
    <row r="2628" spans="1:11" x14ac:dyDescent="0.25">
      <c r="A2628" s="215">
        <v>77</v>
      </c>
      <c r="B2628" s="215"/>
      <c r="C2628" s="223"/>
      <c r="D2628" s="215"/>
      <c r="E2628" s="224"/>
      <c r="F2628" s="225"/>
      <c r="G2628" s="215"/>
      <c r="H2628" s="57" t="s">
        <v>67</v>
      </c>
      <c r="I2628" s="50">
        <f>D2627*K2628</f>
        <v>16082952.9</v>
      </c>
      <c r="J2628" s="50">
        <f>I2628/D2627</f>
        <v>3797</v>
      </c>
      <c r="K2628" s="50">
        <v>3797</v>
      </c>
    </row>
    <row r="2629" spans="1:11" x14ac:dyDescent="0.25">
      <c r="A2629" s="215"/>
      <c r="B2629" s="215"/>
      <c r="C2629" s="223"/>
      <c r="D2629" s="215"/>
      <c r="E2629" s="224"/>
      <c r="F2629" s="225"/>
      <c r="G2629" s="215"/>
      <c r="H2629" s="57" t="s">
        <v>69</v>
      </c>
      <c r="I2629" s="50">
        <f>D2627*K2629</f>
        <v>343091.7</v>
      </c>
      <c r="J2629" s="50">
        <f>I2629/D2627</f>
        <v>81</v>
      </c>
      <c r="K2629" s="50">
        <v>81</v>
      </c>
    </row>
    <row r="2630" spans="1:11" ht="15.75" customHeight="1" x14ac:dyDescent="0.25">
      <c r="A2630" s="215">
        <f>A2627+1</f>
        <v>11</v>
      </c>
      <c r="B2630" s="215">
        <v>293</v>
      </c>
      <c r="C2630" s="223" t="s">
        <v>641</v>
      </c>
      <c r="D2630" s="224">
        <v>1262.0999999999999</v>
      </c>
      <c r="E2630" s="224" t="s">
        <v>68</v>
      </c>
      <c r="F2630" s="225">
        <v>4</v>
      </c>
      <c r="G2630" s="215" t="s">
        <v>74</v>
      </c>
      <c r="H2630" s="57" t="s">
        <v>66</v>
      </c>
      <c r="I2630" s="50">
        <f>I2631+I2632</f>
        <v>456880.2</v>
      </c>
      <c r="J2630" s="50">
        <f>J2631+J2632</f>
        <v>362</v>
      </c>
      <c r="K2630" s="50">
        <f>K2631+K2632</f>
        <v>362</v>
      </c>
    </row>
    <row r="2631" spans="1:11" ht="15.75" customHeight="1" x14ac:dyDescent="0.25">
      <c r="A2631" s="215"/>
      <c r="B2631" s="215"/>
      <c r="C2631" s="223"/>
      <c r="D2631" s="224"/>
      <c r="E2631" s="224"/>
      <c r="F2631" s="225"/>
      <c r="G2631" s="215"/>
      <c r="H2631" s="57" t="s">
        <v>67</v>
      </c>
      <c r="I2631" s="50">
        <f>K2631*D2630</f>
        <v>446783.4</v>
      </c>
      <c r="J2631" s="50">
        <f>I2631/D2630</f>
        <v>354</v>
      </c>
      <c r="K2631" s="50">
        <v>354</v>
      </c>
    </row>
    <row r="2632" spans="1:11" ht="15.75" customHeight="1" x14ac:dyDescent="0.25">
      <c r="A2632" s="215"/>
      <c r="B2632" s="215"/>
      <c r="C2632" s="223"/>
      <c r="D2632" s="224"/>
      <c r="E2632" s="224"/>
      <c r="F2632" s="225"/>
      <c r="G2632" s="215"/>
      <c r="H2632" s="57" t="s">
        <v>69</v>
      </c>
      <c r="I2632" s="50">
        <f>D2630*K2632</f>
        <v>10096.799999999999</v>
      </c>
      <c r="J2632" s="50">
        <f>I2632/D2630</f>
        <v>8</v>
      </c>
      <c r="K2632" s="50">
        <v>8</v>
      </c>
    </row>
    <row r="2633" spans="1:11" ht="15.75" customHeight="1" x14ac:dyDescent="0.25">
      <c r="A2633" s="215">
        <f>A2630+1</f>
        <v>12</v>
      </c>
      <c r="B2633" s="215">
        <v>471</v>
      </c>
      <c r="C2633" s="223" t="s">
        <v>642</v>
      </c>
      <c r="D2633" s="224">
        <v>1568.8</v>
      </c>
      <c r="E2633" s="224" t="s">
        <v>68</v>
      </c>
      <c r="F2633" s="225">
        <v>5</v>
      </c>
      <c r="G2633" s="215" t="s">
        <v>65</v>
      </c>
      <c r="H2633" s="57" t="s">
        <v>66</v>
      </c>
      <c r="I2633" s="50">
        <f>I2634+I2635</f>
        <v>6083806.4000000004</v>
      </c>
      <c r="J2633" s="50">
        <f>J2634+J2635</f>
        <v>3878</v>
      </c>
      <c r="K2633" s="50">
        <f>K2634+K2635</f>
        <v>3878</v>
      </c>
    </row>
    <row r="2634" spans="1:11" ht="15.75" customHeight="1" x14ac:dyDescent="0.25">
      <c r="A2634" s="215">
        <v>77</v>
      </c>
      <c r="B2634" s="215"/>
      <c r="C2634" s="223"/>
      <c r="D2634" s="215"/>
      <c r="E2634" s="224"/>
      <c r="F2634" s="225"/>
      <c r="G2634" s="215"/>
      <c r="H2634" s="57" t="s">
        <v>67</v>
      </c>
      <c r="I2634" s="50">
        <f>D2633*K2634</f>
        <v>5956733.5999999996</v>
      </c>
      <c r="J2634" s="50">
        <f>I2634/D2633</f>
        <v>3797</v>
      </c>
      <c r="K2634" s="50">
        <v>3797</v>
      </c>
    </row>
    <row r="2635" spans="1:11" ht="15.75" customHeight="1" x14ac:dyDescent="0.25">
      <c r="A2635" s="215"/>
      <c r="B2635" s="215"/>
      <c r="C2635" s="223"/>
      <c r="D2635" s="215"/>
      <c r="E2635" s="224"/>
      <c r="F2635" s="225"/>
      <c r="G2635" s="215"/>
      <c r="H2635" s="57" t="s">
        <v>69</v>
      </c>
      <c r="I2635" s="50">
        <f>D2633*K2635</f>
        <v>127072.8</v>
      </c>
      <c r="J2635" s="50">
        <f>I2635/D2633</f>
        <v>81</v>
      </c>
      <c r="K2635" s="50">
        <v>81</v>
      </c>
    </row>
    <row r="2636" spans="1:11" ht="15.75" customHeight="1" x14ac:dyDescent="0.25">
      <c r="A2636" s="215">
        <f>A2633+1</f>
        <v>13</v>
      </c>
      <c r="B2636" s="215">
        <v>340</v>
      </c>
      <c r="C2636" s="223" t="s">
        <v>643</v>
      </c>
      <c r="D2636" s="224">
        <v>1359.55</v>
      </c>
      <c r="E2636" s="224" t="s">
        <v>68</v>
      </c>
      <c r="F2636" s="225">
        <v>4</v>
      </c>
      <c r="G2636" s="215" t="s">
        <v>74</v>
      </c>
      <c r="H2636" s="57" t="s">
        <v>66</v>
      </c>
      <c r="I2636" s="50">
        <f>I2637+I2638</f>
        <v>492157.1</v>
      </c>
      <c r="J2636" s="50">
        <f>J2637+J2638</f>
        <v>362</v>
      </c>
      <c r="K2636" s="50">
        <f>K2637+K2638</f>
        <v>362</v>
      </c>
    </row>
    <row r="2637" spans="1:11" ht="15.75" customHeight="1" x14ac:dyDescent="0.25">
      <c r="A2637" s="215"/>
      <c r="B2637" s="215"/>
      <c r="C2637" s="223"/>
      <c r="D2637" s="224"/>
      <c r="E2637" s="224"/>
      <c r="F2637" s="225"/>
      <c r="G2637" s="215"/>
      <c r="H2637" s="57" t="s">
        <v>67</v>
      </c>
      <c r="I2637" s="50">
        <f>K2637*D2636</f>
        <v>481280.7</v>
      </c>
      <c r="J2637" s="50">
        <f>I2637/D2636</f>
        <v>354</v>
      </c>
      <c r="K2637" s="50">
        <v>354</v>
      </c>
    </row>
    <row r="2638" spans="1:11" ht="15.75" customHeight="1" x14ac:dyDescent="0.25">
      <c r="A2638" s="215"/>
      <c r="B2638" s="215"/>
      <c r="C2638" s="223"/>
      <c r="D2638" s="224"/>
      <c r="E2638" s="224"/>
      <c r="F2638" s="225"/>
      <c r="G2638" s="215"/>
      <c r="H2638" s="57" t="s">
        <v>69</v>
      </c>
      <c r="I2638" s="50">
        <f>D2636*K2638</f>
        <v>10876.4</v>
      </c>
      <c r="J2638" s="50">
        <f>I2638/D2636</f>
        <v>8</v>
      </c>
      <c r="K2638" s="50">
        <v>8</v>
      </c>
    </row>
    <row r="2639" spans="1:11" ht="15.75" customHeight="1" x14ac:dyDescent="0.25">
      <c r="A2639" s="215">
        <f>A2636+1</f>
        <v>14</v>
      </c>
      <c r="B2639" s="215">
        <v>341</v>
      </c>
      <c r="C2639" s="223" t="s">
        <v>644</v>
      </c>
      <c r="D2639" s="224">
        <v>1268.5999999999999</v>
      </c>
      <c r="E2639" s="224" t="s">
        <v>68</v>
      </c>
      <c r="F2639" s="225">
        <v>4</v>
      </c>
      <c r="G2639" s="215" t="s">
        <v>74</v>
      </c>
      <c r="H2639" s="57" t="s">
        <v>66</v>
      </c>
      <c r="I2639" s="50">
        <f>I2640+I2641</f>
        <v>459233.2</v>
      </c>
      <c r="J2639" s="50">
        <f>J2640+J2641</f>
        <v>362</v>
      </c>
      <c r="K2639" s="50">
        <f>K2640+K2641</f>
        <v>362</v>
      </c>
    </row>
    <row r="2640" spans="1:11" ht="15.75" customHeight="1" x14ac:dyDescent="0.25">
      <c r="A2640" s="215"/>
      <c r="B2640" s="215"/>
      <c r="C2640" s="223"/>
      <c r="D2640" s="224"/>
      <c r="E2640" s="224"/>
      <c r="F2640" s="225"/>
      <c r="G2640" s="215"/>
      <c r="H2640" s="57" t="s">
        <v>67</v>
      </c>
      <c r="I2640" s="50">
        <f>K2640*D2639</f>
        <v>449084.4</v>
      </c>
      <c r="J2640" s="50">
        <f>I2640/D2639</f>
        <v>354</v>
      </c>
      <c r="K2640" s="50">
        <v>354</v>
      </c>
    </row>
    <row r="2641" spans="1:11" ht="15.75" customHeight="1" x14ac:dyDescent="0.25">
      <c r="A2641" s="215"/>
      <c r="B2641" s="215"/>
      <c r="C2641" s="223"/>
      <c r="D2641" s="224"/>
      <c r="E2641" s="224"/>
      <c r="F2641" s="225"/>
      <c r="G2641" s="215"/>
      <c r="H2641" s="57" t="s">
        <v>69</v>
      </c>
      <c r="I2641" s="50">
        <f>D2639*K2641</f>
        <v>10148.799999999999</v>
      </c>
      <c r="J2641" s="50">
        <f>I2641/D2639</f>
        <v>8</v>
      </c>
      <c r="K2641" s="50">
        <v>8</v>
      </c>
    </row>
    <row r="2642" spans="1:11" ht="15.75" customHeight="1" x14ac:dyDescent="0.25">
      <c r="A2642" s="215">
        <f>A2639+1</f>
        <v>15</v>
      </c>
      <c r="B2642" s="215">
        <v>294</v>
      </c>
      <c r="C2642" s="223" t="s">
        <v>645</v>
      </c>
      <c r="D2642" s="224">
        <v>3808.2</v>
      </c>
      <c r="E2642" s="224" t="s">
        <v>68</v>
      </c>
      <c r="F2642" s="225">
        <v>4</v>
      </c>
      <c r="G2642" s="215" t="s">
        <v>74</v>
      </c>
      <c r="H2642" s="57" t="s">
        <v>66</v>
      </c>
      <c r="I2642" s="50">
        <f>I2643+I2644</f>
        <v>1549937.4</v>
      </c>
      <c r="J2642" s="50">
        <f>J2643+J2644</f>
        <v>407</v>
      </c>
      <c r="K2642" s="50">
        <f>K2643+K2644</f>
        <v>407</v>
      </c>
    </row>
    <row r="2643" spans="1:11" ht="15.75" customHeight="1" x14ac:dyDescent="0.25">
      <c r="A2643" s="215"/>
      <c r="B2643" s="215"/>
      <c r="C2643" s="223"/>
      <c r="D2643" s="224"/>
      <c r="E2643" s="224"/>
      <c r="F2643" s="225"/>
      <c r="G2643" s="215"/>
      <c r="H2643" s="57" t="s">
        <v>67</v>
      </c>
      <c r="I2643" s="50">
        <f>K2643*D2642</f>
        <v>1515663.6</v>
      </c>
      <c r="J2643" s="50">
        <f>I2643/D2642</f>
        <v>398</v>
      </c>
      <c r="K2643" s="50">
        <v>398</v>
      </c>
    </row>
    <row r="2644" spans="1:11" ht="15.75" customHeight="1" x14ac:dyDescent="0.25">
      <c r="A2644" s="215"/>
      <c r="B2644" s="215"/>
      <c r="C2644" s="223"/>
      <c r="D2644" s="224"/>
      <c r="E2644" s="224"/>
      <c r="F2644" s="225"/>
      <c r="G2644" s="215"/>
      <c r="H2644" s="57" t="s">
        <v>69</v>
      </c>
      <c r="I2644" s="50">
        <f>D2642*K2644</f>
        <v>34273.800000000003</v>
      </c>
      <c r="J2644" s="50">
        <f>I2644/D2642</f>
        <v>9</v>
      </c>
      <c r="K2644" s="50">
        <v>9</v>
      </c>
    </row>
    <row r="2645" spans="1:11" ht="15.75" customHeight="1" x14ac:dyDescent="0.25">
      <c r="A2645" s="215">
        <f>A2642+1</f>
        <v>16</v>
      </c>
      <c r="B2645" s="215">
        <v>326</v>
      </c>
      <c r="C2645" s="223" t="s">
        <v>646</v>
      </c>
      <c r="D2645" s="224">
        <v>1786.7</v>
      </c>
      <c r="E2645" s="224" t="s">
        <v>68</v>
      </c>
      <c r="F2645" s="225">
        <v>5</v>
      </c>
      <c r="G2645" s="215" t="s">
        <v>74</v>
      </c>
      <c r="H2645" s="57" t="s">
        <v>66</v>
      </c>
      <c r="I2645" s="50">
        <f>I2646+I2647</f>
        <v>646785.4</v>
      </c>
      <c r="J2645" s="50">
        <f>J2646+J2647</f>
        <v>362</v>
      </c>
      <c r="K2645" s="50">
        <f>K2646+K2647</f>
        <v>362</v>
      </c>
    </row>
    <row r="2646" spans="1:11" ht="15.75" customHeight="1" x14ac:dyDescent="0.25">
      <c r="A2646" s="215"/>
      <c r="B2646" s="215"/>
      <c r="C2646" s="223"/>
      <c r="D2646" s="224"/>
      <c r="E2646" s="224"/>
      <c r="F2646" s="225"/>
      <c r="G2646" s="215"/>
      <c r="H2646" s="57" t="s">
        <v>67</v>
      </c>
      <c r="I2646" s="50">
        <f>K2646*D2645</f>
        <v>632491.80000000005</v>
      </c>
      <c r="J2646" s="50">
        <f>I2646/D2645</f>
        <v>354</v>
      </c>
      <c r="K2646" s="50">
        <v>354</v>
      </c>
    </row>
    <row r="2647" spans="1:11" ht="15.75" customHeight="1" x14ac:dyDescent="0.25">
      <c r="A2647" s="215"/>
      <c r="B2647" s="215"/>
      <c r="C2647" s="223"/>
      <c r="D2647" s="224"/>
      <c r="E2647" s="224"/>
      <c r="F2647" s="225"/>
      <c r="G2647" s="215"/>
      <c r="H2647" s="57" t="s">
        <v>69</v>
      </c>
      <c r="I2647" s="50">
        <f>D2645*K2647</f>
        <v>14293.6</v>
      </c>
      <c r="J2647" s="50">
        <f>I2647/D2645</f>
        <v>8</v>
      </c>
      <c r="K2647" s="50">
        <v>8</v>
      </c>
    </row>
    <row r="2648" spans="1:11" x14ac:dyDescent="0.25">
      <c r="A2648" s="215">
        <f>A2645+1</f>
        <v>17</v>
      </c>
      <c r="B2648" s="215">
        <v>892</v>
      </c>
      <c r="C2648" s="223" t="s">
        <v>193</v>
      </c>
      <c r="D2648" s="224">
        <v>5909.15</v>
      </c>
      <c r="E2648" s="224" t="s">
        <v>68</v>
      </c>
      <c r="F2648" s="225">
        <v>6</v>
      </c>
      <c r="G2648" s="215" t="s">
        <v>65</v>
      </c>
      <c r="H2648" s="57" t="s">
        <v>66</v>
      </c>
      <c r="I2648" s="50">
        <f>I2649+I2650</f>
        <v>17901290.420000002</v>
      </c>
      <c r="J2648" s="50">
        <f>J2649+J2650</f>
        <v>3029.42</v>
      </c>
      <c r="K2648" s="50">
        <f>K2649+K2650</f>
        <v>3878</v>
      </c>
    </row>
    <row r="2649" spans="1:11" x14ac:dyDescent="0.25">
      <c r="A2649" s="215">
        <v>77</v>
      </c>
      <c r="B2649" s="215"/>
      <c r="C2649" s="223"/>
      <c r="D2649" s="215"/>
      <c r="E2649" s="224"/>
      <c r="F2649" s="225"/>
      <c r="G2649" s="215"/>
      <c r="H2649" s="57" t="s">
        <v>67</v>
      </c>
      <c r="I2649" s="50">
        <f>(13974804+344010.64)*1.02*1.2</f>
        <v>17526229.120000001</v>
      </c>
      <c r="J2649" s="50">
        <f>I2649/D2648</f>
        <v>2965.95</v>
      </c>
      <c r="K2649" s="50">
        <v>3797</v>
      </c>
    </row>
    <row r="2650" spans="1:11" x14ac:dyDescent="0.25">
      <c r="A2650" s="215"/>
      <c r="B2650" s="215"/>
      <c r="C2650" s="223"/>
      <c r="D2650" s="215"/>
      <c r="E2650" s="224"/>
      <c r="F2650" s="225"/>
      <c r="G2650" s="215"/>
      <c r="H2650" s="57" t="s">
        <v>69</v>
      </c>
      <c r="I2650" s="50">
        <f>I2649*0.0214</f>
        <v>375061.3</v>
      </c>
      <c r="J2650" s="50">
        <f>I2650/D2648</f>
        <v>63.47</v>
      </c>
      <c r="K2650" s="50">
        <v>81</v>
      </c>
    </row>
    <row r="2651" spans="1:11" x14ac:dyDescent="0.25">
      <c r="A2651" s="215">
        <f>A2648+1</f>
        <v>18</v>
      </c>
      <c r="B2651" s="215">
        <v>828</v>
      </c>
      <c r="C2651" s="223" t="s">
        <v>194</v>
      </c>
      <c r="D2651" s="224">
        <v>11340.2</v>
      </c>
      <c r="E2651" s="224" t="s">
        <v>64</v>
      </c>
      <c r="F2651" s="225">
        <v>10</v>
      </c>
      <c r="G2651" s="215" t="s">
        <v>65</v>
      </c>
      <c r="H2651" s="57" t="s">
        <v>66</v>
      </c>
      <c r="I2651" s="50">
        <f>I2652+I2653</f>
        <v>13870631</v>
      </c>
      <c r="J2651" s="50">
        <f>J2652+J2653</f>
        <v>1223.1400000000001</v>
      </c>
      <c r="K2651" s="50">
        <f>K2652+K2653</f>
        <v>2492</v>
      </c>
    </row>
    <row r="2652" spans="1:11" x14ac:dyDescent="0.25">
      <c r="A2652" s="215">
        <v>77</v>
      </c>
      <c r="B2652" s="215"/>
      <c r="C2652" s="223"/>
      <c r="D2652" s="215"/>
      <c r="E2652" s="224"/>
      <c r="F2652" s="225"/>
      <c r="G2652" s="215"/>
      <c r="H2652" s="57" t="s">
        <v>67</v>
      </c>
      <c r="I2652" s="50">
        <f>(10861808+232978.44)*1.02*1.2</f>
        <v>13580018.6</v>
      </c>
      <c r="J2652" s="50">
        <f>I2652/D2651</f>
        <v>1197.51</v>
      </c>
      <c r="K2652" s="50">
        <v>2440</v>
      </c>
    </row>
    <row r="2653" spans="1:11" x14ac:dyDescent="0.25">
      <c r="A2653" s="215"/>
      <c r="B2653" s="215"/>
      <c r="C2653" s="223"/>
      <c r="D2653" s="215"/>
      <c r="E2653" s="224"/>
      <c r="F2653" s="225"/>
      <c r="G2653" s="215"/>
      <c r="H2653" s="57" t="s">
        <v>69</v>
      </c>
      <c r="I2653" s="50">
        <f>I2652*0.0214</f>
        <v>290612.40000000002</v>
      </c>
      <c r="J2653" s="50">
        <f>I2653/D2651</f>
        <v>25.63</v>
      </c>
      <c r="K2653" s="50">
        <v>52</v>
      </c>
    </row>
    <row r="2654" spans="1:11" x14ac:dyDescent="0.25">
      <c r="A2654" s="216">
        <f>A2651+1</f>
        <v>19</v>
      </c>
      <c r="B2654" s="216">
        <v>453</v>
      </c>
      <c r="C2654" s="218" t="s">
        <v>98</v>
      </c>
      <c r="D2654" s="220">
        <v>2382.92</v>
      </c>
      <c r="E2654" s="220" t="s">
        <v>68</v>
      </c>
      <c r="F2654" s="228">
        <v>5</v>
      </c>
      <c r="G2654" s="216" t="s">
        <v>74</v>
      </c>
      <c r="H2654" s="57" t="s">
        <v>66</v>
      </c>
      <c r="I2654" s="50">
        <f>I2655+I2656</f>
        <v>755836</v>
      </c>
      <c r="J2654" s="50">
        <f>J2655+J2656</f>
        <v>317.19</v>
      </c>
      <c r="K2654" s="50">
        <f>K2655+K2656</f>
        <v>362</v>
      </c>
    </row>
    <row r="2655" spans="1:11" x14ac:dyDescent="0.25">
      <c r="A2655" s="217"/>
      <c r="B2655" s="217"/>
      <c r="C2655" s="219"/>
      <c r="D2655" s="217"/>
      <c r="E2655" s="221"/>
      <c r="F2655" s="229"/>
      <c r="G2655" s="217"/>
      <c r="H2655" s="57" t="s">
        <v>67</v>
      </c>
      <c r="I2655" s="50">
        <v>740000</v>
      </c>
      <c r="J2655" s="50">
        <f>I2655/D2654</f>
        <v>310.54000000000002</v>
      </c>
      <c r="K2655" s="50">
        <v>354</v>
      </c>
    </row>
    <row r="2656" spans="1:11" x14ac:dyDescent="0.25">
      <c r="A2656" s="222"/>
      <c r="B2656" s="222"/>
      <c r="C2656" s="226"/>
      <c r="D2656" s="222"/>
      <c r="E2656" s="227"/>
      <c r="F2656" s="230"/>
      <c r="G2656" s="222"/>
      <c r="H2656" s="57" t="s">
        <v>69</v>
      </c>
      <c r="I2656" s="50">
        <f>I2655*0.0214</f>
        <v>15836</v>
      </c>
      <c r="J2656" s="50">
        <f>I2656/D2654</f>
        <v>6.65</v>
      </c>
      <c r="K2656" s="50">
        <v>8</v>
      </c>
    </row>
    <row r="2657" spans="1:11" ht="15.75" customHeight="1" x14ac:dyDescent="0.25">
      <c r="A2657" s="215">
        <f>A2654+1</f>
        <v>20</v>
      </c>
      <c r="B2657" s="215">
        <v>179</v>
      </c>
      <c r="C2657" s="223" t="s">
        <v>647</v>
      </c>
      <c r="D2657" s="224">
        <v>840.9</v>
      </c>
      <c r="E2657" s="224" t="s">
        <v>73</v>
      </c>
      <c r="F2657" s="225">
        <v>3</v>
      </c>
      <c r="G2657" s="215" t="s">
        <v>74</v>
      </c>
      <c r="H2657" s="57" t="s">
        <v>66</v>
      </c>
      <c r="I2657" s="50">
        <f>I2658+I2659</f>
        <v>304405.8</v>
      </c>
      <c r="J2657" s="50">
        <f>J2658+J2659</f>
        <v>362</v>
      </c>
      <c r="K2657" s="50">
        <f>K2658+K2659</f>
        <v>362</v>
      </c>
    </row>
    <row r="2658" spans="1:11" ht="15.75" customHeight="1" x14ac:dyDescent="0.25">
      <c r="A2658" s="215"/>
      <c r="B2658" s="215"/>
      <c r="C2658" s="223"/>
      <c r="D2658" s="224"/>
      <c r="E2658" s="224"/>
      <c r="F2658" s="225"/>
      <c r="G2658" s="215"/>
      <c r="H2658" s="57" t="s">
        <v>67</v>
      </c>
      <c r="I2658" s="50">
        <f>K2658*D2657</f>
        <v>297678.59999999998</v>
      </c>
      <c r="J2658" s="50">
        <f>I2658/D2657</f>
        <v>354</v>
      </c>
      <c r="K2658" s="50">
        <v>354</v>
      </c>
    </row>
    <row r="2659" spans="1:11" ht="15.75" customHeight="1" x14ac:dyDescent="0.25">
      <c r="A2659" s="215"/>
      <c r="B2659" s="215"/>
      <c r="C2659" s="223"/>
      <c r="D2659" s="224"/>
      <c r="E2659" s="224"/>
      <c r="F2659" s="225"/>
      <c r="G2659" s="215"/>
      <c r="H2659" s="57" t="s">
        <v>69</v>
      </c>
      <c r="I2659" s="50">
        <f>D2657*K2659</f>
        <v>6727.2</v>
      </c>
      <c r="J2659" s="50">
        <f>I2659/D2657</f>
        <v>8</v>
      </c>
      <c r="K2659" s="50">
        <v>8</v>
      </c>
    </row>
    <row r="2660" spans="1:11" ht="15.75" customHeight="1" x14ac:dyDescent="0.25">
      <c r="A2660" s="215">
        <f>A2657+1</f>
        <v>21</v>
      </c>
      <c r="B2660" s="215">
        <v>262</v>
      </c>
      <c r="C2660" s="223" t="s">
        <v>648</v>
      </c>
      <c r="D2660" s="224">
        <v>990.5</v>
      </c>
      <c r="E2660" s="224" t="s">
        <v>73</v>
      </c>
      <c r="F2660" s="225">
        <v>3</v>
      </c>
      <c r="G2660" s="215" t="s">
        <v>74</v>
      </c>
      <c r="H2660" s="57" t="s">
        <v>66</v>
      </c>
      <c r="I2660" s="50">
        <f>I2661+I2662</f>
        <v>358561</v>
      </c>
      <c r="J2660" s="50">
        <f>J2661+J2662</f>
        <v>362</v>
      </c>
      <c r="K2660" s="50">
        <f>K2661+K2662</f>
        <v>362</v>
      </c>
    </row>
    <row r="2661" spans="1:11" ht="15.75" customHeight="1" x14ac:dyDescent="0.25">
      <c r="A2661" s="215"/>
      <c r="B2661" s="215"/>
      <c r="C2661" s="223"/>
      <c r="D2661" s="224"/>
      <c r="E2661" s="224"/>
      <c r="F2661" s="225"/>
      <c r="G2661" s="215"/>
      <c r="H2661" s="57" t="s">
        <v>67</v>
      </c>
      <c r="I2661" s="50">
        <f>K2661*D2660</f>
        <v>350637</v>
      </c>
      <c r="J2661" s="50">
        <f>I2661/D2660</f>
        <v>354</v>
      </c>
      <c r="K2661" s="50">
        <v>354</v>
      </c>
    </row>
    <row r="2662" spans="1:11" ht="15.75" customHeight="1" x14ac:dyDescent="0.25">
      <c r="A2662" s="215"/>
      <c r="B2662" s="215"/>
      <c r="C2662" s="223"/>
      <c r="D2662" s="224"/>
      <c r="E2662" s="224"/>
      <c r="F2662" s="225"/>
      <c r="G2662" s="215"/>
      <c r="H2662" s="57" t="s">
        <v>69</v>
      </c>
      <c r="I2662" s="50">
        <f>D2660*K2662</f>
        <v>7924</v>
      </c>
      <c r="J2662" s="50">
        <f>I2662/D2660</f>
        <v>8</v>
      </c>
      <c r="K2662" s="50">
        <v>8</v>
      </c>
    </row>
    <row r="2663" spans="1:11" ht="15.75" customHeight="1" x14ac:dyDescent="0.25">
      <c r="A2663" s="215">
        <f>A2660+1</f>
        <v>22</v>
      </c>
      <c r="B2663" s="215">
        <v>263</v>
      </c>
      <c r="C2663" s="223" t="s">
        <v>649</v>
      </c>
      <c r="D2663" s="224">
        <v>994.7</v>
      </c>
      <c r="E2663" s="224" t="s">
        <v>73</v>
      </c>
      <c r="F2663" s="225">
        <v>3</v>
      </c>
      <c r="G2663" s="215" t="s">
        <v>74</v>
      </c>
      <c r="H2663" s="57" t="s">
        <v>66</v>
      </c>
      <c r="I2663" s="50">
        <f>I2664+I2665</f>
        <v>360081.4</v>
      </c>
      <c r="J2663" s="50">
        <f>J2664+J2665</f>
        <v>362</v>
      </c>
      <c r="K2663" s="50">
        <f>K2664+K2665</f>
        <v>362</v>
      </c>
    </row>
    <row r="2664" spans="1:11" ht="15.75" customHeight="1" x14ac:dyDescent="0.25">
      <c r="A2664" s="215"/>
      <c r="B2664" s="215"/>
      <c r="C2664" s="223"/>
      <c r="D2664" s="224"/>
      <c r="E2664" s="224"/>
      <c r="F2664" s="225"/>
      <c r="G2664" s="215"/>
      <c r="H2664" s="57" t="s">
        <v>67</v>
      </c>
      <c r="I2664" s="50">
        <f>K2664*D2663</f>
        <v>352123.8</v>
      </c>
      <c r="J2664" s="50">
        <f>I2664/D2663</f>
        <v>354</v>
      </c>
      <c r="K2664" s="50">
        <v>354</v>
      </c>
    </row>
    <row r="2665" spans="1:11" ht="15.75" customHeight="1" x14ac:dyDescent="0.25">
      <c r="A2665" s="215"/>
      <c r="B2665" s="215"/>
      <c r="C2665" s="223"/>
      <c r="D2665" s="224"/>
      <c r="E2665" s="224"/>
      <c r="F2665" s="225"/>
      <c r="G2665" s="215"/>
      <c r="H2665" s="57" t="s">
        <v>69</v>
      </c>
      <c r="I2665" s="50">
        <f>D2663*K2665</f>
        <v>7957.6</v>
      </c>
      <c r="J2665" s="50">
        <f>I2665/D2663</f>
        <v>8</v>
      </c>
      <c r="K2665" s="50">
        <v>8</v>
      </c>
    </row>
    <row r="2666" spans="1:11" ht="15.75" customHeight="1" x14ac:dyDescent="0.25">
      <c r="A2666" s="215">
        <f>A2663+1</f>
        <v>23</v>
      </c>
      <c r="B2666" s="215">
        <v>245</v>
      </c>
      <c r="C2666" s="223" t="s">
        <v>650</v>
      </c>
      <c r="D2666" s="224">
        <v>2691.8</v>
      </c>
      <c r="E2666" s="224" t="s">
        <v>68</v>
      </c>
      <c r="F2666" s="225">
        <v>4</v>
      </c>
      <c r="G2666" s="215" t="s">
        <v>74</v>
      </c>
      <c r="H2666" s="57" t="s">
        <v>66</v>
      </c>
      <c r="I2666" s="50">
        <f>I2667+I2668</f>
        <v>974431.6</v>
      </c>
      <c r="J2666" s="50">
        <f>J2667+J2668</f>
        <v>362</v>
      </c>
      <c r="K2666" s="50">
        <f>K2667+K2668</f>
        <v>362</v>
      </c>
    </row>
    <row r="2667" spans="1:11" ht="15.75" customHeight="1" x14ac:dyDescent="0.25">
      <c r="A2667" s="215"/>
      <c r="B2667" s="215"/>
      <c r="C2667" s="223"/>
      <c r="D2667" s="224"/>
      <c r="E2667" s="224"/>
      <c r="F2667" s="225"/>
      <c r="G2667" s="215"/>
      <c r="H2667" s="57" t="s">
        <v>67</v>
      </c>
      <c r="I2667" s="50">
        <f>K2667*D2666</f>
        <v>952897.2</v>
      </c>
      <c r="J2667" s="50">
        <f>I2667/D2666</f>
        <v>354</v>
      </c>
      <c r="K2667" s="50">
        <v>354</v>
      </c>
    </row>
    <row r="2668" spans="1:11" ht="15.75" customHeight="1" x14ac:dyDescent="0.25">
      <c r="A2668" s="215"/>
      <c r="B2668" s="215"/>
      <c r="C2668" s="223"/>
      <c r="D2668" s="224"/>
      <c r="E2668" s="224"/>
      <c r="F2668" s="225"/>
      <c r="G2668" s="215"/>
      <c r="H2668" s="57" t="s">
        <v>69</v>
      </c>
      <c r="I2668" s="50">
        <f>D2666*K2668</f>
        <v>21534.400000000001</v>
      </c>
      <c r="J2668" s="50">
        <f>I2668/D2666</f>
        <v>8</v>
      </c>
      <c r="K2668" s="50">
        <v>8</v>
      </c>
    </row>
    <row r="2669" spans="1:11" ht="15.75" customHeight="1" x14ac:dyDescent="0.25">
      <c r="A2669" s="215">
        <f>A2666+1</f>
        <v>24</v>
      </c>
      <c r="B2669" s="215">
        <v>352</v>
      </c>
      <c r="C2669" s="223" t="s">
        <v>651</v>
      </c>
      <c r="D2669" s="224">
        <v>1250.22</v>
      </c>
      <c r="E2669" s="224" t="s">
        <v>68</v>
      </c>
      <c r="F2669" s="225">
        <v>4</v>
      </c>
      <c r="G2669" s="215" t="s">
        <v>74</v>
      </c>
      <c r="H2669" s="57" t="s">
        <v>66</v>
      </c>
      <c r="I2669" s="50">
        <f>I2670+I2671</f>
        <v>452579.64</v>
      </c>
      <c r="J2669" s="50">
        <f>J2670+J2671</f>
        <v>362</v>
      </c>
      <c r="K2669" s="50">
        <f>K2670+K2671</f>
        <v>362</v>
      </c>
    </row>
    <row r="2670" spans="1:11" ht="15.75" customHeight="1" x14ac:dyDescent="0.25">
      <c r="A2670" s="215"/>
      <c r="B2670" s="215"/>
      <c r="C2670" s="223"/>
      <c r="D2670" s="224"/>
      <c r="E2670" s="224"/>
      <c r="F2670" s="225"/>
      <c r="G2670" s="215"/>
      <c r="H2670" s="57" t="s">
        <v>67</v>
      </c>
      <c r="I2670" s="50">
        <f>K2670*D2669</f>
        <v>442577.88</v>
      </c>
      <c r="J2670" s="50">
        <f>I2670/D2669</f>
        <v>354</v>
      </c>
      <c r="K2670" s="50">
        <v>354</v>
      </c>
    </row>
    <row r="2671" spans="1:11" ht="15.75" customHeight="1" x14ac:dyDescent="0.25">
      <c r="A2671" s="215"/>
      <c r="B2671" s="215"/>
      <c r="C2671" s="223"/>
      <c r="D2671" s="224"/>
      <c r="E2671" s="224"/>
      <c r="F2671" s="225"/>
      <c r="G2671" s="215"/>
      <c r="H2671" s="57" t="s">
        <v>69</v>
      </c>
      <c r="I2671" s="50">
        <f>D2669*K2671</f>
        <v>10001.76</v>
      </c>
      <c r="J2671" s="50">
        <f>I2671/D2669</f>
        <v>8</v>
      </c>
      <c r="K2671" s="50">
        <v>8</v>
      </c>
    </row>
    <row r="2672" spans="1:11" ht="15.75" customHeight="1" x14ac:dyDescent="0.25">
      <c r="A2672" s="216">
        <f>A2669+1</f>
        <v>25</v>
      </c>
      <c r="B2672" s="216">
        <v>1239</v>
      </c>
      <c r="C2672" s="218" t="s">
        <v>652</v>
      </c>
      <c r="D2672" s="220">
        <v>4337.3999999999996</v>
      </c>
      <c r="E2672" s="216" t="s">
        <v>68</v>
      </c>
      <c r="F2672" s="216">
        <v>9</v>
      </c>
      <c r="G2672" s="105"/>
      <c r="H2672" s="57" t="s">
        <v>66</v>
      </c>
      <c r="I2672" s="50">
        <f>I2673+I2674+I2675+I2676+I2677+I2678</f>
        <v>6868854</v>
      </c>
      <c r="J2672" s="50">
        <f>J2673+J2674+J2675+J2676+J2677+J2678</f>
        <v>1583.63</v>
      </c>
      <c r="K2672" s="50">
        <f>K2673+K2674+K2675+K2676+K2677+K2678</f>
        <v>1583.63</v>
      </c>
    </row>
    <row r="2673" spans="1:11" ht="15.75" customHeight="1" x14ac:dyDescent="0.25">
      <c r="A2673" s="217"/>
      <c r="B2673" s="217"/>
      <c r="C2673" s="219"/>
      <c r="D2673" s="221"/>
      <c r="E2673" s="217"/>
      <c r="F2673" s="217"/>
      <c r="G2673" s="216" t="s">
        <v>170</v>
      </c>
      <c r="H2673" s="57" t="s">
        <v>171</v>
      </c>
      <c r="I2673" s="50">
        <v>2241647</v>
      </c>
      <c r="J2673" s="50">
        <f>I2673/D2672</f>
        <v>516.82000000000005</v>
      </c>
      <c r="K2673" s="50">
        <f>2241647/D2672</f>
        <v>516.82000000000005</v>
      </c>
    </row>
    <row r="2674" spans="1:11" ht="15.75" customHeight="1" x14ac:dyDescent="0.25">
      <c r="A2674" s="217"/>
      <c r="B2674" s="217"/>
      <c r="C2674" s="219"/>
      <c r="D2674" s="221"/>
      <c r="E2674" s="217"/>
      <c r="F2674" s="217"/>
      <c r="G2674" s="222"/>
      <c r="H2674" s="57" t="s">
        <v>69</v>
      </c>
      <c r="I2674" s="50">
        <v>47971</v>
      </c>
      <c r="J2674" s="50">
        <f>I2674/D2672</f>
        <v>11.06</v>
      </c>
      <c r="K2674" s="50">
        <f>47971/D2672</f>
        <v>11.06</v>
      </c>
    </row>
    <row r="2675" spans="1:11" ht="15.75" customHeight="1" x14ac:dyDescent="0.25">
      <c r="A2675" s="217"/>
      <c r="B2675" s="217"/>
      <c r="C2675" s="219"/>
      <c r="D2675" s="221"/>
      <c r="E2675" s="217"/>
      <c r="F2675" s="217"/>
      <c r="G2675" s="216" t="s">
        <v>173</v>
      </c>
      <c r="H2675" s="57" t="s">
        <v>171</v>
      </c>
      <c r="I2675" s="50">
        <v>2241647</v>
      </c>
      <c r="J2675" s="50">
        <f>I2675/D2672-0.01</f>
        <v>516.80999999999995</v>
      </c>
      <c r="K2675" s="50">
        <f>2241647/D2672-0.01</f>
        <v>516.80999999999995</v>
      </c>
    </row>
    <row r="2676" spans="1:11" ht="15.75" customHeight="1" x14ac:dyDescent="0.25">
      <c r="A2676" s="217"/>
      <c r="B2676" s="217"/>
      <c r="C2676" s="219"/>
      <c r="D2676" s="221"/>
      <c r="E2676" s="217"/>
      <c r="F2676" s="217"/>
      <c r="G2676" s="222"/>
      <c r="H2676" s="57" t="s">
        <v>69</v>
      </c>
      <c r="I2676" s="50">
        <v>47971</v>
      </c>
      <c r="J2676" s="50">
        <f>I2676/D2672</f>
        <v>11.06</v>
      </c>
      <c r="K2676" s="50">
        <f>47971/D2672</f>
        <v>11.06</v>
      </c>
    </row>
    <row r="2677" spans="1:11" ht="15.75" customHeight="1" x14ac:dyDescent="0.25">
      <c r="A2677" s="217"/>
      <c r="B2677" s="217"/>
      <c r="C2677" s="219"/>
      <c r="D2677" s="221"/>
      <c r="E2677" s="217"/>
      <c r="F2677" s="217"/>
      <c r="G2677" s="216" t="s">
        <v>174</v>
      </c>
      <c r="H2677" s="57" t="s">
        <v>171</v>
      </c>
      <c r="I2677" s="50">
        <v>2241647</v>
      </c>
      <c r="J2677" s="50">
        <f>I2677/D2672</f>
        <v>516.82000000000005</v>
      </c>
      <c r="K2677" s="50">
        <f>2241647/D2672</f>
        <v>516.82000000000005</v>
      </c>
    </row>
    <row r="2678" spans="1:11" ht="15.75" customHeight="1" x14ac:dyDescent="0.25">
      <c r="A2678" s="217"/>
      <c r="B2678" s="217"/>
      <c r="C2678" s="219"/>
      <c r="D2678" s="221"/>
      <c r="E2678" s="217"/>
      <c r="F2678" s="217"/>
      <c r="G2678" s="222"/>
      <c r="H2678" s="57" t="s">
        <v>69</v>
      </c>
      <c r="I2678" s="50">
        <v>47971</v>
      </c>
      <c r="J2678" s="50">
        <f>I2678/D2672</f>
        <v>11.06</v>
      </c>
      <c r="K2678" s="50">
        <f>47971/D2672</f>
        <v>11.06</v>
      </c>
    </row>
    <row r="2679" spans="1:11" x14ac:dyDescent="0.25">
      <c r="A2679" s="216">
        <f>A2672+1</f>
        <v>26</v>
      </c>
      <c r="B2679" s="216">
        <v>1242</v>
      </c>
      <c r="C2679" s="218" t="s">
        <v>198</v>
      </c>
      <c r="D2679" s="220">
        <v>10059.200000000001</v>
      </c>
      <c r="E2679" s="220" t="s">
        <v>64</v>
      </c>
      <c r="F2679" s="228">
        <v>9</v>
      </c>
      <c r="G2679" s="108"/>
      <c r="H2679" s="57" t="s">
        <v>66</v>
      </c>
      <c r="I2679" s="50">
        <f>I2680+I2681+I2682+I2683+I2684+I2685</f>
        <v>13709491.09</v>
      </c>
      <c r="J2679" s="50">
        <f>J2680+J2681+J2682+J2683+J2684+J2685</f>
        <v>1362.88</v>
      </c>
      <c r="K2679" s="50">
        <f>K2680+K2681+K2682+K2683+K2684+K2685</f>
        <v>3419</v>
      </c>
    </row>
    <row r="2680" spans="1:11" x14ac:dyDescent="0.25">
      <c r="A2680" s="217"/>
      <c r="B2680" s="217"/>
      <c r="C2680" s="219"/>
      <c r="D2680" s="217"/>
      <c r="E2680" s="221"/>
      <c r="F2680" s="229"/>
      <c r="G2680" s="216" t="s">
        <v>70</v>
      </c>
      <c r="H2680" s="57" t="s">
        <v>67</v>
      </c>
      <c r="I2680" s="50">
        <f>(12281670+69910+98965+6909)*1.02*1.2*0.7</f>
        <v>10673546.59</v>
      </c>
      <c r="J2680" s="50">
        <f>I2680/D2679</f>
        <v>1061.07</v>
      </c>
      <c r="K2680" s="50">
        <v>2292</v>
      </c>
    </row>
    <row r="2681" spans="1:11" x14ac:dyDescent="0.25">
      <c r="A2681" s="217"/>
      <c r="B2681" s="217"/>
      <c r="C2681" s="219"/>
      <c r="D2681" s="217"/>
      <c r="E2681" s="221"/>
      <c r="F2681" s="229"/>
      <c r="G2681" s="222"/>
      <c r="H2681" s="57" t="s">
        <v>69</v>
      </c>
      <c r="I2681" s="50">
        <f>15247923.7*0.0214</f>
        <v>326305.57</v>
      </c>
      <c r="J2681" s="50">
        <f>I2681/D2679</f>
        <v>32.44</v>
      </c>
      <c r="K2681" s="50">
        <v>49</v>
      </c>
    </row>
    <row r="2682" spans="1:11" x14ac:dyDescent="0.25">
      <c r="A2682" s="217"/>
      <c r="B2682" s="217"/>
      <c r="C2682" s="219"/>
      <c r="D2682" s="217"/>
      <c r="E2682" s="221"/>
      <c r="F2682" s="229"/>
      <c r="G2682" s="216" t="s">
        <v>71</v>
      </c>
      <c r="H2682" s="57" t="s">
        <v>67</v>
      </c>
      <c r="I2682" s="50">
        <f>(1166903)*1.02*1.2*0.7</f>
        <v>999802.49</v>
      </c>
      <c r="J2682" s="50">
        <f>I2682/D2679</f>
        <v>99.39</v>
      </c>
      <c r="K2682" s="50">
        <v>513</v>
      </c>
    </row>
    <row r="2683" spans="1:11" x14ac:dyDescent="0.25">
      <c r="A2683" s="217"/>
      <c r="B2683" s="217"/>
      <c r="C2683" s="219"/>
      <c r="D2683" s="217"/>
      <c r="E2683" s="221"/>
      <c r="F2683" s="229"/>
      <c r="G2683" s="222"/>
      <c r="H2683" s="57" t="s">
        <v>69</v>
      </c>
      <c r="I2683" s="50">
        <f>1428289.27*0.0214</f>
        <v>30565.39</v>
      </c>
      <c r="J2683" s="50">
        <f>I2683/D2679</f>
        <v>3.04</v>
      </c>
      <c r="K2683" s="50">
        <v>11</v>
      </c>
    </row>
    <row r="2684" spans="1:11" x14ac:dyDescent="0.25">
      <c r="A2684" s="217"/>
      <c r="B2684" s="217"/>
      <c r="C2684" s="219"/>
      <c r="D2684" s="217"/>
      <c r="E2684" s="221"/>
      <c r="F2684" s="229"/>
      <c r="G2684" s="216" t="s">
        <v>72</v>
      </c>
      <c r="H2684" s="57" t="s">
        <v>67</v>
      </c>
      <c r="I2684" s="50">
        <f>(1901793)*1.02*1.2*0.7</f>
        <v>1629456.24</v>
      </c>
      <c r="J2684" s="50">
        <f>I2684/D2679</f>
        <v>161.99</v>
      </c>
      <c r="K2684" s="50">
        <v>542</v>
      </c>
    </row>
    <row r="2685" spans="1:11" x14ac:dyDescent="0.25">
      <c r="A2685" s="222"/>
      <c r="B2685" s="222"/>
      <c r="C2685" s="226"/>
      <c r="D2685" s="222"/>
      <c r="E2685" s="227"/>
      <c r="F2685" s="230"/>
      <c r="G2685" s="222"/>
      <c r="H2685" s="57" t="s">
        <v>69</v>
      </c>
      <c r="I2685" s="50">
        <f>2327794.63*0.0214</f>
        <v>49814.81</v>
      </c>
      <c r="J2685" s="50">
        <f>I2685/D2679</f>
        <v>4.95</v>
      </c>
      <c r="K2685" s="50">
        <v>12</v>
      </c>
    </row>
    <row r="2686" spans="1:11" ht="15.75" customHeight="1" x14ac:dyDescent="0.25">
      <c r="A2686" s="216">
        <f>A2679+1</f>
        <v>27</v>
      </c>
      <c r="B2686" s="216">
        <v>1397</v>
      </c>
      <c r="C2686" s="218" t="s">
        <v>653</v>
      </c>
      <c r="D2686" s="220">
        <v>7809.1</v>
      </c>
      <c r="E2686" s="216" t="s">
        <v>68</v>
      </c>
      <c r="F2686" s="216">
        <v>9</v>
      </c>
      <c r="G2686" s="105"/>
      <c r="H2686" s="57" t="s">
        <v>66</v>
      </c>
      <c r="I2686" s="50">
        <f>I2687+I2688+I2689+I2690+I2691+I2692+I2693+I2694</f>
        <v>9158472</v>
      </c>
      <c r="J2686" s="50">
        <f>J2687+J2688+J2689+J2690+J2691+J2692+J2693+J2694</f>
        <v>1172.79</v>
      </c>
      <c r="K2686" s="50">
        <f>K2687+K2688+K2689+K2690+K2691+K2692+K2693+K2694</f>
        <v>1172.79</v>
      </c>
    </row>
    <row r="2687" spans="1:11" ht="15.75" customHeight="1" x14ac:dyDescent="0.25">
      <c r="A2687" s="217"/>
      <c r="B2687" s="217"/>
      <c r="C2687" s="219"/>
      <c r="D2687" s="221"/>
      <c r="E2687" s="217"/>
      <c r="F2687" s="217"/>
      <c r="G2687" s="216" t="s">
        <v>170</v>
      </c>
      <c r="H2687" s="57" t="s">
        <v>171</v>
      </c>
      <c r="I2687" s="50">
        <v>2241647</v>
      </c>
      <c r="J2687" s="50">
        <f>I2687/D2686</f>
        <v>287.06</v>
      </c>
      <c r="K2687" s="50">
        <f>2241647/D2686</f>
        <v>287.06</v>
      </c>
    </row>
    <row r="2688" spans="1:11" ht="15.75" customHeight="1" x14ac:dyDescent="0.25">
      <c r="A2688" s="217"/>
      <c r="B2688" s="217"/>
      <c r="C2688" s="219"/>
      <c r="D2688" s="221"/>
      <c r="E2688" s="217"/>
      <c r="F2688" s="217"/>
      <c r="G2688" s="222"/>
      <c r="H2688" s="57" t="s">
        <v>69</v>
      </c>
      <c r="I2688" s="50">
        <v>47971</v>
      </c>
      <c r="J2688" s="50">
        <f>I2688/D2686</f>
        <v>6.14</v>
      </c>
      <c r="K2688" s="50">
        <f>47971/D2686</f>
        <v>6.14</v>
      </c>
    </row>
    <row r="2689" spans="1:11" ht="15.75" customHeight="1" x14ac:dyDescent="0.25">
      <c r="A2689" s="217"/>
      <c r="B2689" s="217"/>
      <c r="C2689" s="219"/>
      <c r="D2689" s="221"/>
      <c r="E2689" s="217"/>
      <c r="F2689" s="217"/>
      <c r="G2689" s="216" t="s">
        <v>173</v>
      </c>
      <c r="H2689" s="57" t="s">
        <v>171</v>
      </c>
      <c r="I2689" s="50">
        <v>2241647</v>
      </c>
      <c r="J2689" s="50">
        <f>I2689/D2686</f>
        <v>287.06</v>
      </c>
      <c r="K2689" s="50">
        <f>2241647/D2686</f>
        <v>287.06</v>
      </c>
    </row>
    <row r="2690" spans="1:11" ht="15.75" customHeight="1" x14ac:dyDescent="0.25">
      <c r="A2690" s="217"/>
      <c r="B2690" s="217"/>
      <c r="C2690" s="219"/>
      <c r="D2690" s="221"/>
      <c r="E2690" s="217"/>
      <c r="F2690" s="217"/>
      <c r="G2690" s="222"/>
      <c r="H2690" s="57" t="s">
        <v>69</v>
      </c>
      <c r="I2690" s="50">
        <v>47971</v>
      </c>
      <c r="J2690" s="50">
        <f>I2690/D2686</f>
        <v>6.14</v>
      </c>
      <c r="K2690" s="50">
        <f>47971/D2686</f>
        <v>6.14</v>
      </c>
    </row>
    <row r="2691" spans="1:11" ht="15.75" customHeight="1" x14ac:dyDescent="0.25">
      <c r="A2691" s="217"/>
      <c r="B2691" s="217"/>
      <c r="C2691" s="219"/>
      <c r="D2691" s="221"/>
      <c r="E2691" s="217"/>
      <c r="F2691" s="217"/>
      <c r="G2691" s="216" t="s">
        <v>174</v>
      </c>
      <c r="H2691" s="57" t="s">
        <v>171</v>
      </c>
      <c r="I2691" s="50">
        <v>2241647</v>
      </c>
      <c r="J2691" s="50">
        <f>I2691/D2686-0.01</f>
        <v>287.05</v>
      </c>
      <c r="K2691" s="50">
        <f>2241647/D2686-0.01</f>
        <v>287.05</v>
      </c>
    </row>
    <row r="2692" spans="1:11" ht="15.75" customHeight="1" x14ac:dyDescent="0.25">
      <c r="A2692" s="217"/>
      <c r="B2692" s="217"/>
      <c r="C2692" s="219"/>
      <c r="D2692" s="221"/>
      <c r="E2692" s="217"/>
      <c r="F2692" s="217"/>
      <c r="G2692" s="222"/>
      <c r="H2692" s="57" t="s">
        <v>69</v>
      </c>
      <c r="I2692" s="50">
        <v>47971</v>
      </c>
      <c r="J2692" s="50">
        <f>I2692/D2686</f>
        <v>6.14</v>
      </c>
      <c r="K2692" s="50">
        <f>47971/D2686</f>
        <v>6.14</v>
      </c>
    </row>
    <row r="2693" spans="1:11" ht="15.75" customHeight="1" x14ac:dyDescent="0.25">
      <c r="A2693" s="217"/>
      <c r="B2693" s="217"/>
      <c r="C2693" s="219"/>
      <c r="D2693" s="221"/>
      <c r="E2693" s="217"/>
      <c r="F2693" s="217"/>
      <c r="G2693" s="216" t="s">
        <v>175</v>
      </c>
      <c r="H2693" s="57" t="s">
        <v>171</v>
      </c>
      <c r="I2693" s="50">
        <v>2241647</v>
      </c>
      <c r="J2693" s="50">
        <f>I2693/D2686</f>
        <v>287.06</v>
      </c>
      <c r="K2693" s="50">
        <f>2241647/D2686</f>
        <v>287.06</v>
      </c>
    </row>
    <row r="2694" spans="1:11" ht="15.75" customHeight="1" x14ac:dyDescent="0.25">
      <c r="A2694" s="217"/>
      <c r="B2694" s="217"/>
      <c r="C2694" s="219"/>
      <c r="D2694" s="221"/>
      <c r="E2694" s="217"/>
      <c r="F2694" s="217"/>
      <c r="G2694" s="222"/>
      <c r="H2694" s="57" t="s">
        <v>69</v>
      </c>
      <c r="I2694" s="50">
        <v>47971</v>
      </c>
      <c r="J2694" s="50">
        <f>I2694/D2686</f>
        <v>6.14</v>
      </c>
      <c r="K2694" s="50">
        <f>47971/D2686</f>
        <v>6.14</v>
      </c>
    </row>
    <row r="2695" spans="1:11" x14ac:dyDescent="0.25">
      <c r="A2695" s="215">
        <f>A2686+1</f>
        <v>28</v>
      </c>
      <c r="B2695" s="215">
        <v>1279</v>
      </c>
      <c r="C2695" s="223" t="s">
        <v>374</v>
      </c>
      <c r="D2695" s="224">
        <v>4031.2</v>
      </c>
      <c r="E2695" s="224" t="s">
        <v>68</v>
      </c>
      <c r="F2695" s="225">
        <v>5</v>
      </c>
      <c r="G2695" s="215" t="s">
        <v>65</v>
      </c>
      <c r="H2695" s="57" t="s">
        <v>66</v>
      </c>
      <c r="I2695" s="50">
        <f>I2696+I2697</f>
        <v>15632993.6</v>
      </c>
      <c r="J2695" s="50">
        <f>J2696+J2697</f>
        <v>3878</v>
      </c>
      <c r="K2695" s="50">
        <f>K2696+K2697</f>
        <v>3878</v>
      </c>
    </row>
    <row r="2696" spans="1:11" x14ac:dyDescent="0.25">
      <c r="A2696" s="215">
        <v>77</v>
      </c>
      <c r="B2696" s="215"/>
      <c r="C2696" s="223"/>
      <c r="D2696" s="215"/>
      <c r="E2696" s="224"/>
      <c r="F2696" s="225"/>
      <c r="G2696" s="215"/>
      <c r="H2696" s="57" t="s">
        <v>67</v>
      </c>
      <c r="I2696" s="50">
        <f>D2695*K2696</f>
        <v>15306466.4</v>
      </c>
      <c r="J2696" s="50">
        <f>I2696/D2695</f>
        <v>3797</v>
      </c>
      <c r="K2696" s="50">
        <v>3797</v>
      </c>
    </row>
    <row r="2697" spans="1:11" x14ac:dyDescent="0.25">
      <c r="A2697" s="215"/>
      <c r="B2697" s="215"/>
      <c r="C2697" s="223"/>
      <c r="D2697" s="215"/>
      <c r="E2697" s="224"/>
      <c r="F2697" s="225"/>
      <c r="G2697" s="215"/>
      <c r="H2697" s="57" t="s">
        <v>69</v>
      </c>
      <c r="I2697" s="50">
        <f>D2695*K2697</f>
        <v>326527.2</v>
      </c>
      <c r="J2697" s="50">
        <f>I2697/D2695</f>
        <v>81</v>
      </c>
      <c r="K2697" s="50">
        <v>81</v>
      </c>
    </row>
    <row r="2698" spans="1:11" ht="15.75" customHeight="1" x14ac:dyDescent="0.25">
      <c r="A2698" s="215">
        <f>A2695+1</f>
        <v>29</v>
      </c>
      <c r="B2698" s="215">
        <v>1020</v>
      </c>
      <c r="C2698" s="223" t="s">
        <v>654</v>
      </c>
      <c r="D2698" s="224">
        <v>2062.31</v>
      </c>
      <c r="E2698" s="224" t="s">
        <v>68</v>
      </c>
      <c r="F2698" s="225">
        <v>3</v>
      </c>
      <c r="G2698" s="215" t="s">
        <v>74</v>
      </c>
      <c r="H2698" s="57" t="s">
        <v>66</v>
      </c>
      <c r="I2698" s="50">
        <f>I2699+I2700</f>
        <v>746556.22</v>
      </c>
      <c r="J2698" s="50">
        <f>J2699+J2700</f>
        <v>362</v>
      </c>
      <c r="K2698" s="50">
        <f>K2699+K2700</f>
        <v>362</v>
      </c>
    </row>
    <row r="2699" spans="1:11" ht="15.75" customHeight="1" x14ac:dyDescent="0.25">
      <c r="A2699" s="215"/>
      <c r="B2699" s="215"/>
      <c r="C2699" s="223"/>
      <c r="D2699" s="224"/>
      <c r="E2699" s="224"/>
      <c r="F2699" s="225"/>
      <c r="G2699" s="215"/>
      <c r="H2699" s="57" t="s">
        <v>67</v>
      </c>
      <c r="I2699" s="50">
        <f>K2699*D2698</f>
        <v>730057.74</v>
      </c>
      <c r="J2699" s="50">
        <f>I2699/D2698</f>
        <v>354</v>
      </c>
      <c r="K2699" s="50">
        <v>354</v>
      </c>
    </row>
    <row r="2700" spans="1:11" ht="15.75" customHeight="1" x14ac:dyDescent="0.25">
      <c r="A2700" s="215"/>
      <c r="B2700" s="215"/>
      <c r="C2700" s="223"/>
      <c r="D2700" s="224"/>
      <c r="E2700" s="224"/>
      <c r="F2700" s="225"/>
      <c r="G2700" s="215"/>
      <c r="H2700" s="57" t="s">
        <v>69</v>
      </c>
      <c r="I2700" s="50">
        <f>D2698*K2700</f>
        <v>16498.48</v>
      </c>
      <c r="J2700" s="50">
        <f>I2700/D2698</f>
        <v>8</v>
      </c>
      <c r="K2700" s="50">
        <v>8</v>
      </c>
    </row>
    <row r="2701" spans="1:11" x14ac:dyDescent="0.25">
      <c r="A2701" s="215">
        <f>A2698+1</f>
        <v>30</v>
      </c>
      <c r="B2701" s="215">
        <v>1417</v>
      </c>
      <c r="C2701" s="223" t="s">
        <v>375</v>
      </c>
      <c r="D2701" s="224">
        <v>37493.51</v>
      </c>
      <c r="E2701" s="224" t="s">
        <v>64</v>
      </c>
      <c r="F2701" s="225">
        <v>10</v>
      </c>
      <c r="G2701" s="215" t="s">
        <v>65</v>
      </c>
      <c r="H2701" s="57" t="s">
        <v>66</v>
      </c>
      <c r="I2701" s="50">
        <f>I2702+I2703</f>
        <v>93433826.920000002</v>
      </c>
      <c r="J2701" s="50">
        <f>J2702+J2703</f>
        <v>2492</v>
      </c>
      <c r="K2701" s="50">
        <f>K2702+K2703</f>
        <v>2492</v>
      </c>
    </row>
    <row r="2702" spans="1:11" x14ac:dyDescent="0.25">
      <c r="A2702" s="215">
        <v>77</v>
      </c>
      <c r="B2702" s="215"/>
      <c r="C2702" s="223"/>
      <c r="D2702" s="215"/>
      <c r="E2702" s="224"/>
      <c r="F2702" s="225"/>
      <c r="G2702" s="215"/>
      <c r="H2702" s="57" t="s">
        <v>67</v>
      </c>
      <c r="I2702" s="50">
        <f>D2701*K2702</f>
        <v>91484164.400000006</v>
      </c>
      <c r="J2702" s="50">
        <f>I2702/D2701</f>
        <v>2440</v>
      </c>
      <c r="K2702" s="50">
        <v>2440</v>
      </c>
    </row>
    <row r="2703" spans="1:11" x14ac:dyDescent="0.25">
      <c r="A2703" s="215"/>
      <c r="B2703" s="215"/>
      <c r="C2703" s="223"/>
      <c r="D2703" s="215"/>
      <c r="E2703" s="224"/>
      <c r="F2703" s="225"/>
      <c r="G2703" s="215"/>
      <c r="H2703" s="57" t="s">
        <v>69</v>
      </c>
      <c r="I2703" s="50">
        <f>D2701*K2703</f>
        <v>1949662.52</v>
      </c>
      <c r="J2703" s="50">
        <f>I2703/D2701</f>
        <v>52</v>
      </c>
      <c r="K2703" s="50">
        <v>52</v>
      </c>
    </row>
    <row r="2704" spans="1:11" x14ac:dyDescent="0.25">
      <c r="A2704" s="215">
        <f>A2701+1</f>
        <v>31</v>
      </c>
      <c r="B2704" s="215">
        <v>1362</v>
      </c>
      <c r="C2704" s="223" t="s">
        <v>199</v>
      </c>
      <c r="D2704" s="224">
        <v>16594.099999999999</v>
      </c>
      <c r="E2704" s="224" t="s">
        <v>64</v>
      </c>
      <c r="F2704" s="225">
        <v>9</v>
      </c>
      <c r="G2704" s="215" t="s">
        <v>70</v>
      </c>
      <c r="H2704" s="57" t="s">
        <v>66</v>
      </c>
      <c r="I2704" s="50">
        <f>I2705+I2706</f>
        <v>19079896.18</v>
      </c>
      <c r="J2704" s="50">
        <f>J2705+J2706</f>
        <v>1149.8</v>
      </c>
      <c r="K2704" s="50">
        <f>K2705+K2706</f>
        <v>1628</v>
      </c>
    </row>
    <row r="2705" spans="1:11" x14ac:dyDescent="0.25">
      <c r="A2705" s="215">
        <v>75</v>
      </c>
      <c r="B2705" s="215"/>
      <c r="C2705" s="223"/>
      <c r="D2705" s="215"/>
      <c r="E2705" s="224"/>
      <c r="F2705" s="225"/>
      <c r="G2705" s="215"/>
      <c r="H2705" s="57" t="s">
        <v>67</v>
      </c>
      <c r="I2705" s="50">
        <f>D2704*K2705*0.7</f>
        <v>18515696.780000001</v>
      </c>
      <c r="J2705" s="50">
        <f>I2705/D2704</f>
        <v>1115.8</v>
      </c>
      <c r="K2705" s="50">
        <v>1594</v>
      </c>
    </row>
    <row r="2706" spans="1:11" x14ac:dyDescent="0.25">
      <c r="A2706" s="215"/>
      <c r="B2706" s="215"/>
      <c r="C2706" s="223"/>
      <c r="D2706" s="215"/>
      <c r="E2706" s="224"/>
      <c r="F2706" s="225"/>
      <c r="G2706" s="215"/>
      <c r="H2706" s="57" t="s">
        <v>69</v>
      </c>
      <c r="I2706" s="50">
        <f>D2704*K2706</f>
        <v>564199.4</v>
      </c>
      <c r="J2706" s="50">
        <f>I2706/D2704</f>
        <v>34</v>
      </c>
      <c r="K2706" s="50">
        <v>34</v>
      </c>
    </row>
    <row r="2707" spans="1:11" x14ac:dyDescent="0.25">
      <c r="A2707" s="215">
        <f>A2704+1</f>
        <v>32</v>
      </c>
      <c r="B2707" s="215">
        <v>1628</v>
      </c>
      <c r="C2707" s="223" t="s">
        <v>104</v>
      </c>
      <c r="D2707" s="224">
        <v>6113.76</v>
      </c>
      <c r="E2707" s="224" t="s">
        <v>68</v>
      </c>
      <c r="F2707" s="225">
        <v>5</v>
      </c>
      <c r="G2707" s="215" t="s">
        <v>65</v>
      </c>
      <c r="H2707" s="57" t="s">
        <v>66</v>
      </c>
      <c r="I2707" s="50">
        <f>I2708+I2709</f>
        <v>18173742.350000001</v>
      </c>
      <c r="J2707" s="50">
        <f>J2708+J2709</f>
        <v>2972.6</v>
      </c>
      <c r="K2707" s="50">
        <f>K2708+K2709</f>
        <v>3878</v>
      </c>
    </row>
    <row r="2708" spans="1:11" x14ac:dyDescent="0.25">
      <c r="A2708" s="215">
        <v>77</v>
      </c>
      <c r="B2708" s="215"/>
      <c r="C2708" s="223"/>
      <c r="D2708" s="215"/>
      <c r="E2708" s="224"/>
      <c r="F2708" s="225"/>
      <c r="G2708" s="215"/>
      <c r="H2708" s="57" t="s">
        <v>67</v>
      </c>
      <c r="I2708" s="50">
        <f>(1570943+12602737+2244+360818.43)*1.02*1.2</f>
        <v>17792972.73</v>
      </c>
      <c r="J2708" s="50">
        <f>I2708/D2707</f>
        <v>2910.32</v>
      </c>
      <c r="K2708" s="50">
        <v>3797</v>
      </c>
    </row>
    <row r="2709" spans="1:11" x14ac:dyDescent="0.25">
      <c r="A2709" s="215"/>
      <c r="B2709" s="215"/>
      <c r="C2709" s="223"/>
      <c r="D2709" s="215"/>
      <c r="E2709" s="224"/>
      <c r="F2709" s="225"/>
      <c r="G2709" s="215"/>
      <c r="H2709" s="57" t="s">
        <v>69</v>
      </c>
      <c r="I2709" s="50">
        <f>I2708*0.0214</f>
        <v>380769.62</v>
      </c>
      <c r="J2709" s="50">
        <f>I2709/D2707</f>
        <v>62.28</v>
      </c>
      <c r="K2709" s="50">
        <v>81</v>
      </c>
    </row>
    <row r="2710" spans="1:11" x14ac:dyDescent="0.25">
      <c r="A2710" s="215">
        <f>A2707+1</f>
        <v>33</v>
      </c>
      <c r="B2710" s="215">
        <v>1473</v>
      </c>
      <c r="C2710" s="223" t="s">
        <v>200</v>
      </c>
      <c r="D2710" s="224">
        <v>16898</v>
      </c>
      <c r="E2710" s="224" t="s">
        <v>68</v>
      </c>
      <c r="F2710" s="225">
        <v>10</v>
      </c>
      <c r="G2710" s="215" t="s">
        <v>65</v>
      </c>
      <c r="H2710" s="57" t="s">
        <v>66</v>
      </c>
      <c r="I2710" s="50">
        <f>I2711+I2712</f>
        <v>42109816</v>
      </c>
      <c r="J2710" s="50">
        <f>J2711+J2712</f>
        <v>2492</v>
      </c>
      <c r="K2710" s="50">
        <f>K2711+K2712</f>
        <v>2492</v>
      </c>
    </row>
    <row r="2711" spans="1:11" x14ac:dyDescent="0.25">
      <c r="A2711" s="215">
        <v>77</v>
      </c>
      <c r="B2711" s="215"/>
      <c r="C2711" s="223"/>
      <c r="D2711" s="215"/>
      <c r="E2711" s="224"/>
      <c r="F2711" s="225"/>
      <c r="G2711" s="215"/>
      <c r="H2711" s="57" t="s">
        <v>67</v>
      </c>
      <c r="I2711" s="50">
        <f>D2710*K2711</f>
        <v>41231120</v>
      </c>
      <c r="J2711" s="50">
        <f>I2711/D2710</f>
        <v>2440</v>
      </c>
      <c r="K2711" s="50">
        <v>2440</v>
      </c>
    </row>
    <row r="2712" spans="1:11" x14ac:dyDescent="0.25">
      <c r="A2712" s="215"/>
      <c r="B2712" s="215"/>
      <c r="C2712" s="223"/>
      <c r="D2712" s="215"/>
      <c r="E2712" s="224"/>
      <c r="F2712" s="225"/>
      <c r="G2712" s="215"/>
      <c r="H2712" s="57" t="s">
        <v>69</v>
      </c>
      <c r="I2712" s="50">
        <f>D2710*K2712</f>
        <v>878696</v>
      </c>
      <c r="J2712" s="50">
        <f>I2712/D2710</f>
        <v>52</v>
      </c>
      <c r="K2712" s="50">
        <v>52</v>
      </c>
    </row>
    <row r="2713" spans="1:11" ht="15.75" customHeight="1" x14ac:dyDescent="0.25">
      <c r="A2713" s="215">
        <f>A2710+1</f>
        <v>34</v>
      </c>
      <c r="B2713" s="215">
        <v>3379</v>
      </c>
      <c r="C2713" s="223" t="s">
        <v>655</v>
      </c>
      <c r="D2713" s="224">
        <v>1879.46</v>
      </c>
      <c r="E2713" s="224" t="s">
        <v>73</v>
      </c>
      <c r="F2713" s="225">
        <v>3</v>
      </c>
      <c r="G2713" s="215" t="s">
        <v>65</v>
      </c>
      <c r="H2713" s="57" t="s">
        <v>66</v>
      </c>
      <c r="I2713" s="50">
        <f>I2714+I2715</f>
        <v>9667942.2400000002</v>
      </c>
      <c r="J2713" s="50">
        <f>J2714+J2715</f>
        <v>5144</v>
      </c>
      <c r="K2713" s="50">
        <f>K2714+K2715</f>
        <v>5144</v>
      </c>
    </row>
    <row r="2714" spans="1:11" ht="15.75" customHeight="1" x14ac:dyDescent="0.25">
      <c r="A2714" s="215">
        <v>77</v>
      </c>
      <c r="B2714" s="215"/>
      <c r="C2714" s="223"/>
      <c r="D2714" s="215"/>
      <c r="E2714" s="224"/>
      <c r="F2714" s="225"/>
      <c r="G2714" s="215"/>
      <c r="H2714" s="57" t="s">
        <v>67</v>
      </c>
      <c r="I2714" s="50">
        <f>D2713*K2714</f>
        <v>9464960.5600000005</v>
      </c>
      <c r="J2714" s="50">
        <f>I2714/D2713</f>
        <v>5036</v>
      </c>
      <c r="K2714" s="50">
        <v>5036</v>
      </c>
    </row>
    <row r="2715" spans="1:11" ht="15.75" customHeight="1" x14ac:dyDescent="0.25">
      <c r="A2715" s="215"/>
      <c r="B2715" s="215"/>
      <c r="C2715" s="223"/>
      <c r="D2715" s="215"/>
      <c r="E2715" s="224"/>
      <c r="F2715" s="225"/>
      <c r="G2715" s="215"/>
      <c r="H2715" s="57" t="s">
        <v>69</v>
      </c>
      <c r="I2715" s="50">
        <f>K2715*D2713</f>
        <v>202981.68</v>
      </c>
      <c r="J2715" s="50">
        <f>I2715/D2713</f>
        <v>108</v>
      </c>
      <c r="K2715" s="50">
        <v>108</v>
      </c>
    </row>
    <row r="2716" spans="1:11" ht="15.75" customHeight="1" x14ac:dyDescent="0.25">
      <c r="A2716" s="216">
        <f>A2713+1</f>
        <v>35</v>
      </c>
      <c r="B2716" s="216">
        <v>3081</v>
      </c>
      <c r="C2716" s="218" t="s">
        <v>656</v>
      </c>
      <c r="D2716" s="220">
        <v>12256.9</v>
      </c>
      <c r="E2716" s="216" t="s">
        <v>68</v>
      </c>
      <c r="F2716" s="216">
        <v>9</v>
      </c>
      <c r="G2716" s="105"/>
      <c r="H2716" s="57" t="s">
        <v>66</v>
      </c>
      <c r="I2716" s="50">
        <f>I2717+I2718+I2719+I2720+I2721+I2722</f>
        <v>6868854</v>
      </c>
      <c r="J2716" s="50">
        <f>J2717+J2718+J2719+J2720+J2721+J2722</f>
        <v>560.41</v>
      </c>
      <c r="K2716" s="50">
        <f>K2717+K2718+K2719+K2720+K2721+K2722</f>
        <v>560.41</v>
      </c>
    </row>
    <row r="2717" spans="1:11" ht="15.75" customHeight="1" x14ac:dyDescent="0.25">
      <c r="A2717" s="217"/>
      <c r="B2717" s="217"/>
      <c r="C2717" s="219"/>
      <c r="D2717" s="221"/>
      <c r="E2717" s="217"/>
      <c r="F2717" s="217"/>
      <c r="G2717" s="216" t="s">
        <v>175</v>
      </c>
      <c r="H2717" s="57" t="s">
        <v>171</v>
      </c>
      <c r="I2717" s="50">
        <v>2241647</v>
      </c>
      <c r="J2717" s="50">
        <f>I2717/D2716</f>
        <v>182.89</v>
      </c>
      <c r="K2717" s="50">
        <f>2241647/D2716</f>
        <v>182.89</v>
      </c>
    </row>
    <row r="2718" spans="1:11" ht="15.75" customHeight="1" x14ac:dyDescent="0.25">
      <c r="A2718" s="217"/>
      <c r="B2718" s="217"/>
      <c r="C2718" s="219"/>
      <c r="D2718" s="221"/>
      <c r="E2718" s="217"/>
      <c r="F2718" s="217"/>
      <c r="G2718" s="222"/>
      <c r="H2718" s="57" t="s">
        <v>69</v>
      </c>
      <c r="I2718" s="50">
        <v>47971</v>
      </c>
      <c r="J2718" s="50">
        <f>I2718/D2716</f>
        <v>3.91</v>
      </c>
      <c r="K2718" s="50">
        <f>47971/D2716</f>
        <v>3.91</v>
      </c>
    </row>
    <row r="2719" spans="1:11" ht="15.75" customHeight="1" x14ac:dyDescent="0.25">
      <c r="A2719" s="217"/>
      <c r="B2719" s="217"/>
      <c r="C2719" s="219"/>
      <c r="D2719" s="221"/>
      <c r="E2719" s="217"/>
      <c r="F2719" s="217"/>
      <c r="G2719" s="216" t="s">
        <v>172</v>
      </c>
      <c r="H2719" s="57" t="s">
        <v>171</v>
      </c>
      <c r="I2719" s="50">
        <v>2241647</v>
      </c>
      <c r="J2719" s="50">
        <f>I2719/D2716+0.01</f>
        <v>182.9</v>
      </c>
      <c r="K2719" s="50">
        <f>2241647/D2716+0.01</f>
        <v>182.9</v>
      </c>
    </row>
    <row r="2720" spans="1:11" ht="15.75" customHeight="1" x14ac:dyDescent="0.25">
      <c r="A2720" s="217"/>
      <c r="B2720" s="217"/>
      <c r="C2720" s="219"/>
      <c r="D2720" s="221"/>
      <c r="E2720" s="217"/>
      <c r="F2720" s="217"/>
      <c r="G2720" s="222"/>
      <c r="H2720" s="57" t="s">
        <v>69</v>
      </c>
      <c r="I2720" s="50">
        <v>47971</v>
      </c>
      <c r="J2720" s="50">
        <f>I2720/D2716</f>
        <v>3.91</v>
      </c>
      <c r="K2720" s="50">
        <f>47971/D2716</f>
        <v>3.91</v>
      </c>
    </row>
    <row r="2721" spans="1:11" ht="15.75" customHeight="1" x14ac:dyDescent="0.25">
      <c r="A2721" s="217"/>
      <c r="B2721" s="217"/>
      <c r="C2721" s="219"/>
      <c r="D2721" s="221"/>
      <c r="E2721" s="217"/>
      <c r="F2721" s="217"/>
      <c r="G2721" s="216" t="s">
        <v>444</v>
      </c>
      <c r="H2721" s="57" t="s">
        <v>171</v>
      </c>
      <c r="I2721" s="50">
        <v>2241647</v>
      </c>
      <c r="J2721" s="50">
        <f>I2721/D2716</f>
        <v>182.89</v>
      </c>
      <c r="K2721" s="50">
        <f>2241647/D2716</f>
        <v>182.89</v>
      </c>
    </row>
    <row r="2722" spans="1:11" ht="15.75" customHeight="1" x14ac:dyDescent="0.25">
      <c r="A2722" s="217"/>
      <c r="B2722" s="217"/>
      <c r="C2722" s="219"/>
      <c r="D2722" s="221"/>
      <c r="E2722" s="217"/>
      <c r="F2722" s="217"/>
      <c r="G2722" s="222"/>
      <c r="H2722" s="57" t="s">
        <v>69</v>
      </c>
      <c r="I2722" s="50">
        <v>47971</v>
      </c>
      <c r="J2722" s="50">
        <f>I2722/D2716</f>
        <v>3.91</v>
      </c>
      <c r="K2722" s="50">
        <f>47971/D2716</f>
        <v>3.91</v>
      </c>
    </row>
    <row r="2723" spans="1:11" ht="15.75" customHeight="1" x14ac:dyDescent="0.25">
      <c r="A2723" s="216">
        <f>A2716+1</f>
        <v>36</v>
      </c>
      <c r="B2723" s="216">
        <v>4374</v>
      </c>
      <c r="C2723" s="218" t="s">
        <v>657</v>
      </c>
      <c r="D2723" s="220">
        <v>6931.5</v>
      </c>
      <c r="E2723" s="216" t="s">
        <v>64</v>
      </c>
      <c r="F2723" s="216">
        <v>10</v>
      </c>
      <c r="G2723" s="105"/>
      <c r="H2723" s="57" t="s">
        <v>66</v>
      </c>
      <c r="I2723" s="50">
        <f>I2724+I2725+I2726+I2727+I2728+I2729</f>
        <v>6868854</v>
      </c>
      <c r="J2723" s="50">
        <f>J2724+J2725+J2726+J2727+J2728+J2729</f>
        <v>990.96</v>
      </c>
      <c r="K2723" s="50">
        <f>K2724+K2725+K2726+K2727+K2728+K2729</f>
        <v>990.96</v>
      </c>
    </row>
    <row r="2724" spans="1:11" ht="15.75" customHeight="1" x14ac:dyDescent="0.25">
      <c r="A2724" s="217"/>
      <c r="B2724" s="217"/>
      <c r="C2724" s="219"/>
      <c r="D2724" s="221"/>
      <c r="E2724" s="217"/>
      <c r="F2724" s="217"/>
      <c r="G2724" s="217" t="s">
        <v>170</v>
      </c>
      <c r="H2724" s="57" t="s">
        <v>171</v>
      </c>
      <c r="I2724" s="50">
        <v>2241647</v>
      </c>
      <c r="J2724" s="50">
        <f>I2724/D2723</f>
        <v>323.39999999999998</v>
      </c>
      <c r="K2724" s="50">
        <f>2241647/D2723</f>
        <v>323.39999999999998</v>
      </c>
    </row>
    <row r="2725" spans="1:11" ht="15.75" customHeight="1" x14ac:dyDescent="0.25">
      <c r="A2725" s="217"/>
      <c r="B2725" s="217"/>
      <c r="C2725" s="219"/>
      <c r="D2725" s="221"/>
      <c r="E2725" s="217"/>
      <c r="F2725" s="217"/>
      <c r="G2725" s="222"/>
      <c r="H2725" s="57" t="s">
        <v>69</v>
      </c>
      <c r="I2725" s="50">
        <v>47971</v>
      </c>
      <c r="J2725" s="50">
        <f>I2725/D2723</f>
        <v>6.92</v>
      </c>
      <c r="K2725" s="50">
        <f>47971/D2723</f>
        <v>6.92</v>
      </c>
    </row>
    <row r="2726" spans="1:11" ht="15.75" customHeight="1" x14ac:dyDescent="0.25">
      <c r="A2726" s="217"/>
      <c r="B2726" s="217"/>
      <c r="C2726" s="219"/>
      <c r="D2726" s="221"/>
      <c r="E2726" s="217"/>
      <c r="F2726" s="217"/>
      <c r="G2726" s="217" t="s">
        <v>173</v>
      </c>
      <c r="H2726" s="57" t="s">
        <v>171</v>
      </c>
      <c r="I2726" s="50">
        <v>2241647</v>
      </c>
      <c r="J2726" s="50">
        <f>I2726/D2723</f>
        <v>323.39999999999998</v>
      </c>
      <c r="K2726" s="50">
        <f>2241647/D2723</f>
        <v>323.39999999999998</v>
      </c>
    </row>
    <row r="2727" spans="1:11" ht="15.75" customHeight="1" x14ac:dyDescent="0.25">
      <c r="A2727" s="217"/>
      <c r="B2727" s="217"/>
      <c r="C2727" s="219"/>
      <c r="D2727" s="221"/>
      <c r="E2727" s="217"/>
      <c r="F2727" s="217"/>
      <c r="G2727" s="222"/>
      <c r="H2727" s="57" t="s">
        <v>69</v>
      </c>
      <c r="I2727" s="50">
        <v>47971</v>
      </c>
      <c r="J2727" s="50">
        <f>I2727/D2723</f>
        <v>6.92</v>
      </c>
      <c r="K2727" s="50">
        <f>47971/D2723</f>
        <v>6.92</v>
      </c>
    </row>
    <row r="2728" spans="1:11" ht="15.75" customHeight="1" x14ac:dyDescent="0.25">
      <c r="A2728" s="217"/>
      <c r="B2728" s="217"/>
      <c r="C2728" s="219"/>
      <c r="D2728" s="221"/>
      <c r="E2728" s="217"/>
      <c r="F2728" s="217"/>
      <c r="G2728" s="217" t="s">
        <v>174</v>
      </c>
      <c r="H2728" s="57" t="s">
        <v>171</v>
      </c>
      <c r="I2728" s="50">
        <v>2241647</v>
      </c>
      <c r="J2728" s="50">
        <f>I2728/D2723</f>
        <v>323.39999999999998</v>
      </c>
      <c r="K2728" s="50">
        <f>2241647/D2723</f>
        <v>323.39999999999998</v>
      </c>
    </row>
    <row r="2729" spans="1:11" ht="15.75" customHeight="1" x14ac:dyDescent="0.25">
      <c r="A2729" s="217"/>
      <c r="B2729" s="217"/>
      <c r="C2729" s="219"/>
      <c r="D2729" s="221"/>
      <c r="E2729" s="217"/>
      <c r="F2729" s="217"/>
      <c r="G2729" s="222"/>
      <c r="H2729" s="57" t="s">
        <v>69</v>
      </c>
      <c r="I2729" s="50">
        <v>47971</v>
      </c>
      <c r="J2729" s="50">
        <f>I2729/D2723</f>
        <v>6.92</v>
      </c>
      <c r="K2729" s="50">
        <f>47971/D2723</f>
        <v>6.92</v>
      </c>
    </row>
    <row r="2730" spans="1:11" x14ac:dyDescent="0.25">
      <c r="A2730" s="215">
        <f>A2723+1</f>
        <v>37</v>
      </c>
      <c r="B2730" s="215">
        <v>4329</v>
      </c>
      <c r="C2730" s="223" t="s">
        <v>109</v>
      </c>
      <c r="D2730" s="224">
        <v>7336.1</v>
      </c>
      <c r="E2730" s="224" t="s">
        <v>64</v>
      </c>
      <c r="F2730" s="225">
        <v>10</v>
      </c>
      <c r="G2730" s="215" t="s">
        <v>65</v>
      </c>
      <c r="H2730" s="57" t="s">
        <v>66</v>
      </c>
      <c r="I2730" s="50">
        <f>I2731+I2732</f>
        <v>15249632.75</v>
      </c>
      <c r="J2730" s="50">
        <f>J2731+J2732</f>
        <v>2078.71</v>
      </c>
      <c r="K2730" s="50">
        <f>K2731+K2732</f>
        <v>2492</v>
      </c>
    </row>
    <row r="2731" spans="1:11" x14ac:dyDescent="0.25">
      <c r="A2731" s="215">
        <v>77</v>
      </c>
      <c r="B2731" s="215"/>
      <c r="C2731" s="223"/>
      <c r="D2731" s="215"/>
      <c r="E2731" s="224"/>
      <c r="F2731" s="225"/>
      <c r="G2731" s="215"/>
      <c r="H2731" s="57" t="s">
        <v>67</v>
      </c>
      <c r="I2731" s="50">
        <f>(11920064+277753)*1.02*1.2</f>
        <v>14930128.01</v>
      </c>
      <c r="J2731" s="50">
        <f>I2731/D2730</f>
        <v>2035.16</v>
      </c>
      <c r="K2731" s="50">
        <v>2440</v>
      </c>
    </row>
    <row r="2732" spans="1:11" x14ac:dyDescent="0.25">
      <c r="A2732" s="215"/>
      <c r="B2732" s="215"/>
      <c r="C2732" s="223"/>
      <c r="D2732" s="215"/>
      <c r="E2732" s="224"/>
      <c r="F2732" s="225"/>
      <c r="G2732" s="215"/>
      <c r="H2732" s="57" t="s">
        <v>69</v>
      </c>
      <c r="I2732" s="50">
        <f>I2731*0.0214</f>
        <v>319504.74</v>
      </c>
      <c r="J2732" s="50">
        <f>I2732/D2730</f>
        <v>43.55</v>
      </c>
      <c r="K2732" s="50">
        <v>52</v>
      </c>
    </row>
    <row r="2733" spans="1:11" x14ac:dyDescent="0.25">
      <c r="A2733" s="216">
        <f>A2730+1</f>
        <v>38</v>
      </c>
      <c r="B2733" s="216">
        <v>4335</v>
      </c>
      <c r="C2733" s="212" t="s">
        <v>550</v>
      </c>
      <c r="D2733" s="220">
        <v>2109.1999999999998</v>
      </c>
      <c r="E2733" s="259" t="s">
        <v>68</v>
      </c>
      <c r="F2733" s="259">
        <v>5</v>
      </c>
      <c r="G2733" s="216" t="s">
        <v>75</v>
      </c>
      <c r="H2733" s="57" t="s">
        <v>66</v>
      </c>
      <c r="I2733" s="50">
        <f>I2735+I2736+I2734</f>
        <v>3904129.2</v>
      </c>
      <c r="J2733" s="50">
        <f>J2735+J2736+J2734</f>
        <v>1851</v>
      </c>
      <c r="K2733" s="50">
        <f>K2735+K2736+K2734</f>
        <v>1851</v>
      </c>
    </row>
    <row r="2734" spans="1:11" ht="63" x14ac:dyDescent="0.25">
      <c r="A2734" s="217"/>
      <c r="B2734" s="217"/>
      <c r="C2734" s="213"/>
      <c r="D2734" s="221"/>
      <c r="E2734" s="260"/>
      <c r="F2734" s="260"/>
      <c r="G2734" s="217"/>
      <c r="H2734" s="57" t="s">
        <v>178</v>
      </c>
      <c r="I2734" s="50">
        <f>D2733*K2734</f>
        <v>170845.2</v>
      </c>
      <c r="J2734" s="50">
        <f>I2734/D2733</f>
        <v>81</v>
      </c>
      <c r="K2734" s="50">
        <f>69+12</f>
        <v>81</v>
      </c>
    </row>
    <row r="2735" spans="1:11" x14ac:dyDescent="0.25">
      <c r="A2735" s="217"/>
      <c r="B2735" s="217"/>
      <c r="C2735" s="213"/>
      <c r="D2735" s="221"/>
      <c r="E2735" s="260"/>
      <c r="F2735" s="260"/>
      <c r="G2735" s="217"/>
      <c r="H2735" s="57" t="s">
        <v>67</v>
      </c>
      <c r="I2735" s="50">
        <f>D2733*K2735</f>
        <v>3655243.6</v>
      </c>
      <c r="J2735" s="50">
        <f>I2735/D2733</f>
        <v>1733</v>
      </c>
      <c r="K2735" s="50">
        <v>1733</v>
      </c>
    </row>
    <row r="2736" spans="1:11" x14ac:dyDescent="0.25">
      <c r="A2736" s="222"/>
      <c r="B2736" s="222"/>
      <c r="C2736" s="214"/>
      <c r="D2736" s="227"/>
      <c r="E2736" s="261"/>
      <c r="F2736" s="261"/>
      <c r="G2736" s="222"/>
      <c r="H2736" s="57" t="s">
        <v>69</v>
      </c>
      <c r="I2736" s="50">
        <f>D2733*K2736</f>
        <v>78040.399999999994</v>
      </c>
      <c r="J2736" s="50">
        <f>I2736/D2733</f>
        <v>37</v>
      </c>
      <c r="K2736" s="50">
        <v>37</v>
      </c>
    </row>
    <row r="2737" spans="1:11" x14ac:dyDescent="0.25">
      <c r="A2737" s="215">
        <f>A2733+1</f>
        <v>39</v>
      </c>
      <c r="B2737" s="215">
        <v>3112</v>
      </c>
      <c r="C2737" s="223" t="s">
        <v>377</v>
      </c>
      <c r="D2737" s="224">
        <v>16849.099999999999</v>
      </c>
      <c r="E2737" s="224" t="s">
        <v>64</v>
      </c>
      <c r="F2737" s="225">
        <v>9</v>
      </c>
      <c r="G2737" s="215" t="s">
        <v>65</v>
      </c>
      <c r="H2737" s="57" t="s">
        <v>66</v>
      </c>
      <c r="I2737" s="50">
        <f>I2738+I2739</f>
        <v>41987957.200000003</v>
      </c>
      <c r="J2737" s="50">
        <f>J2738+J2739</f>
        <v>2492</v>
      </c>
      <c r="K2737" s="50">
        <f>K2738+K2739</f>
        <v>2492</v>
      </c>
    </row>
    <row r="2738" spans="1:11" x14ac:dyDescent="0.25">
      <c r="A2738" s="215">
        <v>77</v>
      </c>
      <c r="B2738" s="215"/>
      <c r="C2738" s="223"/>
      <c r="D2738" s="215"/>
      <c r="E2738" s="224"/>
      <c r="F2738" s="225"/>
      <c r="G2738" s="215"/>
      <c r="H2738" s="57" t="s">
        <v>67</v>
      </c>
      <c r="I2738" s="50">
        <f>D2737*K2738</f>
        <v>41111804</v>
      </c>
      <c r="J2738" s="50">
        <f>I2738/D2737</f>
        <v>2440</v>
      </c>
      <c r="K2738" s="50">
        <v>2440</v>
      </c>
    </row>
    <row r="2739" spans="1:11" x14ac:dyDescent="0.25">
      <c r="A2739" s="215"/>
      <c r="B2739" s="215"/>
      <c r="C2739" s="223"/>
      <c r="D2739" s="215"/>
      <c r="E2739" s="224"/>
      <c r="F2739" s="225"/>
      <c r="G2739" s="215"/>
      <c r="H2739" s="57" t="s">
        <v>69</v>
      </c>
      <c r="I2739" s="50">
        <f>D2737*K2739</f>
        <v>876153.2</v>
      </c>
      <c r="J2739" s="50">
        <f>I2739/D2737</f>
        <v>52</v>
      </c>
      <c r="K2739" s="50">
        <v>52</v>
      </c>
    </row>
    <row r="2740" spans="1:11" ht="15.75" customHeight="1" x14ac:dyDescent="0.25">
      <c r="A2740" s="215">
        <f>A2737+1</f>
        <v>40</v>
      </c>
      <c r="B2740" s="215">
        <v>3103</v>
      </c>
      <c r="C2740" s="223" t="s">
        <v>658</v>
      </c>
      <c r="D2740" s="224">
        <v>2533.89</v>
      </c>
      <c r="E2740" s="224" t="s">
        <v>68</v>
      </c>
      <c r="F2740" s="225">
        <v>4</v>
      </c>
      <c r="G2740" s="215" t="s">
        <v>74</v>
      </c>
      <c r="H2740" s="57" t="s">
        <v>66</v>
      </c>
      <c r="I2740" s="50">
        <f>I2741+I2742</f>
        <v>917268.18</v>
      </c>
      <c r="J2740" s="50">
        <f>J2741+J2742</f>
        <v>362</v>
      </c>
      <c r="K2740" s="50">
        <f>K2741+K2742</f>
        <v>362</v>
      </c>
    </row>
    <row r="2741" spans="1:11" ht="15.75" customHeight="1" x14ac:dyDescent="0.25">
      <c r="A2741" s="215"/>
      <c r="B2741" s="215"/>
      <c r="C2741" s="223"/>
      <c r="D2741" s="224"/>
      <c r="E2741" s="224"/>
      <c r="F2741" s="225"/>
      <c r="G2741" s="215"/>
      <c r="H2741" s="57" t="s">
        <v>67</v>
      </c>
      <c r="I2741" s="50">
        <f>K2741*D2740</f>
        <v>896997.06</v>
      </c>
      <c r="J2741" s="50">
        <f>I2741/D2740</f>
        <v>354</v>
      </c>
      <c r="K2741" s="50">
        <v>354</v>
      </c>
    </row>
    <row r="2742" spans="1:11" ht="15.75" customHeight="1" x14ac:dyDescent="0.25">
      <c r="A2742" s="215"/>
      <c r="B2742" s="215"/>
      <c r="C2742" s="223"/>
      <c r="D2742" s="224"/>
      <c r="E2742" s="224"/>
      <c r="F2742" s="225"/>
      <c r="G2742" s="215"/>
      <c r="H2742" s="57" t="s">
        <v>69</v>
      </c>
      <c r="I2742" s="50">
        <f>D2740*K2742</f>
        <v>20271.12</v>
      </c>
      <c r="J2742" s="50">
        <f>I2742/D2740</f>
        <v>8</v>
      </c>
      <c r="K2742" s="50">
        <v>8</v>
      </c>
    </row>
    <row r="2743" spans="1:11" ht="15.75" customHeight="1" x14ac:dyDescent="0.25">
      <c r="A2743" s="216">
        <f>A2740+1</f>
        <v>41</v>
      </c>
      <c r="B2743" s="216">
        <v>3105</v>
      </c>
      <c r="C2743" s="218" t="s">
        <v>208</v>
      </c>
      <c r="D2743" s="220">
        <v>11658.1</v>
      </c>
      <c r="E2743" s="220" t="s">
        <v>64</v>
      </c>
      <c r="F2743" s="228">
        <v>10</v>
      </c>
      <c r="G2743" s="105"/>
      <c r="H2743" s="57" t="s">
        <v>66</v>
      </c>
      <c r="I2743" s="50">
        <f>I2744+I2745+I2746+I2747+I2748+I2749+I2750+I2751+I2752+I2753</f>
        <v>11448090</v>
      </c>
      <c r="J2743" s="50">
        <f>J2744+J2745+J2746+J2747+J2748+J2749+J2750+J2751+J2752+J2753</f>
        <v>981.99</v>
      </c>
      <c r="K2743" s="50">
        <f>K2744+K2745+K2746+K2747+K2748+K2749+K2750+K2751+K2752+K2753</f>
        <v>981.99</v>
      </c>
    </row>
    <row r="2744" spans="1:11" ht="15.75" customHeight="1" x14ac:dyDescent="0.25">
      <c r="A2744" s="217"/>
      <c r="B2744" s="217"/>
      <c r="C2744" s="219"/>
      <c r="D2744" s="221"/>
      <c r="E2744" s="221"/>
      <c r="F2744" s="229"/>
      <c r="G2744" s="216" t="s">
        <v>170</v>
      </c>
      <c r="H2744" s="57" t="s">
        <v>171</v>
      </c>
      <c r="I2744" s="50">
        <v>2241647</v>
      </c>
      <c r="J2744" s="50">
        <f>I2744/D2743+0.01</f>
        <v>192.29</v>
      </c>
      <c r="K2744" s="50">
        <f>2241647/D2743+0.01</f>
        <v>192.29</v>
      </c>
    </row>
    <row r="2745" spans="1:11" ht="15.75" customHeight="1" x14ac:dyDescent="0.25">
      <c r="A2745" s="217"/>
      <c r="B2745" s="217"/>
      <c r="C2745" s="219"/>
      <c r="D2745" s="221"/>
      <c r="E2745" s="221"/>
      <c r="F2745" s="229"/>
      <c r="G2745" s="222"/>
      <c r="H2745" s="57" t="s">
        <v>69</v>
      </c>
      <c r="I2745" s="50">
        <v>47971</v>
      </c>
      <c r="J2745" s="50">
        <f>I2745/D2743</f>
        <v>4.1100000000000003</v>
      </c>
      <c r="K2745" s="50">
        <f>47971/D2743</f>
        <v>4.1100000000000003</v>
      </c>
    </row>
    <row r="2746" spans="1:11" ht="15.75" customHeight="1" x14ac:dyDescent="0.25">
      <c r="A2746" s="217"/>
      <c r="B2746" s="217"/>
      <c r="C2746" s="219"/>
      <c r="D2746" s="221"/>
      <c r="E2746" s="221"/>
      <c r="F2746" s="229"/>
      <c r="G2746" s="216" t="s">
        <v>173</v>
      </c>
      <c r="H2746" s="57" t="s">
        <v>171</v>
      </c>
      <c r="I2746" s="50">
        <v>2241647</v>
      </c>
      <c r="J2746" s="50">
        <f>I2746/D2743+0.01</f>
        <v>192.29</v>
      </c>
      <c r="K2746" s="50">
        <f>2241647/D2743+0.01</f>
        <v>192.29</v>
      </c>
    </row>
    <row r="2747" spans="1:11" ht="15.75" customHeight="1" x14ac:dyDescent="0.25">
      <c r="A2747" s="217"/>
      <c r="B2747" s="217"/>
      <c r="C2747" s="219"/>
      <c r="D2747" s="221"/>
      <c r="E2747" s="221"/>
      <c r="F2747" s="229"/>
      <c r="G2747" s="222"/>
      <c r="H2747" s="57" t="s">
        <v>69</v>
      </c>
      <c r="I2747" s="50">
        <v>47971</v>
      </c>
      <c r="J2747" s="50">
        <f>I2747/D2743</f>
        <v>4.1100000000000003</v>
      </c>
      <c r="K2747" s="50">
        <f>47971/D2743</f>
        <v>4.1100000000000003</v>
      </c>
    </row>
    <row r="2748" spans="1:11" ht="15.75" customHeight="1" x14ac:dyDescent="0.25">
      <c r="A2748" s="217"/>
      <c r="B2748" s="217"/>
      <c r="C2748" s="219"/>
      <c r="D2748" s="221"/>
      <c r="E2748" s="221"/>
      <c r="F2748" s="229"/>
      <c r="G2748" s="216" t="s">
        <v>174</v>
      </c>
      <c r="H2748" s="57" t="s">
        <v>171</v>
      </c>
      <c r="I2748" s="50">
        <v>2241647</v>
      </c>
      <c r="J2748" s="50">
        <f>I2748/D2743+0.01</f>
        <v>192.29</v>
      </c>
      <c r="K2748" s="50">
        <f>2241647/D2743+0.01</f>
        <v>192.29</v>
      </c>
    </row>
    <row r="2749" spans="1:11" ht="15.75" customHeight="1" x14ac:dyDescent="0.25">
      <c r="A2749" s="217"/>
      <c r="B2749" s="217"/>
      <c r="C2749" s="219"/>
      <c r="D2749" s="221"/>
      <c r="E2749" s="221"/>
      <c r="F2749" s="229"/>
      <c r="G2749" s="222"/>
      <c r="H2749" s="57" t="s">
        <v>69</v>
      </c>
      <c r="I2749" s="50">
        <v>47971</v>
      </c>
      <c r="J2749" s="50">
        <f>I2749/D2743</f>
        <v>4.1100000000000003</v>
      </c>
      <c r="K2749" s="50">
        <f>47971/D2743</f>
        <v>4.1100000000000003</v>
      </c>
    </row>
    <row r="2750" spans="1:11" ht="15.75" customHeight="1" x14ac:dyDescent="0.25">
      <c r="A2750" s="217"/>
      <c r="B2750" s="217"/>
      <c r="C2750" s="219"/>
      <c r="D2750" s="221"/>
      <c r="E2750" s="221"/>
      <c r="F2750" s="229"/>
      <c r="G2750" s="216" t="s">
        <v>175</v>
      </c>
      <c r="H2750" s="57" t="s">
        <v>171</v>
      </c>
      <c r="I2750" s="50">
        <v>2241647</v>
      </c>
      <c r="J2750" s="50">
        <f>I2750/D2743</f>
        <v>192.28</v>
      </c>
      <c r="K2750" s="50">
        <f>2241647/D2743</f>
        <v>192.28</v>
      </c>
    </row>
    <row r="2751" spans="1:11" ht="15.75" customHeight="1" x14ac:dyDescent="0.25">
      <c r="A2751" s="217"/>
      <c r="B2751" s="217"/>
      <c r="C2751" s="219"/>
      <c r="D2751" s="221"/>
      <c r="E2751" s="221"/>
      <c r="F2751" s="229"/>
      <c r="G2751" s="222"/>
      <c r="H2751" s="57" t="s">
        <v>69</v>
      </c>
      <c r="I2751" s="50">
        <v>47971</v>
      </c>
      <c r="J2751" s="50">
        <f>I2751/D2743</f>
        <v>4.1100000000000003</v>
      </c>
      <c r="K2751" s="50">
        <f>47971/D2743</f>
        <v>4.1100000000000003</v>
      </c>
    </row>
    <row r="2752" spans="1:11" ht="15.75" customHeight="1" x14ac:dyDescent="0.25">
      <c r="A2752" s="217"/>
      <c r="B2752" s="217"/>
      <c r="C2752" s="219"/>
      <c r="D2752" s="221"/>
      <c r="E2752" s="221"/>
      <c r="F2752" s="229"/>
      <c r="G2752" s="216" t="s">
        <v>172</v>
      </c>
      <c r="H2752" s="57" t="s">
        <v>171</v>
      </c>
      <c r="I2752" s="50">
        <v>2241647</v>
      </c>
      <c r="J2752" s="50">
        <f>I2752/D2743+0.01</f>
        <v>192.29</v>
      </c>
      <c r="K2752" s="50">
        <f>2241647/D2743+0.01</f>
        <v>192.29</v>
      </c>
    </row>
    <row r="2753" spans="1:11" ht="15.75" customHeight="1" x14ac:dyDescent="0.25">
      <c r="A2753" s="222"/>
      <c r="B2753" s="222"/>
      <c r="C2753" s="226"/>
      <c r="D2753" s="227"/>
      <c r="E2753" s="227"/>
      <c r="F2753" s="230"/>
      <c r="G2753" s="222"/>
      <c r="H2753" s="57" t="s">
        <v>69</v>
      </c>
      <c r="I2753" s="50">
        <v>47971</v>
      </c>
      <c r="J2753" s="50">
        <f>I2753/D2743</f>
        <v>4.1100000000000003</v>
      </c>
      <c r="K2753" s="50">
        <f>47971/D2743</f>
        <v>4.1100000000000003</v>
      </c>
    </row>
    <row r="2754" spans="1:11" x14ac:dyDescent="0.25">
      <c r="A2754" s="215">
        <f>A2743+1</f>
        <v>42</v>
      </c>
      <c r="B2754" s="215">
        <v>3141</v>
      </c>
      <c r="C2754" s="223" t="s">
        <v>212</v>
      </c>
      <c r="D2754" s="224">
        <v>8978.6</v>
      </c>
      <c r="E2754" s="224" t="s">
        <v>64</v>
      </c>
      <c r="F2754" s="225">
        <v>10</v>
      </c>
      <c r="G2754" s="215" t="s">
        <v>65</v>
      </c>
      <c r="H2754" s="57" t="s">
        <v>66</v>
      </c>
      <c r="I2754" s="50">
        <f>I2755+I2756</f>
        <v>16871690.530000001</v>
      </c>
      <c r="J2754" s="50">
        <f>J2755+J2756</f>
        <v>1879.1</v>
      </c>
      <c r="K2754" s="50">
        <f>K2755+K2756</f>
        <v>2492</v>
      </c>
    </row>
    <row r="2755" spans="1:11" x14ac:dyDescent="0.25">
      <c r="A2755" s="215">
        <v>77</v>
      </c>
      <c r="B2755" s="215"/>
      <c r="C2755" s="223"/>
      <c r="D2755" s="215"/>
      <c r="E2755" s="224"/>
      <c r="F2755" s="225"/>
      <c r="G2755" s="215"/>
      <c r="H2755" s="57" t="s">
        <v>67</v>
      </c>
      <c r="I2755" s="50">
        <f>(13134610.04+360652.24)*1.02*1.2</f>
        <v>16518201.029999999</v>
      </c>
      <c r="J2755" s="50">
        <f>I2755/D2754</f>
        <v>1839.73</v>
      </c>
      <c r="K2755" s="50">
        <v>2440</v>
      </c>
    </row>
    <row r="2756" spans="1:11" x14ac:dyDescent="0.25">
      <c r="A2756" s="215"/>
      <c r="B2756" s="215"/>
      <c r="C2756" s="223"/>
      <c r="D2756" s="215"/>
      <c r="E2756" s="224"/>
      <c r="F2756" s="225"/>
      <c r="G2756" s="215"/>
      <c r="H2756" s="57" t="s">
        <v>69</v>
      </c>
      <c r="I2756" s="50">
        <f>I2755*0.0214</f>
        <v>353489.5</v>
      </c>
      <c r="J2756" s="50">
        <f>I2756/D2754</f>
        <v>39.369999999999997</v>
      </c>
      <c r="K2756" s="50">
        <v>52</v>
      </c>
    </row>
    <row r="2757" spans="1:11" ht="15.75" customHeight="1" x14ac:dyDescent="0.25">
      <c r="A2757" s="216">
        <f>A2754+1</f>
        <v>43</v>
      </c>
      <c r="B2757" s="216">
        <v>4375</v>
      </c>
      <c r="C2757" s="218" t="s">
        <v>661</v>
      </c>
      <c r="D2757" s="220">
        <v>11594.1</v>
      </c>
      <c r="E2757" s="216" t="s">
        <v>64</v>
      </c>
      <c r="F2757" s="216">
        <v>10</v>
      </c>
      <c r="G2757" s="105"/>
      <c r="H2757" s="57" t="s">
        <v>66</v>
      </c>
      <c r="I2757" s="50">
        <f>I2758+I2759+I2760+I2761+I2762+I2763</f>
        <v>6868854</v>
      </c>
      <c r="J2757" s="50">
        <f>J2758+J2759+J2760+J2761+J2762+J2763</f>
        <v>592.44000000000005</v>
      </c>
      <c r="K2757" s="50">
        <f>K2758+K2759+K2760+K2761+K2762+K2763</f>
        <v>592.44000000000005</v>
      </c>
    </row>
    <row r="2758" spans="1:11" ht="15.75" customHeight="1" x14ac:dyDescent="0.25">
      <c r="A2758" s="217"/>
      <c r="B2758" s="217"/>
      <c r="C2758" s="219"/>
      <c r="D2758" s="221"/>
      <c r="E2758" s="217"/>
      <c r="F2758" s="217"/>
      <c r="G2758" s="217" t="s">
        <v>174</v>
      </c>
      <c r="H2758" s="57" t="s">
        <v>171</v>
      </c>
      <c r="I2758" s="50">
        <v>2241647</v>
      </c>
      <c r="J2758" s="50">
        <f>I2758/D2757</f>
        <v>193.34</v>
      </c>
      <c r="K2758" s="50">
        <f>2241647/D2757</f>
        <v>193.34</v>
      </c>
    </row>
    <row r="2759" spans="1:11" ht="15.75" customHeight="1" x14ac:dyDescent="0.25">
      <c r="A2759" s="217"/>
      <c r="B2759" s="217"/>
      <c r="C2759" s="219"/>
      <c r="D2759" s="221"/>
      <c r="E2759" s="217"/>
      <c r="F2759" s="217"/>
      <c r="G2759" s="222"/>
      <c r="H2759" s="57" t="s">
        <v>69</v>
      </c>
      <c r="I2759" s="50">
        <v>47971</v>
      </c>
      <c r="J2759" s="50">
        <f>I2759/D2757</f>
        <v>4.1399999999999997</v>
      </c>
      <c r="K2759" s="50">
        <f>47971/D2757</f>
        <v>4.1399999999999997</v>
      </c>
    </row>
    <row r="2760" spans="1:11" ht="15.75" customHeight="1" x14ac:dyDescent="0.25">
      <c r="A2760" s="217"/>
      <c r="B2760" s="217"/>
      <c r="C2760" s="219"/>
      <c r="D2760" s="221"/>
      <c r="E2760" s="217"/>
      <c r="F2760" s="217"/>
      <c r="G2760" s="217" t="s">
        <v>175</v>
      </c>
      <c r="H2760" s="57" t="s">
        <v>171</v>
      </c>
      <c r="I2760" s="50">
        <v>2241647</v>
      </c>
      <c r="J2760" s="50">
        <f>I2760/D2757</f>
        <v>193.34</v>
      </c>
      <c r="K2760" s="50">
        <f>2241647/D2757</f>
        <v>193.34</v>
      </c>
    </row>
    <row r="2761" spans="1:11" ht="15.75" customHeight="1" x14ac:dyDescent="0.25">
      <c r="A2761" s="217"/>
      <c r="B2761" s="217"/>
      <c r="C2761" s="219"/>
      <c r="D2761" s="221"/>
      <c r="E2761" s="217"/>
      <c r="F2761" s="217"/>
      <c r="G2761" s="222"/>
      <c r="H2761" s="57" t="s">
        <v>69</v>
      </c>
      <c r="I2761" s="50">
        <v>47971</v>
      </c>
      <c r="J2761" s="50">
        <f>I2761/D2757</f>
        <v>4.1399999999999997</v>
      </c>
      <c r="K2761" s="50">
        <f>47971/D2757</f>
        <v>4.1399999999999997</v>
      </c>
    </row>
    <row r="2762" spans="1:11" ht="15.75" customHeight="1" x14ac:dyDescent="0.25">
      <c r="A2762" s="217"/>
      <c r="B2762" s="217"/>
      <c r="C2762" s="219"/>
      <c r="D2762" s="221"/>
      <c r="E2762" s="217"/>
      <c r="F2762" s="217"/>
      <c r="G2762" s="217" t="s">
        <v>172</v>
      </c>
      <c r="H2762" s="57" t="s">
        <v>171</v>
      </c>
      <c r="I2762" s="50">
        <v>2241647</v>
      </c>
      <c r="J2762" s="50">
        <f>I2762/D2757</f>
        <v>193.34</v>
      </c>
      <c r="K2762" s="50">
        <f>2241647/D2757</f>
        <v>193.34</v>
      </c>
    </row>
    <row r="2763" spans="1:11" ht="15.75" customHeight="1" x14ac:dyDescent="0.25">
      <c r="A2763" s="217"/>
      <c r="B2763" s="217"/>
      <c r="C2763" s="219"/>
      <c r="D2763" s="221"/>
      <c r="E2763" s="217"/>
      <c r="F2763" s="217"/>
      <c r="G2763" s="222"/>
      <c r="H2763" s="57" t="s">
        <v>69</v>
      </c>
      <c r="I2763" s="50">
        <v>47971</v>
      </c>
      <c r="J2763" s="50">
        <f>I2763/D2757</f>
        <v>4.1399999999999997</v>
      </c>
      <c r="K2763" s="50">
        <f>47971/D2757</f>
        <v>4.1399999999999997</v>
      </c>
    </row>
    <row r="2764" spans="1:11" ht="15.75" customHeight="1" x14ac:dyDescent="0.25">
      <c r="A2764" s="216">
        <f>A2757+1</f>
        <v>44</v>
      </c>
      <c r="B2764" s="216">
        <v>4376</v>
      </c>
      <c r="C2764" s="218" t="s">
        <v>662</v>
      </c>
      <c r="D2764" s="220">
        <v>3878.2</v>
      </c>
      <c r="E2764" s="216" t="s">
        <v>64</v>
      </c>
      <c r="F2764" s="216">
        <v>9</v>
      </c>
      <c r="G2764" s="105"/>
      <c r="H2764" s="57" t="s">
        <v>66</v>
      </c>
      <c r="I2764" s="50">
        <f>I2765+I2766+I2767+I2768</f>
        <v>4579236</v>
      </c>
      <c r="J2764" s="50">
        <f>J2765+J2766+J2767+J2768</f>
        <v>1180.76</v>
      </c>
      <c r="K2764" s="50">
        <f>K2765+K2766+K2767+K2768</f>
        <v>1180.76</v>
      </c>
    </row>
    <row r="2765" spans="1:11" ht="15.75" customHeight="1" x14ac:dyDescent="0.25">
      <c r="A2765" s="217"/>
      <c r="B2765" s="217"/>
      <c r="C2765" s="219"/>
      <c r="D2765" s="221"/>
      <c r="E2765" s="217"/>
      <c r="F2765" s="217"/>
      <c r="G2765" s="217" t="s">
        <v>170</v>
      </c>
      <c r="H2765" s="57" t="s">
        <v>171</v>
      </c>
      <c r="I2765" s="50">
        <v>2241647</v>
      </c>
      <c r="J2765" s="50">
        <f>I2765/D2764</f>
        <v>578.01</v>
      </c>
      <c r="K2765" s="50">
        <f>2241647/D2764</f>
        <v>578.01</v>
      </c>
    </row>
    <row r="2766" spans="1:11" ht="15.75" customHeight="1" x14ac:dyDescent="0.25">
      <c r="A2766" s="217"/>
      <c r="B2766" s="217"/>
      <c r="C2766" s="219"/>
      <c r="D2766" s="221"/>
      <c r="E2766" s="217"/>
      <c r="F2766" s="217"/>
      <c r="G2766" s="222"/>
      <c r="H2766" s="57" t="s">
        <v>69</v>
      </c>
      <c r="I2766" s="50">
        <v>47971</v>
      </c>
      <c r="J2766" s="50">
        <f>I2766/D2764</f>
        <v>12.37</v>
      </c>
      <c r="K2766" s="50">
        <f>47971/D2764</f>
        <v>12.37</v>
      </c>
    </row>
    <row r="2767" spans="1:11" ht="15.75" customHeight="1" x14ac:dyDescent="0.25">
      <c r="A2767" s="217"/>
      <c r="B2767" s="217"/>
      <c r="C2767" s="219"/>
      <c r="D2767" s="221"/>
      <c r="E2767" s="217"/>
      <c r="F2767" s="217"/>
      <c r="G2767" s="217" t="s">
        <v>173</v>
      </c>
      <c r="H2767" s="57" t="s">
        <v>171</v>
      </c>
      <c r="I2767" s="50">
        <v>2241647</v>
      </c>
      <c r="J2767" s="50">
        <f>I2767/D2764</f>
        <v>578.01</v>
      </c>
      <c r="K2767" s="50">
        <f>2241647/D2764</f>
        <v>578.01</v>
      </c>
    </row>
    <row r="2768" spans="1:11" ht="15.75" customHeight="1" x14ac:dyDescent="0.25">
      <c r="A2768" s="217"/>
      <c r="B2768" s="217"/>
      <c r="C2768" s="219"/>
      <c r="D2768" s="221"/>
      <c r="E2768" s="217"/>
      <c r="F2768" s="217"/>
      <c r="G2768" s="222"/>
      <c r="H2768" s="57" t="s">
        <v>69</v>
      </c>
      <c r="I2768" s="50">
        <v>47971</v>
      </c>
      <c r="J2768" s="50">
        <f>I2768/D2764</f>
        <v>12.37</v>
      </c>
      <c r="K2768" s="50">
        <f>47971/D2764</f>
        <v>12.37</v>
      </c>
    </row>
    <row r="2769" spans="1:11" x14ac:dyDescent="0.25">
      <c r="A2769" s="215">
        <f>A2764+1</f>
        <v>45</v>
      </c>
      <c r="B2769" s="215">
        <v>3383</v>
      </c>
      <c r="C2769" s="223" t="s">
        <v>213</v>
      </c>
      <c r="D2769" s="224">
        <v>5213</v>
      </c>
      <c r="E2769" s="224" t="s">
        <v>68</v>
      </c>
      <c r="F2769" s="225">
        <v>6</v>
      </c>
      <c r="G2769" s="215" t="s">
        <v>65</v>
      </c>
      <c r="H2769" s="57" t="s">
        <v>66</v>
      </c>
      <c r="I2769" s="50">
        <f>I2770+I2771</f>
        <v>20216014</v>
      </c>
      <c r="J2769" s="50">
        <f>J2770+J2771</f>
        <v>3878</v>
      </c>
      <c r="K2769" s="50">
        <f>K2770+K2771</f>
        <v>3878</v>
      </c>
    </row>
    <row r="2770" spans="1:11" x14ac:dyDescent="0.25">
      <c r="A2770" s="215">
        <v>77</v>
      </c>
      <c r="B2770" s="215"/>
      <c r="C2770" s="223"/>
      <c r="D2770" s="215"/>
      <c r="E2770" s="224"/>
      <c r="F2770" s="225"/>
      <c r="G2770" s="215"/>
      <c r="H2770" s="57" t="s">
        <v>67</v>
      </c>
      <c r="I2770" s="50">
        <f>D2769*K2770</f>
        <v>19793761</v>
      </c>
      <c r="J2770" s="50">
        <f>I2770/D2769</f>
        <v>3797</v>
      </c>
      <c r="K2770" s="50">
        <v>3797</v>
      </c>
    </row>
    <row r="2771" spans="1:11" x14ac:dyDescent="0.25">
      <c r="A2771" s="215"/>
      <c r="B2771" s="215"/>
      <c r="C2771" s="223"/>
      <c r="D2771" s="215"/>
      <c r="E2771" s="224"/>
      <c r="F2771" s="225"/>
      <c r="G2771" s="215"/>
      <c r="H2771" s="57" t="s">
        <v>69</v>
      </c>
      <c r="I2771" s="50">
        <f>D2769*K2771</f>
        <v>422253</v>
      </c>
      <c r="J2771" s="50">
        <f>I2771/D2769</f>
        <v>81</v>
      </c>
      <c r="K2771" s="50">
        <v>81</v>
      </c>
    </row>
    <row r="2772" spans="1:11" x14ac:dyDescent="0.25">
      <c r="A2772" s="216">
        <f>A2769+1</f>
        <v>46</v>
      </c>
      <c r="B2772" s="216">
        <v>3388</v>
      </c>
      <c r="C2772" s="218" t="s">
        <v>214</v>
      </c>
      <c r="D2772" s="220">
        <v>4243</v>
      </c>
      <c r="E2772" s="220" t="s">
        <v>68</v>
      </c>
      <c r="F2772" s="228">
        <v>7</v>
      </c>
      <c r="G2772" s="108"/>
      <c r="H2772" s="57" t="s">
        <v>66</v>
      </c>
      <c r="I2772" s="50">
        <f>I2773+I2774+I2775+I2776+I2777+I2778</f>
        <v>29494751.989999998</v>
      </c>
      <c r="J2772" s="50">
        <f>J2773+J2774+J2775+J2776+J2777+J2778</f>
        <v>6951.39</v>
      </c>
      <c r="K2772" s="50">
        <f>K2773+K2774+K2775+K2776+K2777+K2778</f>
        <v>10123</v>
      </c>
    </row>
    <row r="2773" spans="1:11" x14ac:dyDescent="0.25">
      <c r="A2773" s="217"/>
      <c r="B2773" s="217"/>
      <c r="C2773" s="219"/>
      <c r="D2773" s="217"/>
      <c r="E2773" s="221"/>
      <c r="F2773" s="229"/>
      <c r="G2773" s="216" t="s">
        <v>65</v>
      </c>
      <c r="H2773" s="57" t="s">
        <v>67</v>
      </c>
      <c r="I2773" s="50">
        <f>D2772*K2773</f>
        <v>10352920</v>
      </c>
      <c r="J2773" s="50">
        <f>I2773/D2772</f>
        <v>2440</v>
      </c>
      <c r="K2773" s="50">
        <v>2440</v>
      </c>
    </row>
    <row r="2774" spans="1:11" x14ac:dyDescent="0.25">
      <c r="A2774" s="217"/>
      <c r="B2774" s="217"/>
      <c r="C2774" s="219"/>
      <c r="D2774" s="217"/>
      <c r="E2774" s="221"/>
      <c r="F2774" s="229"/>
      <c r="G2774" s="222"/>
      <c r="H2774" s="57" t="s">
        <v>69</v>
      </c>
      <c r="I2774" s="50">
        <f>D2772*K2774</f>
        <v>220636</v>
      </c>
      <c r="J2774" s="50">
        <f>I2774/D2772</f>
        <v>52</v>
      </c>
      <c r="K2774" s="50">
        <v>52</v>
      </c>
    </row>
    <row r="2775" spans="1:11" x14ac:dyDescent="0.25">
      <c r="A2775" s="217"/>
      <c r="B2775" s="217"/>
      <c r="C2775" s="219"/>
      <c r="D2775" s="217"/>
      <c r="E2775" s="221"/>
      <c r="F2775" s="229"/>
      <c r="G2775" s="216" t="s">
        <v>75</v>
      </c>
      <c r="H2775" s="57" t="s">
        <v>67</v>
      </c>
      <c r="I2775" s="50">
        <f>(3158583+15435.73)*1.02*1.2</f>
        <v>3884998.93</v>
      </c>
      <c r="J2775" s="50">
        <f>I2775/D2772</f>
        <v>915.63</v>
      </c>
      <c r="K2775" s="50">
        <v>1733</v>
      </c>
    </row>
    <row r="2776" spans="1:11" x14ac:dyDescent="0.25">
      <c r="A2776" s="217"/>
      <c r="B2776" s="217"/>
      <c r="C2776" s="219"/>
      <c r="D2776" s="217"/>
      <c r="E2776" s="221"/>
      <c r="F2776" s="229"/>
      <c r="G2776" s="217"/>
      <c r="H2776" s="57" t="s">
        <v>69</v>
      </c>
      <c r="I2776" s="50">
        <f>I2775*0.0214</f>
        <v>83138.98</v>
      </c>
      <c r="J2776" s="50">
        <f>I2776/D2772</f>
        <v>19.59</v>
      </c>
      <c r="K2776" s="50">
        <v>37</v>
      </c>
    </row>
    <row r="2777" spans="1:11" x14ac:dyDescent="0.25">
      <c r="A2777" s="217"/>
      <c r="B2777" s="217"/>
      <c r="C2777" s="219"/>
      <c r="D2777" s="217"/>
      <c r="E2777" s="221"/>
      <c r="F2777" s="229"/>
      <c r="G2777" s="217"/>
      <c r="H2777" s="57" t="s">
        <v>179</v>
      </c>
      <c r="I2777" s="50">
        <f>(11960594)*1.02*1.2</f>
        <v>14639767.060000001</v>
      </c>
      <c r="J2777" s="50">
        <f>I2777/D2772</f>
        <v>3450.33</v>
      </c>
      <c r="K2777" s="50">
        <v>5738</v>
      </c>
    </row>
    <row r="2778" spans="1:11" x14ac:dyDescent="0.25">
      <c r="A2778" s="222"/>
      <c r="B2778" s="222"/>
      <c r="C2778" s="226"/>
      <c r="D2778" s="222"/>
      <c r="E2778" s="227"/>
      <c r="F2778" s="230"/>
      <c r="G2778" s="222"/>
      <c r="H2778" s="57" t="s">
        <v>69</v>
      </c>
      <c r="I2778" s="50">
        <f>I2777*0.0214</f>
        <v>313291.02</v>
      </c>
      <c r="J2778" s="50">
        <f>I2778/D2772</f>
        <v>73.84</v>
      </c>
      <c r="K2778" s="50">
        <v>123</v>
      </c>
    </row>
    <row r="2779" spans="1:11" ht="15.75" customHeight="1" x14ac:dyDescent="0.25">
      <c r="A2779" s="215">
        <f>A2772+1</f>
        <v>47</v>
      </c>
      <c r="B2779" s="215">
        <v>3406</v>
      </c>
      <c r="C2779" s="223" t="s">
        <v>547</v>
      </c>
      <c r="D2779" s="224">
        <v>1229.96</v>
      </c>
      <c r="E2779" s="224" t="s">
        <v>73</v>
      </c>
      <c r="F2779" s="225">
        <v>3</v>
      </c>
      <c r="G2779" s="215" t="s">
        <v>74</v>
      </c>
      <c r="H2779" s="57" t="s">
        <v>66</v>
      </c>
      <c r="I2779" s="50">
        <f>I2780+I2781</f>
        <v>445245.52</v>
      </c>
      <c r="J2779" s="50">
        <f>J2780+J2781</f>
        <v>362</v>
      </c>
      <c r="K2779" s="50">
        <f>K2780+K2781</f>
        <v>362</v>
      </c>
    </row>
    <row r="2780" spans="1:11" ht="15.75" customHeight="1" x14ac:dyDescent="0.25">
      <c r="A2780" s="215"/>
      <c r="B2780" s="215"/>
      <c r="C2780" s="223"/>
      <c r="D2780" s="224"/>
      <c r="E2780" s="224"/>
      <c r="F2780" s="225"/>
      <c r="G2780" s="215"/>
      <c r="H2780" s="57" t="s">
        <v>67</v>
      </c>
      <c r="I2780" s="50">
        <f>K2780*D2779</f>
        <v>435405.84</v>
      </c>
      <c r="J2780" s="50">
        <f>I2780/D2779</f>
        <v>354</v>
      </c>
      <c r="K2780" s="50">
        <v>354</v>
      </c>
    </row>
    <row r="2781" spans="1:11" ht="15.75" customHeight="1" x14ac:dyDescent="0.25">
      <c r="A2781" s="215"/>
      <c r="B2781" s="215"/>
      <c r="C2781" s="223"/>
      <c r="D2781" s="224"/>
      <c r="E2781" s="224"/>
      <c r="F2781" s="225"/>
      <c r="G2781" s="215"/>
      <c r="H2781" s="57" t="s">
        <v>69</v>
      </c>
      <c r="I2781" s="50">
        <f>D2779*K2781</f>
        <v>9839.68</v>
      </c>
      <c r="J2781" s="50">
        <f>I2781/D2779</f>
        <v>8</v>
      </c>
      <c r="K2781" s="50">
        <v>8</v>
      </c>
    </row>
    <row r="2782" spans="1:11" ht="15.75" customHeight="1" x14ac:dyDescent="0.25">
      <c r="A2782" s="215">
        <f>A2779+1</f>
        <v>48</v>
      </c>
      <c r="B2782" s="215">
        <v>3407</v>
      </c>
      <c r="C2782" s="223" t="s">
        <v>663</v>
      </c>
      <c r="D2782" s="224">
        <v>2004.12</v>
      </c>
      <c r="E2782" s="224" t="s">
        <v>73</v>
      </c>
      <c r="F2782" s="225">
        <v>3</v>
      </c>
      <c r="G2782" s="215" t="s">
        <v>74</v>
      </c>
      <c r="H2782" s="57" t="s">
        <v>66</v>
      </c>
      <c r="I2782" s="50">
        <f>I2783+I2784</f>
        <v>725491.44</v>
      </c>
      <c r="J2782" s="50">
        <f>J2783+J2784</f>
        <v>362</v>
      </c>
      <c r="K2782" s="50">
        <f>K2783+K2784</f>
        <v>362</v>
      </c>
    </row>
    <row r="2783" spans="1:11" ht="15.75" customHeight="1" x14ac:dyDescent="0.25">
      <c r="A2783" s="215"/>
      <c r="B2783" s="215"/>
      <c r="C2783" s="223"/>
      <c r="D2783" s="224"/>
      <c r="E2783" s="224"/>
      <c r="F2783" s="225"/>
      <c r="G2783" s="215"/>
      <c r="H2783" s="57" t="s">
        <v>67</v>
      </c>
      <c r="I2783" s="50">
        <f>K2783*D2782</f>
        <v>709458.48</v>
      </c>
      <c r="J2783" s="50">
        <f>I2783/D2782</f>
        <v>354</v>
      </c>
      <c r="K2783" s="50">
        <v>354</v>
      </c>
    </row>
    <row r="2784" spans="1:11" ht="15.75" customHeight="1" x14ac:dyDescent="0.25">
      <c r="A2784" s="215"/>
      <c r="B2784" s="215"/>
      <c r="C2784" s="223"/>
      <c r="D2784" s="224"/>
      <c r="E2784" s="224"/>
      <c r="F2784" s="225"/>
      <c r="G2784" s="215"/>
      <c r="H2784" s="57" t="s">
        <v>69</v>
      </c>
      <c r="I2784" s="50">
        <f>D2782*K2784</f>
        <v>16032.96</v>
      </c>
      <c r="J2784" s="50">
        <f>I2784/D2782</f>
        <v>8</v>
      </c>
      <c r="K2784" s="50">
        <v>8</v>
      </c>
    </row>
    <row r="2785" spans="1:11" ht="15.75" customHeight="1" x14ac:dyDescent="0.25">
      <c r="A2785" s="215">
        <f>A2782+1</f>
        <v>49</v>
      </c>
      <c r="B2785" s="215">
        <v>3408</v>
      </c>
      <c r="C2785" s="223" t="s">
        <v>664</v>
      </c>
      <c r="D2785" s="224">
        <v>3143.51</v>
      </c>
      <c r="E2785" s="224" t="s">
        <v>68</v>
      </c>
      <c r="F2785" s="225">
        <v>5</v>
      </c>
      <c r="G2785" s="215" t="s">
        <v>74</v>
      </c>
      <c r="H2785" s="57" t="s">
        <v>66</v>
      </c>
      <c r="I2785" s="50">
        <f>I2786+I2787</f>
        <v>1279408.57</v>
      </c>
      <c r="J2785" s="50">
        <f>J2786+J2787</f>
        <v>407</v>
      </c>
      <c r="K2785" s="50">
        <f>K2786+K2787</f>
        <v>407</v>
      </c>
    </row>
    <row r="2786" spans="1:11" ht="15.75" customHeight="1" x14ac:dyDescent="0.25">
      <c r="A2786" s="215"/>
      <c r="B2786" s="215"/>
      <c r="C2786" s="223"/>
      <c r="D2786" s="224"/>
      <c r="E2786" s="224"/>
      <c r="F2786" s="225"/>
      <c r="G2786" s="215"/>
      <c r="H2786" s="57" t="s">
        <v>67</v>
      </c>
      <c r="I2786" s="50">
        <f>K2786*D2785</f>
        <v>1251116.98</v>
      </c>
      <c r="J2786" s="50">
        <f>I2786/D2785</f>
        <v>398</v>
      </c>
      <c r="K2786" s="50">
        <v>398</v>
      </c>
    </row>
    <row r="2787" spans="1:11" ht="15.75" customHeight="1" x14ac:dyDescent="0.25">
      <c r="A2787" s="215"/>
      <c r="B2787" s="215"/>
      <c r="C2787" s="223"/>
      <c r="D2787" s="224"/>
      <c r="E2787" s="224"/>
      <c r="F2787" s="225"/>
      <c r="G2787" s="215"/>
      <c r="H2787" s="57" t="s">
        <v>69</v>
      </c>
      <c r="I2787" s="50">
        <f>D2785*K2787</f>
        <v>28291.59</v>
      </c>
      <c r="J2787" s="50">
        <f>I2787/D2785</f>
        <v>9</v>
      </c>
      <c r="K2787" s="50">
        <v>9</v>
      </c>
    </row>
    <row r="2788" spans="1:11" ht="15.75" customHeight="1" x14ac:dyDescent="0.25">
      <c r="A2788" s="215">
        <f>A2785+1</f>
        <v>50</v>
      </c>
      <c r="B2788" s="215">
        <v>3410</v>
      </c>
      <c r="C2788" s="223" t="s">
        <v>665</v>
      </c>
      <c r="D2788" s="224">
        <v>3172.61</v>
      </c>
      <c r="E2788" s="224" t="s">
        <v>68</v>
      </c>
      <c r="F2788" s="225">
        <v>5</v>
      </c>
      <c r="G2788" s="215" t="s">
        <v>74</v>
      </c>
      <c r="H2788" s="57" t="s">
        <v>66</v>
      </c>
      <c r="I2788" s="50">
        <f>I2789+I2790</f>
        <v>1291252.27</v>
      </c>
      <c r="J2788" s="50">
        <f>J2789+J2790</f>
        <v>407</v>
      </c>
      <c r="K2788" s="50">
        <f>K2789+K2790</f>
        <v>407</v>
      </c>
    </row>
    <row r="2789" spans="1:11" ht="15.75" customHeight="1" x14ac:dyDescent="0.25">
      <c r="A2789" s="215"/>
      <c r="B2789" s="215"/>
      <c r="C2789" s="223"/>
      <c r="D2789" s="224"/>
      <c r="E2789" s="224"/>
      <c r="F2789" s="225"/>
      <c r="G2789" s="215"/>
      <c r="H2789" s="57" t="s">
        <v>67</v>
      </c>
      <c r="I2789" s="50">
        <f>K2789*D2788</f>
        <v>1262698.78</v>
      </c>
      <c r="J2789" s="50">
        <f>I2789/D2788</f>
        <v>398</v>
      </c>
      <c r="K2789" s="50">
        <v>398</v>
      </c>
    </row>
    <row r="2790" spans="1:11" ht="15.75" customHeight="1" x14ac:dyDescent="0.25">
      <c r="A2790" s="215"/>
      <c r="B2790" s="215"/>
      <c r="C2790" s="223"/>
      <c r="D2790" s="224"/>
      <c r="E2790" s="224"/>
      <c r="F2790" s="225"/>
      <c r="G2790" s="215"/>
      <c r="H2790" s="57" t="s">
        <v>69</v>
      </c>
      <c r="I2790" s="50">
        <f>D2788*K2790</f>
        <v>28553.49</v>
      </c>
      <c r="J2790" s="50">
        <f>I2790/D2788</f>
        <v>9</v>
      </c>
      <c r="K2790" s="50">
        <v>9</v>
      </c>
    </row>
    <row r="2791" spans="1:11" ht="15.75" customHeight="1" x14ac:dyDescent="0.25">
      <c r="A2791" s="215">
        <f>A2788+1</f>
        <v>51</v>
      </c>
      <c r="B2791" s="215">
        <v>3413</v>
      </c>
      <c r="C2791" s="223" t="s">
        <v>666</v>
      </c>
      <c r="D2791" s="224">
        <v>1249.18</v>
      </c>
      <c r="E2791" s="224" t="s">
        <v>68</v>
      </c>
      <c r="F2791" s="225">
        <v>3</v>
      </c>
      <c r="G2791" s="215" t="s">
        <v>74</v>
      </c>
      <c r="H2791" s="57" t="s">
        <v>66</v>
      </c>
      <c r="I2791" s="50">
        <f>I2792+I2793</f>
        <v>452203.16</v>
      </c>
      <c r="J2791" s="50">
        <f>J2792+J2793</f>
        <v>362</v>
      </c>
      <c r="K2791" s="50">
        <f>K2792+K2793</f>
        <v>362</v>
      </c>
    </row>
    <row r="2792" spans="1:11" ht="15.75" customHeight="1" x14ac:dyDescent="0.25">
      <c r="A2792" s="215"/>
      <c r="B2792" s="215"/>
      <c r="C2792" s="223"/>
      <c r="D2792" s="224"/>
      <c r="E2792" s="224"/>
      <c r="F2792" s="225"/>
      <c r="G2792" s="215"/>
      <c r="H2792" s="57" t="s">
        <v>67</v>
      </c>
      <c r="I2792" s="50">
        <f>K2792*D2791</f>
        <v>442209.72</v>
      </c>
      <c r="J2792" s="50">
        <f>I2792/D2791</f>
        <v>354</v>
      </c>
      <c r="K2792" s="50">
        <v>354</v>
      </c>
    </row>
    <row r="2793" spans="1:11" ht="15.75" customHeight="1" x14ac:dyDescent="0.25">
      <c r="A2793" s="215"/>
      <c r="B2793" s="215"/>
      <c r="C2793" s="223"/>
      <c r="D2793" s="224"/>
      <c r="E2793" s="224"/>
      <c r="F2793" s="225"/>
      <c r="G2793" s="215"/>
      <c r="H2793" s="57" t="s">
        <v>69</v>
      </c>
      <c r="I2793" s="50">
        <f>D2791*K2793</f>
        <v>9993.44</v>
      </c>
      <c r="J2793" s="50">
        <f>I2793/D2791</f>
        <v>8</v>
      </c>
      <c r="K2793" s="50">
        <v>8</v>
      </c>
    </row>
    <row r="2794" spans="1:11" ht="15.75" customHeight="1" x14ac:dyDescent="0.25">
      <c r="A2794" s="215">
        <f>A2791+1</f>
        <v>52</v>
      </c>
      <c r="B2794" s="215">
        <v>4365</v>
      </c>
      <c r="C2794" s="223" t="s">
        <v>667</v>
      </c>
      <c r="D2794" s="224">
        <v>1319.4</v>
      </c>
      <c r="E2794" s="224" t="s">
        <v>68</v>
      </c>
      <c r="F2794" s="225">
        <v>3</v>
      </c>
      <c r="G2794" s="215" t="s">
        <v>74</v>
      </c>
      <c r="H2794" s="57" t="s">
        <v>66</v>
      </c>
      <c r="I2794" s="50">
        <f>I2795+I2796</f>
        <v>477622.8</v>
      </c>
      <c r="J2794" s="50">
        <f>J2795+J2796</f>
        <v>362</v>
      </c>
      <c r="K2794" s="50">
        <f>K2795+K2796</f>
        <v>362</v>
      </c>
    </row>
    <row r="2795" spans="1:11" ht="15.75" customHeight="1" x14ac:dyDescent="0.25">
      <c r="A2795" s="215"/>
      <c r="B2795" s="215"/>
      <c r="C2795" s="223"/>
      <c r="D2795" s="224"/>
      <c r="E2795" s="224"/>
      <c r="F2795" s="225"/>
      <c r="G2795" s="215"/>
      <c r="H2795" s="57" t="s">
        <v>67</v>
      </c>
      <c r="I2795" s="50">
        <f>K2795*D2794</f>
        <v>467067.6</v>
      </c>
      <c r="J2795" s="50">
        <f>I2795/D2794</f>
        <v>354</v>
      </c>
      <c r="K2795" s="50">
        <v>354</v>
      </c>
    </row>
    <row r="2796" spans="1:11" ht="15.75" customHeight="1" x14ac:dyDescent="0.25">
      <c r="A2796" s="215"/>
      <c r="B2796" s="215"/>
      <c r="C2796" s="223"/>
      <c r="D2796" s="224"/>
      <c r="E2796" s="224"/>
      <c r="F2796" s="225"/>
      <c r="G2796" s="215"/>
      <c r="H2796" s="57" t="s">
        <v>69</v>
      </c>
      <c r="I2796" s="50">
        <f>D2794*K2796</f>
        <v>10555.2</v>
      </c>
      <c r="J2796" s="50">
        <f>I2796/D2794</f>
        <v>8</v>
      </c>
      <c r="K2796" s="50">
        <v>8</v>
      </c>
    </row>
    <row r="2797" spans="1:11" ht="15.75" customHeight="1" x14ac:dyDescent="0.25">
      <c r="A2797" s="215">
        <f>A2794+1</f>
        <v>53</v>
      </c>
      <c r="B2797" s="215">
        <v>3414</v>
      </c>
      <c r="C2797" s="223" t="s">
        <v>668</v>
      </c>
      <c r="D2797" s="224">
        <v>905.11</v>
      </c>
      <c r="E2797" s="224" t="s">
        <v>68</v>
      </c>
      <c r="F2797" s="225">
        <v>3</v>
      </c>
      <c r="G2797" s="215" t="s">
        <v>74</v>
      </c>
      <c r="H2797" s="57" t="s">
        <v>66</v>
      </c>
      <c r="I2797" s="50">
        <f>I2798+I2799</f>
        <v>327649.82</v>
      </c>
      <c r="J2797" s="50">
        <f>J2798+J2799</f>
        <v>362</v>
      </c>
      <c r="K2797" s="50">
        <f>K2798+K2799</f>
        <v>362</v>
      </c>
    </row>
    <row r="2798" spans="1:11" ht="15.75" customHeight="1" x14ac:dyDescent="0.25">
      <c r="A2798" s="215"/>
      <c r="B2798" s="215"/>
      <c r="C2798" s="223"/>
      <c r="D2798" s="224"/>
      <c r="E2798" s="224"/>
      <c r="F2798" s="225"/>
      <c r="G2798" s="215"/>
      <c r="H2798" s="57" t="s">
        <v>67</v>
      </c>
      <c r="I2798" s="50">
        <f>K2798*D2797</f>
        <v>320408.94</v>
      </c>
      <c r="J2798" s="50">
        <f>I2798/D2797</f>
        <v>354</v>
      </c>
      <c r="K2798" s="50">
        <v>354</v>
      </c>
    </row>
    <row r="2799" spans="1:11" ht="15.75" customHeight="1" x14ac:dyDescent="0.25">
      <c r="A2799" s="215"/>
      <c r="B2799" s="215"/>
      <c r="C2799" s="223"/>
      <c r="D2799" s="224"/>
      <c r="E2799" s="224"/>
      <c r="F2799" s="225"/>
      <c r="G2799" s="215"/>
      <c r="H2799" s="57" t="s">
        <v>69</v>
      </c>
      <c r="I2799" s="50">
        <f>D2797*K2799</f>
        <v>7240.88</v>
      </c>
      <c r="J2799" s="50">
        <f>I2799/D2797</f>
        <v>8</v>
      </c>
      <c r="K2799" s="50">
        <v>8</v>
      </c>
    </row>
    <row r="2800" spans="1:11" ht="15.75" customHeight="1" x14ac:dyDescent="0.25">
      <c r="A2800" s="215">
        <f>A2797+1</f>
        <v>54</v>
      </c>
      <c r="B2800" s="215">
        <v>3415</v>
      </c>
      <c r="C2800" s="223" t="s">
        <v>669</v>
      </c>
      <c r="D2800" s="224">
        <v>667.9</v>
      </c>
      <c r="E2800" s="224" t="s">
        <v>68</v>
      </c>
      <c r="F2800" s="225">
        <v>3</v>
      </c>
      <c r="G2800" s="215" t="s">
        <v>74</v>
      </c>
      <c r="H2800" s="57" t="s">
        <v>66</v>
      </c>
      <c r="I2800" s="50">
        <f>I2801+I2802</f>
        <v>241779.8</v>
      </c>
      <c r="J2800" s="50">
        <f>J2801+J2802</f>
        <v>362</v>
      </c>
      <c r="K2800" s="50">
        <f>K2801+K2802</f>
        <v>362</v>
      </c>
    </row>
    <row r="2801" spans="1:11" ht="15.75" customHeight="1" x14ac:dyDescent="0.25">
      <c r="A2801" s="215"/>
      <c r="B2801" s="215"/>
      <c r="C2801" s="223"/>
      <c r="D2801" s="224"/>
      <c r="E2801" s="224"/>
      <c r="F2801" s="225"/>
      <c r="G2801" s="215"/>
      <c r="H2801" s="57" t="s">
        <v>67</v>
      </c>
      <c r="I2801" s="50">
        <f>K2801*D2800</f>
        <v>236436.6</v>
      </c>
      <c r="J2801" s="50">
        <f>I2801/D2800</f>
        <v>354</v>
      </c>
      <c r="K2801" s="50">
        <v>354</v>
      </c>
    </row>
    <row r="2802" spans="1:11" ht="15.75" customHeight="1" x14ac:dyDescent="0.25">
      <c r="A2802" s="215"/>
      <c r="B2802" s="215"/>
      <c r="C2802" s="223"/>
      <c r="D2802" s="224"/>
      <c r="E2802" s="224"/>
      <c r="F2802" s="225"/>
      <c r="G2802" s="215"/>
      <c r="H2802" s="57" t="s">
        <v>69</v>
      </c>
      <c r="I2802" s="50">
        <f>D2800*K2802</f>
        <v>5343.2</v>
      </c>
      <c r="J2802" s="50">
        <f>I2802/D2800</f>
        <v>8</v>
      </c>
      <c r="K2802" s="50">
        <v>8</v>
      </c>
    </row>
    <row r="2803" spans="1:11" ht="15.75" customHeight="1" x14ac:dyDescent="0.25">
      <c r="A2803" s="215">
        <f>A2800+1</f>
        <v>55</v>
      </c>
      <c r="B2803" s="215">
        <v>3416</v>
      </c>
      <c r="C2803" s="223" t="s">
        <v>497</v>
      </c>
      <c r="D2803" s="224">
        <v>887</v>
      </c>
      <c r="E2803" s="224" t="s">
        <v>68</v>
      </c>
      <c r="F2803" s="225">
        <v>3</v>
      </c>
      <c r="G2803" s="215" t="s">
        <v>74</v>
      </c>
      <c r="H2803" s="57" t="s">
        <v>66</v>
      </c>
      <c r="I2803" s="50">
        <f>I2804+I2805</f>
        <v>321094</v>
      </c>
      <c r="J2803" s="50">
        <f>J2804+J2805</f>
        <v>362</v>
      </c>
      <c r="K2803" s="50">
        <f>K2804+K2805</f>
        <v>362</v>
      </c>
    </row>
    <row r="2804" spans="1:11" ht="15.75" customHeight="1" x14ac:dyDescent="0.25">
      <c r="A2804" s="215"/>
      <c r="B2804" s="215"/>
      <c r="C2804" s="223"/>
      <c r="D2804" s="224"/>
      <c r="E2804" s="224"/>
      <c r="F2804" s="225"/>
      <c r="G2804" s="215"/>
      <c r="H2804" s="57" t="s">
        <v>67</v>
      </c>
      <c r="I2804" s="50">
        <f>K2804*D2803</f>
        <v>313998</v>
      </c>
      <c r="J2804" s="50">
        <f>I2804/D2803</f>
        <v>354</v>
      </c>
      <c r="K2804" s="50">
        <v>354</v>
      </c>
    </row>
    <row r="2805" spans="1:11" ht="15.75" customHeight="1" x14ac:dyDescent="0.25">
      <c r="A2805" s="215"/>
      <c r="B2805" s="215"/>
      <c r="C2805" s="223"/>
      <c r="D2805" s="224"/>
      <c r="E2805" s="224"/>
      <c r="F2805" s="225"/>
      <c r="G2805" s="215"/>
      <c r="H2805" s="57" t="s">
        <v>69</v>
      </c>
      <c r="I2805" s="50">
        <f>D2803*K2805</f>
        <v>7096</v>
      </c>
      <c r="J2805" s="50">
        <f>I2805/D2803</f>
        <v>8</v>
      </c>
      <c r="K2805" s="50">
        <v>8</v>
      </c>
    </row>
    <row r="2806" spans="1:11" ht="15.75" customHeight="1" x14ac:dyDescent="0.25">
      <c r="A2806" s="215">
        <f>A2803+1</f>
        <v>56</v>
      </c>
      <c r="B2806" s="215">
        <v>3417</v>
      </c>
      <c r="C2806" s="223" t="s">
        <v>498</v>
      </c>
      <c r="D2806" s="224">
        <v>921.5</v>
      </c>
      <c r="E2806" s="224" t="s">
        <v>68</v>
      </c>
      <c r="F2806" s="225">
        <v>3</v>
      </c>
      <c r="G2806" s="215" t="s">
        <v>74</v>
      </c>
      <c r="H2806" s="57" t="s">
        <v>66</v>
      </c>
      <c r="I2806" s="50">
        <f>I2807+I2808</f>
        <v>333583</v>
      </c>
      <c r="J2806" s="50">
        <f>J2807+J2808</f>
        <v>362</v>
      </c>
      <c r="K2806" s="50">
        <f>K2807+K2808</f>
        <v>362</v>
      </c>
    </row>
    <row r="2807" spans="1:11" ht="15.75" customHeight="1" x14ac:dyDescent="0.25">
      <c r="A2807" s="215"/>
      <c r="B2807" s="215"/>
      <c r="C2807" s="223"/>
      <c r="D2807" s="224"/>
      <c r="E2807" s="224"/>
      <c r="F2807" s="225"/>
      <c r="G2807" s="215"/>
      <c r="H2807" s="57" t="s">
        <v>67</v>
      </c>
      <c r="I2807" s="50">
        <f>K2807*D2806</f>
        <v>326211</v>
      </c>
      <c r="J2807" s="50">
        <f>I2807/D2806</f>
        <v>354</v>
      </c>
      <c r="K2807" s="50">
        <v>354</v>
      </c>
    </row>
    <row r="2808" spans="1:11" ht="15.75" customHeight="1" x14ac:dyDescent="0.25">
      <c r="A2808" s="215"/>
      <c r="B2808" s="215"/>
      <c r="C2808" s="223"/>
      <c r="D2808" s="224"/>
      <c r="E2808" s="224"/>
      <c r="F2808" s="225"/>
      <c r="G2808" s="215"/>
      <c r="H2808" s="57" t="s">
        <v>69</v>
      </c>
      <c r="I2808" s="50">
        <f>D2806*K2808</f>
        <v>7372</v>
      </c>
      <c r="J2808" s="50">
        <f>I2808/D2806</f>
        <v>8</v>
      </c>
      <c r="K2808" s="50">
        <v>8</v>
      </c>
    </row>
    <row r="2809" spans="1:11" x14ac:dyDescent="0.25">
      <c r="A2809" s="215">
        <f>A2806+1</f>
        <v>57</v>
      </c>
      <c r="B2809" s="215">
        <v>3147</v>
      </c>
      <c r="C2809" s="223" t="s">
        <v>110</v>
      </c>
      <c r="D2809" s="224">
        <v>7160</v>
      </c>
      <c r="E2809" s="224" t="s">
        <v>64</v>
      </c>
      <c r="F2809" s="225">
        <v>9</v>
      </c>
      <c r="G2809" s="215" t="s">
        <v>65</v>
      </c>
      <c r="H2809" s="57" t="s">
        <v>66</v>
      </c>
      <c r="I2809" s="50">
        <f>I2810+I2811</f>
        <v>15005531.01</v>
      </c>
      <c r="J2809" s="50">
        <f>J2810+J2811</f>
        <v>2095.7399999999998</v>
      </c>
      <c r="K2809" s="50">
        <f>K2810+K2811</f>
        <v>2492</v>
      </c>
    </row>
    <row r="2810" spans="1:11" x14ac:dyDescent="0.25">
      <c r="A2810" s="215">
        <v>77</v>
      </c>
      <c r="B2810" s="215"/>
      <c r="C2810" s="223"/>
      <c r="D2810" s="215"/>
      <c r="E2810" s="224"/>
      <c r="F2810" s="225"/>
      <c r="G2810" s="215"/>
      <c r="H2810" s="57" t="s">
        <v>67</v>
      </c>
      <c r="I2810" s="50">
        <f>(11855267+147298.85)*1.02*1.2</f>
        <v>14691140.6</v>
      </c>
      <c r="J2810" s="50">
        <f>I2810/D2809-0.01</f>
        <v>2051.83</v>
      </c>
      <c r="K2810" s="50">
        <v>2440</v>
      </c>
    </row>
    <row r="2811" spans="1:11" x14ac:dyDescent="0.25">
      <c r="A2811" s="215"/>
      <c r="B2811" s="215"/>
      <c r="C2811" s="223"/>
      <c r="D2811" s="215"/>
      <c r="E2811" s="224"/>
      <c r="F2811" s="225"/>
      <c r="G2811" s="215"/>
      <c r="H2811" s="57" t="s">
        <v>69</v>
      </c>
      <c r="I2811" s="50">
        <f>I2810*0.0214</f>
        <v>314390.40999999997</v>
      </c>
      <c r="J2811" s="50">
        <f>I2811/D2809</f>
        <v>43.91</v>
      </c>
      <c r="K2811" s="50">
        <v>52</v>
      </c>
    </row>
    <row r="2812" spans="1:11" ht="15.75" customHeight="1" x14ac:dyDescent="0.25">
      <c r="A2812" s="216">
        <f>A2809+1</f>
        <v>58</v>
      </c>
      <c r="B2812" s="216">
        <v>4256</v>
      </c>
      <c r="C2812" s="218" t="s">
        <v>670</v>
      </c>
      <c r="D2812" s="220">
        <v>5120</v>
      </c>
      <c r="E2812" s="216" t="s">
        <v>68</v>
      </c>
      <c r="F2812" s="216">
        <v>9</v>
      </c>
      <c r="G2812" s="105"/>
      <c r="H2812" s="57" t="s">
        <v>66</v>
      </c>
      <c r="I2812" s="50">
        <f>I2813+I2814</f>
        <v>2289618</v>
      </c>
      <c r="J2812" s="50">
        <f>J2813+J2814</f>
        <v>447.19</v>
      </c>
      <c r="K2812" s="50">
        <f>K2813+K2814</f>
        <v>447.19</v>
      </c>
    </row>
    <row r="2813" spans="1:11" ht="15.75" customHeight="1" x14ac:dyDescent="0.25">
      <c r="A2813" s="217"/>
      <c r="B2813" s="217"/>
      <c r="C2813" s="219"/>
      <c r="D2813" s="221"/>
      <c r="E2813" s="217"/>
      <c r="F2813" s="217"/>
      <c r="G2813" s="217" t="s">
        <v>170</v>
      </c>
      <c r="H2813" s="57" t="s">
        <v>171</v>
      </c>
      <c r="I2813" s="50">
        <v>2241647</v>
      </c>
      <c r="J2813" s="50">
        <f>I2813/D2812</f>
        <v>437.82</v>
      </c>
      <c r="K2813" s="50">
        <f>2241647/D2812</f>
        <v>437.82</v>
      </c>
    </row>
    <row r="2814" spans="1:11" ht="15.75" customHeight="1" x14ac:dyDescent="0.25">
      <c r="A2814" s="217"/>
      <c r="B2814" s="217"/>
      <c r="C2814" s="219"/>
      <c r="D2814" s="221"/>
      <c r="E2814" s="217"/>
      <c r="F2814" s="217"/>
      <c r="G2814" s="222"/>
      <c r="H2814" s="57" t="s">
        <v>69</v>
      </c>
      <c r="I2814" s="50">
        <v>47971</v>
      </c>
      <c r="J2814" s="50">
        <f>I2814/D2812</f>
        <v>9.3699999999999992</v>
      </c>
      <c r="K2814" s="50">
        <f>47971/D2812</f>
        <v>9.3699999999999992</v>
      </c>
    </row>
    <row r="2815" spans="1:11" x14ac:dyDescent="0.25">
      <c r="A2815" s="215">
        <f>A2812+1</f>
        <v>59</v>
      </c>
      <c r="B2815" s="215">
        <v>3423</v>
      </c>
      <c r="C2815" s="223" t="s">
        <v>378</v>
      </c>
      <c r="D2815" s="224">
        <v>3421.41</v>
      </c>
      <c r="E2815" s="224" t="s">
        <v>68</v>
      </c>
      <c r="F2815" s="225">
        <v>7</v>
      </c>
      <c r="G2815" s="215" t="s">
        <v>65</v>
      </c>
      <c r="H2815" s="57" t="s">
        <v>66</v>
      </c>
      <c r="I2815" s="50">
        <f>I2816+I2817</f>
        <v>8526153.7200000007</v>
      </c>
      <c r="J2815" s="50">
        <f>J2816+J2817</f>
        <v>2492</v>
      </c>
      <c r="K2815" s="50">
        <f>K2816+K2817</f>
        <v>2492</v>
      </c>
    </row>
    <row r="2816" spans="1:11" x14ac:dyDescent="0.25">
      <c r="A2816" s="215">
        <v>77</v>
      </c>
      <c r="B2816" s="215"/>
      <c r="C2816" s="223"/>
      <c r="D2816" s="215"/>
      <c r="E2816" s="224"/>
      <c r="F2816" s="225"/>
      <c r="G2816" s="215"/>
      <c r="H2816" s="57" t="s">
        <v>67</v>
      </c>
      <c r="I2816" s="50">
        <f>D2815*K2816</f>
        <v>8348240.4000000004</v>
      </c>
      <c r="J2816" s="50">
        <f>I2816/D2815</f>
        <v>2440</v>
      </c>
      <c r="K2816" s="50">
        <v>2440</v>
      </c>
    </row>
    <row r="2817" spans="1:11" x14ac:dyDescent="0.25">
      <c r="A2817" s="215"/>
      <c r="B2817" s="215"/>
      <c r="C2817" s="223"/>
      <c r="D2817" s="215"/>
      <c r="E2817" s="224"/>
      <c r="F2817" s="225"/>
      <c r="G2817" s="215"/>
      <c r="H2817" s="57" t="s">
        <v>69</v>
      </c>
      <c r="I2817" s="50">
        <f>D2815*K2817</f>
        <v>177913.32</v>
      </c>
      <c r="J2817" s="50">
        <f>I2817/D2815</f>
        <v>52</v>
      </c>
      <c r="K2817" s="50">
        <v>52</v>
      </c>
    </row>
    <row r="2818" spans="1:11" ht="15.75" customHeight="1" x14ac:dyDescent="0.25">
      <c r="A2818" s="215">
        <f>A2815+1</f>
        <v>60</v>
      </c>
      <c r="B2818" s="215">
        <v>2292</v>
      </c>
      <c r="C2818" s="223" t="s">
        <v>671</v>
      </c>
      <c r="D2818" s="224">
        <v>2567.1999999999998</v>
      </c>
      <c r="E2818" s="224" t="s">
        <v>68</v>
      </c>
      <c r="F2818" s="225">
        <v>6</v>
      </c>
      <c r="G2818" s="215" t="s">
        <v>65</v>
      </c>
      <c r="H2818" s="57" t="s">
        <v>66</v>
      </c>
      <c r="I2818" s="50">
        <f>I2819+I2820</f>
        <v>9955601.5999999996</v>
      </c>
      <c r="J2818" s="50">
        <f>J2819+J2820</f>
        <v>3878</v>
      </c>
      <c r="K2818" s="50">
        <f>K2819+K2820</f>
        <v>3878</v>
      </c>
    </row>
    <row r="2819" spans="1:11" ht="15.75" customHeight="1" x14ac:dyDescent="0.25">
      <c r="A2819" s="215">
        <v>77</v>
      </c>
      <c r="B2819" s="215"/>
      <c r="C2819" s="223"/>
      <c r="D2819" s="215"/>
      <c r="E2819" s="224"/>
      <c r="F2819" s="225"/>
      <c r="G2819" s="215"/>
      <c r="H2819" s="57" t="s">
        <v>67</v>
      </c>
      <c r="I2819" s="50">
        <f>D2818*K2819</f>
        <v>9747658.4000000004</v>
      </c>
      <c r="J2819" s="50">
        <f>I2819/D2818</f>
        <v>3797</v>
      </c>
      <c r="K2819" s="50">
        <v>3797</v>
      </c>
    </row>
    <row r="2820" spans="1:11" ht="15.75" customHeight="1" x14ac:dyDescent="0.25">
      <c r="A2820" s="215"/>
      <c r="B2820" s="215"/>
      <c r="C2820" s="223"/>
      <c r="D2820" s="215"/>
      <c r="E2820" s="224"/>
      <c r="F2820" s="225"/>
      <c r="G2820" s="215"/>
      <c r="H2820" s="57" t="s">
        <v>69</v>
      </c>
      <c r="I2820" s="50">
        <f>K2820*D2818</f>
        <v>207943.2</v>
      </c>
      <c r="J2820" s="50">
        <f>I2820/D2818</f>
        <v>81</v>
      </c>
      <c r="K2820" s="50">
        <v>81</v>
      </c>
    </row>
    <row r="2821" spans="1:11" ht="15.75" customHeight="1" x14ac:dyDescent="0.25">
      <c r="A2821" s="216">
        <f>A2818+1</f>
        <v>61</v>
      </c>
      <c r="B2821" s="216">
        <v>2475</v>
      </c>
      <c r="C2821" s="218" t="s">
        <v>672</v>
      </c>
      <c r="D2821" s="220">
        <v>16349</v>
      </c>
      <c r="E2821" s="216" t="s">
        <v>64</v>
      </c>
      <c r="F2821" s="216">
        <v>10</v>
      </c>
      <c r="G2821" s="105"/>
      <c r="H2821" s="57" t="s">
        <v>66</v>
      </c>
      <c r="I2821" s="50">
        <f>I2822+I2823+I2824+I2825+I2826+I2827</f>
        <v>6868854</v>
      </c>
      <c r="J2821" s="50">
        <f>J2822+J2823+J2824+J2825+J2826+J2827</f>
        <v>420.14</v>
      </c>
      <c r="K2821" s="50">
        <f>K2822+K2823+K2824+K2825+K2826+K2827</f>
        <v>420.14</v>
      </c>
    </row>
    <row r="2822" spans="1:11" ht="15.75" customHeight="1" x14ac:dyDescent="0.25">
      <c r="A2822" s="217"/>
      <c r="B2822" s="217"/>
      <c r="C2822" s="219"/>
      <c r="D2822" s="221"/>
      <c r="E2822" s="217"/>
      <c r="F2822" s="217"/>
      <c r="G2822" s="216" t="s">
        <v>174</v>
      </c>
      <c r="H2822" s="57" t="s">
        <v>171</v>
      </c>
      <c r="I2822" s="50">
        <v>2241647</v>
      </c>
      <c r="J2822" s="50">
        <f>I2822/D2821+0.01</f>
        <v>137.12</v>
      </c>
      <c r="K2822" s="50">
        <f>2241647/D2821+0.01</f>
        <v>137.12</v>
      </c>
    </row>
    <row r="2823" spans="1:11" ht="15.75" customHeight="1" x14ac:dyDescent="0.25">
      <c r="A2823" s="217"/>
      <c r="B2823" s="217"/>
      <c r="C2823" s="219"/>
      <c r="D2823" s="221"/>
      <c r="E2823" s="217"/>
      <c r="F2823" s="217"/>
      <c r="G2823" s="222"/>
      <c r="H2823" s="57" t="s">
        <v>69</v>
      </c>
      <c r="I2823" s="50">
        <v>47971</v>
      </c>
      <c r="J2823" s="50">
        <f>I2823/D2821</f>
        <v>2.93</v>
      </c>
      <c r="K2823" s="50">
        <f>47971/D2821</f>
        <v>2.93</v>
      </c>
    </row>
    <row r="2824" spans="1:11" ht="15.75" customHeight="1" x14ac:dyDescent="0.25">
      <c r="A2824" s="217"/>
      <c r="B2824" s="217"/>
      <c r="C2824" s="219"/>
      <c r="D2824" s="221"/>
      <c r="E2824" s="217"/>
      <c r="F2824" s="217"/>
      <c r="G2824" s="216" t="s">
        <v>175</v>
      </c>
      <c r="H2824" s="57" t="s">
        <v>171</v>
      </c>
      <c r="I2824" s="50">
        <v>2241647</v>
      </c>
      <c r="J2824" s="50">
        <f>I2824/D2821</f>
        <v>137.11000000000001</v>
      </c>
      <c r="K2824" s="50">
        <f>2241647/D2821</f>
        <v>137.11000000000001</v>
      </c>
    </row>
    <row r="2825" spans="1:11" ht="15.75" customHeight="1" x14ac:dyDescent="0.25">
      <c r="A2825" s="217"/>
      <c r="B2825" s="217"/>
      <c r="C2825" s="219"/>
      <c r="D2825" s="221"/>
      <c r="E2825" s="217"/>
      <c r="F2825" s="217"/>
      <c r="G2825" s="222"/>
      <c r="H2825" s="57" t="s">
        <v>69</v>
      </c>
      <c r="I2825" s="50">
        <v>47971</v>
      </c>
      <c r="J2825" s="50">
        <f>I2825/D2821</f>
        <v>2.93</v>
      </c>
      <c r="K2825" s="50">
        <f>47971/D2821</f>
        <v>2.93</v>
      </c>
    </row>
    <row r="2826" spans="1:11" ht="15.75" customHeight="1" x14ac:dyDescent="0.25">
      <c r="A2826" s="217"/>
      <c r="B2826" s="217"/>
      <c r="C2826" s="219"/>
      <c r="D2826" s="221"/>
      <c r="E2826" s="217"/>
      <c r="F2826" s="217"/>
      <c r="G2826" s="216" t="s">
        <v>172</v>
      </c>
      <c r="H2826" s="57" t="s">
        <v>171</v>
      </c>
      <c r="I2826" s="50">
        <v>2241647</v>
      </c>
      <c r="J2826" s="50">
        <f>I2826/D2821+0.01</f>
        <v>137.12</v>
      </c>
      <c r="K2826" s="50">
        <f>2241647/D2821+0.01</f>
        <v>137.12</v>
      </c>
    </row>
    <row r="2827" spans="1:11" ht="15.75" customHeight="1" x14ac:dyDescent="0.25">
      <c r="A2827" s="217"/>
      <c r="B2827" s="217"/>
      <c r="C2827" s="219"/>
      <c r="D2827" s="221"/>
      <c r="E2827" s="217"/>
      <c r="F2827" s="217"/>
      <c r="G2827" s="222"/>
      <c r="H2827" s="57" t="s">
        <v>69</v>
      </c>
      <c r="I2827" s="50">
        <v>47971</v>
      </c>
      <c r="J2827" s="50">
        <f>I2827/D2821</f>
        <v>2.93</v>
      </c>
      <c r="K2827" s="50">
        <f>47971/D2821</f>
        <v>2.93</v>
      </c>
    </row>
    <row r="2828" spans="1:11" ht="15.75" customHeight="1" x14ac:dyDescent="0.25">
      <c r="A2828" s="216">
        <f>A2821+1</f>
        <v>62</v>
      </c>
      <c r="B2828" s="216">
        <v>2243</v>
      </c>
      <c r="C2828" s="218" t="s">
        <v>673</v>
      </c>
      <c r="D2828" s="220">
        <v>13145.2</v>
      </c>
      <c r="E2828" s="216" t="s">
        <v>64</v>
      </c>
      <c r="F2828" s="216">
        <v>10</v>
      </c>
      <c r="G2828" s="105"/>
      <c r="H2828" s="57" t="s">
        <v>66</v>
      </c>
      <c r="I2828" s="50">
        <f>I2829+I2830+I2831+I2832+I2833+I2834+I2835+I2836+I2837+I2838+I2839+I2840</f>
        <v>13737708</v>
      </c>
      <c r="J2828" s="50">
        <f>J2829+J2830+J2831+J2832+J2833+J2834+J2835+J2836+J2837+J2838+J2839+J2840</f>
        <v>1045.07</v>
      </c>
      <c r="K2828" s="50">
        <f>K2829+K2830+K2831+K2832+K2833+K2834+K2835+K2836+K2837+K2838+K2839+K2840</f>
        <v>1045.07</v>
      </c>
    </row>
    <row r="2829" spans="1:11" ht="15.75" customHeight="1" x14ac:dyDescent="0.25">
      <c r="A2829" s="217"/>
      <c r="B2829" s="217"/>
      <c r="C2829" s="219"/>
      <c r="D2829" s="221"/>
      <c r="E2829" s="217"/>
      <c r="F2829" s="217"/>
      <c r="G2829" s="216" t="s">
        <v>170</v>
      </c>
      <c r="H2829" s="57" t="s">
        <v>171</v>
      </c>
      <c r="I2829" s="50">
        <v>2241647</v>
      </c>
      <c r="J2829" s="50">
        <f>I2829/D2828</f>
        <v>170.53</v>
      </c>
      <c r="K2829" s="50">
        <f>2241647/D2828</f>
        <v>170.53</v>
      </c>
    </row>
    <row r="2830" spans="1:11" ht="15.75" customHeight="1" x14ac:dyDescent="0.25">
      <c r="A2830" s="217"/>
      <c r="B2830" s="217"/>
      <c r="C2830" s="219"/>
      <c r="D2830" s="221"/>
      <c r="E2830" s="217"/>
      <c r="F2830" s="217"/>
      <c r="G2830" s="222"/>
      <c r="H2830" s="57" t="s">
        <v>69</v>
      </c>
      <c r="I2830" s="50">
        <v>47971</v>
      </c>
      <c r="J2830" s="50">
        <f>I2830/D2828</f>
        <v>3.65</v>
      </c>
      <c r="K2830" s="50">
        <f>47971/D2828</f>
        <v>3.65</v>
      </c>
    </row>
    <row r="2831" spans="1:11" ht="15.75" customHeight="1" x14ac:dyDescent="0.25">
      <c r="A2831" s="217"/>
      <c r="B2831" s="217"/>
      <c r="C2831" s="219"/>
      <c r="D2831" s="221"/>
      <c r="E2831" s="217"/>
      <c r="F2831" s="217"/>
      <c r="G2831" s="216" t="s">
        <v>173</v>
      </c>
      <c r="H2831" s="57" t="s">
        <v>171</v>
      </c>
      <c r="I2831" s="50">
        <v>2241647</v>
      </c>
      <c r="J2831" s="50">
        <f>I2831/D2828</f>
        <v>170.53</v>
      </c>
      <c r="K2831" s="50">
        <f>2241647/D2828</f>
        <v>170.53</v>
      </c>
    </row>
    <row r="2832" spans="1:11" ht="15.75" customHeight="1" x14ac:dyDescent="0.25">
      <c r="A2832" s="217"/>
      <c r="B2832" s="217"/>
      <c r="C2832" s="219"/>
      <c r="D2832" s="221"/>
      <c r="E2832" s="217"/>
      <c r="F2832" s="217"/>
      <c r="G2832" s="222"/>
      <c r="H2832" s="57" t="s">
        <v>69</v>
      </c>
      <c r="I2832" s="50">
        <v>47971</v>
      </c>
      <c r="J2832" s="50">
        <f>I2832/D2828</f>
        <v>3.65</v>
      </c>
      <c r="K2832" s="50">
        <f>47971/D2828</f>
        <v>3.65</v>
      </c>
    </row>
    <row r="2833" spans="1:11" ht="15.75" customHeight="1" x14ac:dyDescent="0.25">
      <c r="A2833" s="217"/>
      <c r="B2833" s="217"/>
      <c r="C2833" s="219"/>
      <c r="D2833" s="221"/>
      <c r="E2833" s="217"/>
      <c r="F2833" s="217"/>
      <c r="G2833" s="216" t="s">
        <v>174</v>
      </c>
      <c r="H2833" s="57" t="s">
        <v>171</v>
      </c>
      <c r="I2833" s="50">
        <v>2241647</v>
      </c>
      <c r="J2833" s="50">
        <f>I2833/D2828-0.01</f>
        <v>170.52</v>
      </c>
      <c r="K2833" s="50">
        <f>2241647/D2828-0.01</f>
        <v>170.52</v>
      </c>
    </row>
    <row r="2834" spans="1:11" ht="15.75" customHeight="1" x14ac:dyDescent="0.25">
      <c r="A2834" s="217"/>
      <c r="B2834" s="217"/>
      <c r="C2834" s="219"/>
      <c r="D2834" s="221"/>
      <c r="E2834" s="217"/>
      <c r="F2834" s="217"/>
      <c r="G2834" s="222"/>
      <c r="H2834" s="57" t="s">
        <v>69</v>
      </c>
      <c r="I2834" s="50">
        <v>47971</v>
      </c>
      <c r="J2834" s="50">
        <f>I2834/D2828</f>
        <v>3.65</v>
      </c>
      <c r="K2834" s="50">
        <f>47971/D2828</f>
        <v>3.65</v>
      </c>
    </row>
    <row r="2835" spans="1:11" ht="15.75" customHeight="1" x14ac:dyDescent="0.25">
      <c r="A2835" s="217"/>
      <c r="B2835" s="217"/>
      <c r="C2835" s="219"/>
      <c r="D2835" s="221"/>
      <c r="E2835" s="217"/>
      <c r="F2835" s="217"/>
      <c r="G2835" s="216" t="s">
        <v>175</v>
      </c>
      <c r="H2835" s="57" t="s">
        <v>171</v>
      </c>
      <c r="I2835" s="50">
        <v>2241647</v>
      </c>
      <c r="J2835" s="50">
        <f>I2835/D2828</f>
        <v>170.53</v>
      </c>
      <c r="K2835" s="50">
        <f>2241647/D2828</f>
        <v>170.53</v>
      </c>
    </row>
    <row r="2836" spans="1:11" ht="15.75" customHeight="1" x14ac:dyDescent="0.25">
      <c r="A2836" s="217"/>
      <c r="B2836" s="217"/>
      <c r="C2836" s="219"/>
      <c r="D2836" s="221"/>
      <c r="E2836" s="217"/>
      <c r="F2836" s="217"/>
      <c r="G2836" s="222"/>
      <c r="H2836" s="57" t="s">
        <v>69</v>
      </c>
      <c r="I2836" s="50">
        <v>47971</v>
      </c>
      <c r="J2836" s="50">
        <f>I2836/D2828</f>
        <v>3.65</v>
      </c>
      <c r="K2836" s="50">
        <f>47971/D2828</f>
        <v>3.65</v>
      </c>
    </row>
    <row r="2837" spans="1:11" ht="15.75" customHeight="1" x14ac:dyDescent="0.25">
      <c r="A2837" s="217"/>
      <c r="B2837" s="217"/>
      <c r="C2837" s="219"/>
      <c r="D2837" s="221"/>
      <c r="E2837" s="217"/>
      <c r="F2837" s="217"/>
      <c r="G2837" s="216" t="s">
        <v>172</v>
      </c>
      <c r="H2837" s="57" t="s">
        <v>171</v>
      </c>
      <c r="I2837" s="50">
        <v>2241647</v>
      </c>
      <c r="J2837" s="50">
        <f>I2837/D2828</f>
        <v>170.53</v>
      </c>
      <c r="K2837" s="50">
        <f>2241647/D2828</f>
        <v>170.53</v>
      </c>
    </row>
    <row r="2838" spans="1:11" ht="15.75" customHeight="1" x14ac:dyDescent="0.25">
      <c r="A2838" s="217"/>
      <c r="B2838" s="217"/>
      <c r="C2838" s="219"/>
      <c r="D2838" s="221"/>
      <c r="E2838" s="217"/>
      <c r="F2838" s="217"/>
      <c r="G2838" s="222"/>
      <c r="H2838" s="57" t="s">
        <v>69</v>
      </c>
      <c r="I2838" s="50">
        <v>47971</v>
      </c>
      <c r="J2838" s="50">
        <f>I2838/D2828</f>
        <v>3.65</v>
      </c>
      <c r="K2838" s="50">
        <f>47971/D2828</f>
        <v>3.65</v>
      </c>
    </row>
    <row r="2839" spans="1:11" ht="15.75" customHeight="1" x14ac:dyDescent="0.25">
      <c r="A2839" s="217"/>
      <c r="B2839" s="217"/>
      <c r="C2839" s="219"/>
      <c r="D2839" s="221"/>
      <c r="E2839" s="217"/>
      <c r="F2839" s="217"/>
      <c r="G2839" s="216" t="s">
        <v>444</v>
      </c>
      <c r="H2839" s="57" t="s">
        <v>171</v>
      </c>
      <c r="I2839" s="50">
        <v>2241647</v>
      </c>
      <c r="J2839" s="50">
        <f>I2839/D2828</f>
        <v>170.53</v>
      </c>
      <c r="K2839" s="50">
        <f>2241647/D2828</f>
        <v>170.53</v>
      </c>
    </row>
    <row r="2840" spans="1:11" ht="15.75" customHeight="1" x14ac:dyDescent="0.25">
      <c r="A2840" s="217"/>
      <c r="B2840" s="217"/>
      <c r="C2840" s="219"/>
      <c r="D2840" s="221"/>
      <c r="E2840" s="217"/>
      <c r="F2840" s="217"/>
      <c r="G2840" s="222"/>
      <c r="H2840" s="57" t="s">
        <v>69</v>
      </c>
      <c r="I2840" s="50">
        <v>47971</v>
      </c>
      <c r="J2840" s="50">
        <f>I2840/D2828</f>
        <v>3.65</v>
      </c>
      <c r="K2840" s="50">
        <f>47971/D2828</f>
        <v>3.65</v>
      </c>
    </row>
    <row r="2841" spans="1:11" x14ac:dyDescent="0.25">
      <c r="A2841" s="215">
        <f>A2828+1</f>
        <v>63</v>
      </c>
      <c r="B2841" s="215">
        <v>2286</v>
      </c>
      <c r="C2841" s="223" t="s">
        <v>220</v>
      </c>
      <c r="D2841" s="224">
        <v>18477.8</v>
      </c>
      <c r="E2841" s="224" t="s">
        <v>64</v>
      </c>
      <c r="F2841" s="225">
        <v>9</v>
      </c>
      <c r="G2841" s="215" t="s">
        <v>65</v>
      </c>
      <c r="H2841" s="57" t="s">
        <v>66</v>
      </c>
      <c r="I2841" s="50">
        <f>I2842+I2843</f>
        <v>41258864.920000002</v>
      </c>
      <c r="J2841" s="50">
        <f>J2842+J2843</f>
        <v>2232.89</v>
      </c>
      <c r="K2841" s="50">
        <f>K2842+K2843</f>
        <v>2492</v>
      </c>
    </row>
    <row r="2842" spans="1:11" x14ac:dyDescent="0.25">
      <c r="A2842" s="215">
        <v>77</v>
      </c>
      <c r="B2842" s="215"/>
      <c r="C2842" s="223"/>
      <c r="D2842" s="215"/>
      <c r="E2842" s="224"/>
      <c r="F2842" s="225"/>
      <c r="G2842" s="215"/>
      <c r="H2842" s="57" t="s">
        <v>67</v>
      </c>
      <c r="I2842" s="50">
        <f>(32275830+726150.59)*1.02*1.2</f>
        <v>40394424.240000002</v>
      </c>
      <c r="J2842" s="50">
        <f>I2842/D2841</f>
        <v>2186.11</v>
      </c>
      <c r="K2842" s="50">
        <v>2440</v>
      </c>
    </row>
    <row r="2843" spans="1:11" x14ac:dyDescent="0.25">
      <c r="A2843" s="215"/>
      <c r="B2843" s="215"/>
      <c r="C2843" s="223"/>
      <c r="D2843" s="215"/>
      <c r="E2843" s="224"/>
      <c r="F2843" s="225"/>
      <c r="G2843" s="215"/>
      <c r="H2843" s="57" t="s">
        <v>69</v>
      </c>
      <c r="I2843" s="50">
        <f>I2842*0.0214</f>
        <v>864440.68</v>
      </c>
      <c r="J2843" s="50">
        <f>I2843/D2841</f>
        <v>46.78</v>
      </c>
      <c r="K2843" s="50">
        <v>52</v>
      </c>
    </row>
    <row r="2844" spans="1:11" ht="15.75" customHeight="1" x14ac:dyDescent="0.25">
      <c r="A2844" s="216">
        <f>A2841+1</f>
        <v>64</v>
      </c>
      <c r="B2844" s="216">
        <v>2397</v>
      </c>
      <c r="C2844" s="218" t="s">
        <v>674</v>
      </c>
      <c r="D2844" s="220">
        <v>2703.3</v>
      </c>
      <c r="E2844" s="216" t="s">
        <v>64</v>
      </c>
      <c r="F2844" s="216">
        <v>10</v>
      </c>
      <c r="G2844" s="105"/>
      <c r="H2844" s="57" t="s">
        <v>66</v>
      </c>
      <c r="I2844" s="50">
        <f>I2845+I2846+I2847+I2848</f>
        <v>4579236</v>
      </c>
      <c r="J2844" s="50">
        <f>J2845+J2846+J2847+J2848</f>
        <v>1693.94</v>
      </c>
      <c r="K2844" s="50">
        <f>K2845+K2846+K2847+K2848</f>
        <v>1693.94</v>
      </c>
    </row>
    <row r="2845" spans="1:11" ht="15.75" customHeight="1" x14ac:dyDescent="0.25">
      <c r="A2845" s="217"/>
      <c r="B2845" s="217"/>
      <c r="C2845" s="219"/>
      <c r="D2845" s="221"/>
      <c r="E2845" s="217"/>
      <c r="F2845" s="217"/>
      <c r="G2845" s="216" t="s">
        <v>170</v>
      </c>
      <c r="H2845" s="57" t="s">
        <v>171</v>
      </c>
      <c r="I2845" s="50">
        <v>2241647</v>
      </c>
      <c r="J2845" s="50">
        <f>I2845/D2844-0.01</f>
        <v>829.22</v>
      </c>
      <c r="K2845" s="50">
        <f>2241647/D2844-0.01</f>
        <v>829.22</v>
      </c>
    </row>
    <row r="2846" spans="1:11" ht="15.75" customHeight="1" x14ac:dyDescent="0.25">
      <c r="A2846" s="217"/>
      <c r="B2846" s="217"/>
      <c r="C2846" s="219"/>
      <c r="D2846" s="221"/>
      <c r="E2846" s="217"/>
      <c r="F2846" s="217"/>
      <c r="G2846" s="222"/>
      <c r="H2846" s="57" t="s">
        <v>69</v>
      </c>
      <c r="I2846" s="50">
        <v>47971</v>
      </c>
      <c r="J2846" s="50">
        <f>I2846/D2844</f>
        <v>17.75</v>
      </c>
      <c r="K2846" s="50">
        <f>47971/D2844</f>
        <v>17.75</v>
      </c>
    </row>
    <row r="2847" spans="1:11" ht="15.75" customHeight="1" x14ac:dyDescent="0.25">
      <c r="A2847" s="217"/>
      <c r="B2847" s="217"/>
      <c r="C2847" s="219"/>
      <c r="D2847" s="221"/>
      <c r="E2847" s="217"/>
      <c r="F2847" s="217"/>
      <c r="G2847" s="216" t="s">
        <v>173</v>
      </c>
      <c r="H2847" s="57" t="s">
        <v>171</v>
      </c>
      <c r="I2847" s="50">
        <v>2241647</v>
      </c>
      <c r="J2847" s="50">
        <f>I2847/D2844-0.01</f>
        <v>829.22</v>
      </c>
      <c r="K2847" s="50">
        <f>2241647/D2844-0.01</f>
        <v>829.22</v>
      </c>
    </row>
    <row r="2848" spans="1:11" ht="15.75" customHeight="1" x14ac:dyDescent="0.25">
      <c r="A2848" s="217"/>
      <c r="B2848" s="217"/>
      <c r="C2848" s="219"/>
      <c r="D2848" s="221"/>
      <c r="E2848" s="217"/>
      <c r="F2848" s="217"/>
      <c r="G2848" s="222"/>
      <c r="H2848" s="57" t="s">
        <v>69</v>
      </c>
      <c r="I2848" s="50">
        <v>47971</v>
      </c>
      <c r="J2848" s="50">
        <f>I2848/D2844</f>
        <v>17.75</v>
      </c>
      <c r="K2848" s="50">
        <f>47971/D2844</f>
        <v>17.75</v>
      </c>
    </row>
    <row r="2849" spans="1:11" ht="15.75" customHeight="1" x14ac:dyDescent="0.25">
      <c r="A2849" s="216">
        <f>A2844+1</f>
        <v>65</v>
      </c>
      <c r="B2849" s="216">
        <v>2379</v>
      </c>
      <c r="C2849" s="218" t="s">
        <v>675</v>
      </c>
      <c r="D2849" s="220">
        <v>7274</v>
      </c>
      <c r="E2849" s="216" t="s">
        <v>64</v>
      </c>
      <c r="F2849" s="216">
        <v>10</v>
      </c>
      <c r="G2849" s="105"/>
      <c r="H2849" s="57" t="s">
        <v>66</v>
      </c>
      <c r="I2849" s="50">
        <f>I2850+I2851+I2852+I2853+I2854+I2855</f>
        <v>6868854</v>
      </c>
      <c r="J2849" s="50">
        <f>J2850+J2851+J2852+J2853+J2854+J2855</f>
        <v>944.3</v>
      </c>
      <c r="K2849" s="50">
        <f>K2850+K2851+K2852+K2853+K2854+K2855</f>
        <v>944.3</v>
      </c>
    </row>
    <row r="2850" spans="1:11" ht="15.75" customHeight="1" x14ac:dyDescent="0.25">
      <c r="A2850" s="217"/>
      <c r="B2850" s="217"/>
      <c r="C2850" s="219"/>
      <c r="D2850" s="221"/>
      <c r="E2850" s="217"/>
      <c r="F2850" s="217"/>
      <c r="G2850" s="216" t="s">
        <v>170</v>
      </c>
      <c r="H2850" s="57" t="s">
        <v>171</v>
      </c>
      <c r="I2850" s="50">
        <v>2241647</v>
      </c>
      <c r="J2850" s="50">
        <f>I2850/D2849+0.01</f>
        <v>308.18</v>
      </c>
      <c r="K2850" s="50">
        <f>2241647/D2849+0.01</f>
        <v>308.18</v>
      </c>
    </row>
    <row r="2851" spans="1:11" ht="15.75" customHeight="1" x14ac:dyDescent="0.25">
      <c r="A2851" s="217"/>
      <c r="B2851" s="217"/>
      <c r="C2851" s="219"/>
      <c r="D2851" s="221"/>
      <c r="E2851" s="217"/>
      <c r="F2851" s="217"/>
      <c r="G2851" s="222"/>
      <c r="H2851" s="57" t="s">
        <v>69</v>
      </c>
      <c r="I2851" s="50">
        <v>47971</v>
      </c>
      <c r="J2851" s="50">
        <f>I2851/D2849</f>
        <v>6.59</v>
      </c>
      <c r="K2851" s="50">
        <f>47971/D2849</f>
        <v>6.59</v>
      </c>
    </row>
    <row r="2852" spans="1:11" ht="15.75" customHeight="1" x14ac:dyDescent="0.25">
      <c r="A2852" s="217"/>
      <c r="B2852" s="217"/>
      <c r="C2852" s="219"/>
      <c r="D2852" s="221"/>
      <c r="E2852" s="217"/>
      <c r="F2852" s="217"/>
      <c r="G2852" s="216" t="s">
        <v>173</v>
      </c>
      <c r="H2852" s="57" t="s">
        <v>171</v>
      </c>
      <c r="I2852" s="50">
        <v>2241647</v>
      </c>
      <c r="J2852" s="50">
        <f>I2852/D2849</f>
        <v>308.17</v>
      </c>
      <c r="K2852" s="50">
        <f>2241647/D2849</f>
        <v>308.17</v>
      </c>
    </row>
    <row r="2853" spans="1:11" ht="15.75" customHeight="1" x14ac:dyDescent="0.25">
      <c r="A2853" s="217"/>
      <c r="B2853" s="217"/>
      <c r="C2853" s="219"/>
      <c r="D2853" s="221"/>
      <c r="E2853" s="217"/>
      <c r="F2853" s="217"/>
      <c r="G2853" s="222"/>
      <c r="H2853" s="57" t="s">
        <v>69</v>
      </c>
      <c r="I2853" s="50">
        <v>47971</v>
      </c>
      <c r="J2853" s="50">
        <f>I2853/D2849</f>
        <v>6.59</v>
      </c>
      <c r="K2853" s="50">
        <f>47971/D2849</f>
        <v>6.59</v>
      </c>
    </row>
    <row r="2854" spans="1:11" ht="15.75" customHeight="1" x14ac:dyDescent="0.25">
      <c r="A2854" s="217"/>
      <c r="B2854" s="217"/>
      <c r="C2854" s="219"/>
      <c r="D2854" s="221"/>
      <c r="E2854" s="217"/>
      <c r="F2854" s="217"/>
      <c r="G2854" s="216" t="s">
        <v>174</v>
      </c>
      <c r="H2854" s="57" t="s">
        <v>171</v>
      </c>
      <c r="I2854" s="50">
        <v>2241647</v>
      </c>
      <c r="J2854" s="50">
        <f>I2854/D2849+0.01</f>
        <v>308.18</v>
      </c>
      <c r="K2854" s="50">
        <f>2241647/D2849+0.01</f>
        <v>308.18</v>
      </c>
    </row>
    <row r="2855" spans="1:11" ht="15.75" customHeight="1" x14ac:dyDescent="0.25">
      <c r="A2855" s="217"/>
      <c r="B2855" s="217"/>
      <c r="C2855" s="219"/>
      <c r="D2855" s="221"/>
      <c r="E2855" s="217"/>
      <c r="F2855" s="217"/>
      <c r="G2855" s="222"/>
      <c r="H2855" s="57" t="s">
        <v>69</v>
      </c>
      <c r="I2855" s="50">
        <v>47971</v>
      </c>
      <c r="J2855" s="50">
        <f>I2855/D2849</f>
        <v>6.59</v>
      </c>
      <c r="K2855" s="50">
        <f>47971/D2849</f>
        <v>6.59</v>
      </c>
    </row>
    <row r="2856" spans="1:11" ht="15.75" customHeight="1" x14ac:dyDescent="0.25">
      <c r="A2856" s="215">
        <f>A2849+1</f>
        <v>66</v>
      </c>
      <c r="B2856" s="215">
        <v>2954</v>
      </c>
      <c r="C2856" s="223" t="s">
        <v>676</v>
      </c>
      <c r="D2856" s="224">
        <v>1238.2</v>
      </c>
      <c r="E2856" s="224" t="s">
        <v>68</v>
      </c>
      <c r="F2856" s="225">
        <v>4</v>
      </c>
      <c r="G2856" s="215" t="s">
        <v>74</v>
      </c>
      <c r="H2856" s="57" t="s">
        <v>66</v>
      </c>
      <c r="I2856" s="50">
        <f>I2857+I2858</f>
        <v>448228.4</v>
      </c>
      <c r="J2856" s="50">
        <f>J2857+J2858</f>
        <v>362</v>
      </c>
      <c r="K2856" s="50">
        <f>K2857+K2858</f>
        <v>362</v>
      </c>
    </row>
    <row r="2857" spans="1:11" ht="15.75" customHeight="1" x14ac:dyDescent="0.25">
      <c r="A2857" s="215"/>
      <c r="B2857" s="215"/>
      <c r="C2857" s="223"/>
      <c r="D2857" s="224"/>
      <c r="E2857" s="224"/>
      <c r="F2857" s="225"/>
      <c r="G2857" s="215"/>
      <c r="H2857" s="57" t="s">
        <v>67</v>
      </c>
      <c r="I2857" s="50">
        <f>K2857*D2856</f>
        <v>438322.8</v>
      </c>
      <c r="J2857" s="50">
        <f>I2857/D2856</f>
        <v>354</v>
      </c>
      <c r="K2857" s="50">
        <v>354</v>
      </c>
    </row>
    <row r="2858" spans="1:11" ht="15.75" customHeight="1" x14ac:dyDescent="0.25">
      <c r="A2858" s="215"/>
      <c r="B2858" s="215"/>
      <c r="C2858" s="223"/>
      <c r="D2858" s="224"/>
      <c r="E2858" s="224"/>
      <c r="F2858" s="225"/>
      <c r="G2858" s="215"/>
      <c r="H2858" s="57" t="s">
        <v>69</v>
      </c>
      <c r="I2858" s="50">
        <f>D2856*K2858</f>
        <v>9905.6</v>
      </c>
      <c r="J2858" s="50">
        <f>I2858/D2856</f>
        <v>8</v>
      </c>
      <c r="K2858" s="50">
        <v>8</v>
      </c>
    </row>
    <row r="2859" spans="1:11" ht="15.75" customHeight="1" x14ac:dyDescent="0.25">
      <c r="A2859" s="215">
        <f>A2856+1</f>
        <v>67</v>
      </c>
      <c r="B2859" s="215">
        <v>2955</v>
      </c>
      <c r="C2859" s="223" t="s">
        <v>677</v>
      </c>
      <c r="D2859" s="224">
        <v>1089.3</v>
      </c>
      <c r="E2859" s="224" t="s">
        <v>68</v>
      </c>
      <c r="F2859" s="225">
        <v>4</v>
      </c>
      <c r="G2859" s="215" t="s">
        <v>74</v>
      </c>
      <c r="H2859" s="57" t="s">
        <v>66</v>
      </c>
      <c r="I2859" s="50">
        <f>I2860+I2861</f>
        <v>394326.6</v>
      </c>
      <c r="J2859" s="50">
        <f>J2860+J2861</f>
        <v>362</v>
      </c>
      <c r="K2859" s="50">
        <f>K2860+K2861</f>
        <v>362</v>
      </c>
    </row>
    <row r="2860" spans="1:11" ht="15.75" customHeight="1" x14ac:dyDescent="0.25">
      <c r="A2860" s="215"/>
      <c r="B2860" s="215"/>
      <c r="C2860" s="223"/>
      <c r="D2860" s="224"/>
      <c r="E2860" s="224"/>
      <c r="F2860" s="225"/>
      <c r="G2860" s="215"/>
      <c r="H2860" s="57" t="s">
        <v>67</v>
      </c>
      <c r="I2860" s="50">
        <f>K2860*D2859</f>
        <v>385612.2</v>
      </c>
      <c r="J2860" s="50">
        <f>I2860/D2859</f>
        <v>354</v>
      </c>
      <c r="K2860" s="50">
        <v>354</v>
      </c>
    </row>
    <row r="2861" spans="1:11" ht="15.75" customHeight="1" x14ac:dyDescent="0.25">
      <c r="A2861" s="215"/>
      <c r="B2861" s="215"/>
      <c r="C2861" s="223"/>
      <c r="D2861" s="224"/>
      <c r="E2861" s="224"/>
      <c r="F2861" s="225"/>
      <c r="G2861" s="215"/>
      <c r="H2861" s="57" t="s">
        <v>69</v>
      </c>
      <c r="I2861" s="50">
        <f>D2859*K2861</f>
        <v>8714.4</v>
      </c>
      <c r="J2861" s="50">
        <f>I2861/D2859</f>
        <v>8</v>
      </c>
      <c r="K2861" s="50">
        <v>8</v>
      </c>
    </row>
    <row r="2862" spans="1:11" x14ac:dyDescent="0.25">
      <c r="A2862" s="51" t="s">
        <v>31</v>
      </c>
      <c r="B2862" s="51"/>
      <c r="C2862" s="165"/>
      <c r="D2862" s="109">
        <f>D2863+D2866</f>
        <v>1102.8</v>
      </c>
      <c r="E2862" s="50"/>
      <c r="F2862" s="50"/>
      <c r="G2862" s="109"/>
      <c r="H2862" s="55"/>
      <c r="I2862" s="50">
        <f>I2863+I2866</f>
        <v>3216795.3</v>
      </c>
      <c r="J2862" s="50"/>
      <c r="K2862" s="50"/>
    </row>
    <row r="2863" spans="1:11" x14ac:dyDescent="0.25">
      <c r="A2863" s="216">
        <v>1</v>
      </c>
      <c r="B2863" s="216">
        <v>8047</v>
      </c>
      <c r="C2863" s="218" t="s">
        <v>440</v>
      </c>
      <c r="D2863" s="220">
        <v>395.7</v>
      </c>
      <c r="E2863" s="220" t="s">
        <v>167</v>
      </c>
      <c r="F2863" s="228">
        <v>2</v>
      </c>
      <c r="G2863" s="110"/>
      <c r="H2863" s="57" t="s">
        <v>66</v>
      </c>
      <c r="I2863" s="50">
        <f>I2864+I2865</f>
        <v>3042141.6</v>
      </c>
      <c r="J2863" s="50">
        <f>J2864+J2865</f>
        <v>7688</v>
      </c>
      <c r="K2863" s="50">
        <f>K2864+K2865</f>
        <v>7688</v>
      </c>
    </row>
    <row r="2864" spans="1:11" x14ac:dyDescent="0.25">
      <c r="A2864" s="217"/>
      <c r="B2864" s="217"/>
      <c r="C2864" s="219"/>
      <c r="D2864" s="221"/>
      <c r="E2864" s="221"/>
      <c r="F2864" s="229"/>
      <c r="G2864" s="216" t="s">
        <v>65</v>
      </c>
      <c r="H2864" s="57" t="s">
        <v>67</v>
      </c>
      <c r="I2864" s="50">
        <f>D2863*K2864</f>
        <v>2978433.9</v>
      </c>
      <c r="J2864" s="50">
        <f>I2864/D2863</f>
        <v>7527</v>
      </c>
      <c r="K2864" s="50">
        <v>7527</v>
      </c>
    </row>
    <row r="2865" spans="1:11" x14ac:dyDescent="0.25">
      <c r="A2865" s="222"/>
      <c r="B2865" s="222"/>
      <c r="C2865" s="226"/>
      <c r="D2865" s="227"/>
      <c r="E2865" s="227"/>
      <c r="F2865" s="230"/>
      <c r="G2865" s="222"/>
      <c r="H2865" s="57" t="s">
        <v>69</v>
      </c>
      <c r="I2865" s="50">
        <f>D2863*K2865</f>
        <v>63707.7</v>
      </c>
      <c r="J2865" s="50">
        <f>I2865/D2863</f>
        <v>161</v>
      </c>
      <c r="K2865" s="50">
        <v>161</v>
      </c>
    </row>
    <row r="2866" spans="1:11" ht="15.75" customHeight="1" x14ac:dyDescent="0.25">
      <c r="A2866" s="215">
        <f>A2863+1</f>
        <v>2</v>
      </c>
      <c r="B2866" s="215">
        <v>4847</v>
      </c>
      <c r="C2866" s="223" t="s">
        <v>569</v>
      </c>
      <c r="D2866" s="224">
        <v>707.1</v>
      </c>
      <c r="E2866" s="225" t="s">
        <v>68</v>
      </c>
      <c r="F2866" s="225">
        <v>2</v>
      </c>
      <c r="G2866" s="108"/>
      <c r="H2866" s="57" t="s">
        <v>66</v>
      </c>
      <c r="I2866" s="50">
        <f>I2867</f>
        <v>174653.7</v>
      </c>
      <c r="J2866" s="50">
        <f>J2867</f>
        <v>247</v>
      </c>
      <c r="K2866" s="50">
        <f>K2867</f>
        <v>247</v>
      </c>
    </row>
    <row r="2867" spans="1:11" ht="63" x14ac:dyDescent="0.25">
      <c r="A2867" s="215">
        <v>15</v>
      </c>
      <c r="B2867" s="215"/>
      <c r="C2867" s="223"/>
      <c r="D2867" s="224"/>
      <c r="E2867" s="225"/>
      <c r="F2867" s="225"/>
      <c r="G2867" s="105" t="s">
        <v>65</v>
      </c>
      <c r="H2867" s="57" t="s">
        <v>168</v>
      </c>
      <c r="I2867" s="50">
        <f>D2866*K2867</f>
        <v>174653.7</v>
      </c>
      <c r="J2867" s="50">
        <f>I2867/D2866</f>
        <v>247</v>
      </c>
      <c r="K2867" s="50">
        <f>151+96</f>
        <v>247</v>
      </c>
    </row>
    <row r="2868" spans="1:11" x14ac:dyDescent="0.25">
      <c r="A2868" s="196" t="s">
        <v>32</v>
      </c>
      <c r="B2868" s="197"/>
      <c r="C2868" s="198"/>
      <c r="D2868" s="50">
        <f>D2869</f>
        <v>519.54</v>
      </c>
      <c r="E2868" s="50"/>
      <c r="F2868" s="68"/>
      <c r="G2868" s="105"/>
      <c r="H2868" s="57"/>
      <c r="I2868" s="50">
        <f>I2869</f>
        <v>3010058.9</v>
      </c>
      <c r="J2868" s="50"/>
      <c r="K2868" s="50"/>
    </row>
    <row r="2869" spans="1:11" x14ac:dyDescent="0.25">
      <c r="A2869" s="216">
        <v>1</v>
      </c>
      <c r="B2869" s="216">
        <v>7317</v>
      </c>
      <c r="C2869" s="218" t="s">
        <v>505</v>
      </c>
      <c r="D2869" s="220">
        <v>519.54</v>
      </c>
      <c r="E2869" s="220" t="s">
        <v>167</v>
      </c>
      <c r="F2869" s="228">
        <v>2</v>
      </c>
      <c r="G2869" s="215" t="s">
        <v>65</v>
      </c>
      <c r="H2869" s="57" t="s">
        <v>66</v>
      </c>
      <c r="I2869" s="50">
        <f>I2870+I2871</f>
        <v>3010058.9</v>
      </c>
      <c r="J2869" s="50">
        <f>J2870+J2871</f>
        <v>5793.7</v>
      </c>
      <c r="K2869" s="50">
        <f>K2870+K2871</f>
        <v>8203</v>
      </c>
    </row>
    <row r="2870" spans="1:11" x14ac:dyDescent="0.25">
      <c r="A2870" s="217"/>
      <c r="B2870" s="217"/>
      <c r="C2870" s="219"/>
      <c r="D2870" s="221"/>
      <c r="E2870" s="221"/>
      <c r="F2870" s="229"/>
      <c r="G2870" s="215"/>
      <c r="H2870" s="57" t="s">
        <v>67</v>
      </c>
      <c r="I2870" s="50">
        <f>D2869*K2870*0.7</f>
        <v>2920698.02</v>
      </c>
      <c r="J2870" s="50">
        <f>I2870/D2869</f>
        <v>5621.7</v>
      </c>
      <c r="K2870" s="50">
        <v>8031</v>
      </c>
    </row>
    <row r="2871" spans="1:11" x14ac:dyDescent="0.25">
      <c r="A2871" s="222"/>
      <c r="B2871" s="222"/>
      <c r="C2871" s="226"/>
      <c r="D2871" s="227"/>
      <c r="E2871" s="227"/>
      <c r="F2871" s="230"/>
      <c r="G2871" s="215"/>
      <c r="H2871" s="57" t="s">
        <v>69</v>
      </c>
      <c r="I2871" s="50">
        <f>D2869*K2871</f>
        <v>89360.88</v>
      </c>
      <c r="J2871" s="50">
        <f>I2871/D2869</f>
        <v>172</v>
      </c>
      <c r="K2871" s="50">
        <v>172</v>
      </c>
    </row>
    <row r="2872" spans="1:11" x14ac:dyDescent="0.25">
      <c r="A2872" s="51" t="s">
        <v>34</v>
      </c>
      <c r="B2872" s="113"/>
      <c r="C2872" s="91"/>
      <c r="D2872" s="109">
        <f>D2873</f>
        <v>291.3</v>
      </c>
      <c r="E2872" s="109"/>
      <c r="F2872" s="109"/>
      <c r="G2872" s="109"/>
      <c r="H2872" s="64"/>
      <c r="I2872" s="109">
        <f>I2873</f>
        <v>1018676.1</v>
      </c>
      <c r="J2872" s="50"/>
      <c r="K2872" s="50"/>
    </row>
    <row r="2873" spans="1:11" x14ac:dyDescent="0.25">
      <c r="A2873" s="215">
        <v>1</v>
      </c>
      <c r="B2873" s="215">
        <v>6732</v>
      </c>
      <c r="C2873" s="223" t="s">
        <v>294</v>
      </c>
      <c r="D2873" s="220">
        <v>291.3</v>
      </c>
      <c r="E2873" s="220" t="s">
        <v>68</v>
      </c>
      <c r="F2873" s="228">
        <v>2</v>
      </c>
      <c r="G2873" s="110"/>
      <c r="H2873" s="57" t="s">
        <v>66</v>
      </c>
      <c r="I2873" s="50">
        <f>I2875+I2874+I2876+I2877</f>
        <v>1018676.1</v>
      </c>
      <c r="J2873" s="50">
        <f>J2875+J2874+J2876+J2877</f>
        <v>3497</v>
      </c>
      <c r="K2873" s="50">
        <f>K2875+K2874+K2876+K2877</f>
        <v>3497</v>
      </c>
    </row>
    <row r="2874" spans="1:11" x14ac:dyDescent="0.25">
      <c r="A2874" s="215"/>
      <c r="B2874" s="215"/>
      <c r="C2874" s="223"/>
      <c r="D2874" s="221"/>
      <c r="E2874" s="221"/>
      <c r="F2874" s="229"/>
      <c r="G2874" s="215" t="s">
        <v>70</v>
      </c>
      <c r="H2874" s="57" t="s">
        <v>67</v>
      </c>
      <c r="I2874" s="50">
        <f>D2873*K2874</f>
        <v>847974.3</v>
      </c>
      <c r="J2874" s="50">
        <f>I2874/D2873</f>
        <v>2911</v>
      </c>
      <c r="K2874" s="50">
        <v>2911</v>
      </c>
    </row>
    <row r="2875" spans="1:11" x14ac:dyDescent="0.25">
      <c r="A2875" s="215"/>
      <c r="B2875" s="215"/>
      <c r="C2875" s="223"/>
      <c r="D2875" s="221"/>
      <c r="E2875" s="221"/>
      <c r="F2875" s="229"/>
      <c r="G2875" s="215"/>
      <c r="H2875" s="57" t="s">
        <v>69</v>
      </c>
      <c r="I2875" s="50">
        <f>D2873*K2875</f>
        <v>18060.599999999999</v>
      </c>
      <c r="J2875" s="50">
        <f>I2875/D2873</f>
        <v>62</v>
      </c>
      <c r="K2875" s="50">
        <v>62</v>
      </c>
    </row>
    <row r="2876" spans="1:11" x14ac:dyDescent="0.25">
      <c r="A2876" s="215"/>
      <c r="B2876" s="215"/>
      <c r="C2876" s="223"/>
      <c r="D2876" s="221"/>
      <c r="E2876" s="221"/>
      <c r="F2876" s="229"/>
      <c r="G2876" s="215" t="s">
        <v>71</v>
      </c>
      <c r="H2876" s="57" t="s">
        <v>67</v>
      </c>
      <c r="I2876" s="50">
        <f>D2873*K2876</f>
        <v>149436.9</v>
      </c>
      <c r="J2876" s="50">
        <f>I2876/D2873</f>
        <v>513</v>
      </c>
      <c r="K2876" s="50">
        <v>513</v>
      </c>
    </row>
    <row r="2877" spans="1:11" x14ac:dyDescent="0.25">
      <c r="A2877" s="215"/>
      <c r="B2877" s="215"/>
      <c r="C2877" s="223"/>
      <c r="D2877" s="227"/>
      <c r="E2877" s="227"/>
      <c r="F2877" s="230"/>
      <c r="G2877" s="215"/>
      <c r="H2877" s="57" t="s">
        <v>69</v>
      </c>
      <c r="I2877" s="50">
        <f>D2873*K2877</f>
        <v>3204.3</v>
      </c>
      <c r="J2877" s="50">
        <f>I2877/D2873</f>
        <v>11</v>
      </c>
      <c r="K2877" s="50">
        <v>11</v>
      </c>
    </row>
    <row r="2878" spans="1:11" x14ac:dyDescent="0.25">
      <c r="A2878" s="169" t="s">
        <v>35</v>
      </c>
      <c r="B2878" s="170"/>
      <c r="C2878" s="171"/>
      <c r="D2878" s="50">
        <f>D2879+D2884+D2887+D2892+D2895+D2898+D2901+D2904+D2907+D2910+D2913+D2916+D2919+D2922</f>
        <v>7327.8</v>
      </c>
      <c r="E2878" s="50"/>
      <c r="F2878" s="50"/>
      <c r="G2878" s="105"/>
      <c r="H2878" s="57"/>
      <c r="I2878" s="50">
        <f>I2879+I2884+I2887+I2892+I2895+I2898+I2901+I2904+I2907+I2910+I2913+I2916+I2919+I2922</f>
        <v>54242460.200000003</v>
      </c>
      <c r="J2878" s="50"/>
      <c r="K2878" s="50"/>
    </row>
    <row r="2879" spans="1:11" x14ac:dyDescent="0.25">
      <c r="A2879" s="216">
        <v>1</v>
      </c>
      <c r="B2879" s="215">
        <v>5379</v>
      </c>
      <c r="C2879" s="223" t="s">
        <v>535</v>
      </c>
      <c r="D2879" s="224">
        <v>327.39999999999998</v>
      </c>
      <c r="E2879" s="224" t="s">
        <v>68</v>
      </c>
      <c r="F2879" s="225">
        <v>2</v>
      </c>
      <c r="G2879" s="108"/>
      <c r="H2879" s="57" t="s">
        <v>66</v>
      </c>
      <c r="I2879" s="50">
        <f>SUM(I2880:I2883)</f>
        <v>1198611.3999999999</v>
      </c>
      <c r="J2879" s="50">
        <f t="shared" ref="J2879:K2879" si="82">SUM(J2880:J2883)</f>
        <v>3661</v>
      </c>
      <c r="K2879" s="50">
        <f t="shared" si="82"/>
        <v>3661</v>
      </c>
    </row>
    <row r="2880" spans="1:11" x14ac:dyDescent="0.25">
      <c r="A2880" s="217"/>
      <c r="B2880" s="215"/>
      <c r="C2880" s="223"/>
      <c r="D2880" s="224"/>
      <c r="E2880" s="224"/>
      <c r="F2880" s="225"/>
      <c r="G2880" s="215" t="s">
        <v>70</v>
      </c>
      <c r="H2880" s="57" t="s">
        <v>67</v>
      </c>
      <c r="I2880" s="50">
        <f>D2879*K2880</f>
        <v>971395.8</v>
      </c>
      <c r="J2880" s="50">
        <f>I2880/D2879</f>
        <v>2967</v>
      </c>
      <c r="K2880" s="50">
        <v>2967</v>
      </c>
    </row>
    <row r="2881" spans="1:11" x14ac:dyDescent="0.25">
      <c r="A2881" s="217"/>
      <c r="B2881" s="215"/>
      <c r="C2881" s="223"/>
      <c r="D2881" s="224"/>
      <c r="E2881" s="224"/>
      <c r="F2881" s="225"/>
      <c r="G2881" s="215"/>
      <c r="H2881" s="57" t="s">
        <v>69</v>
      </c>
      <c r="I2881" s="50">
        <f>D2879*K2881</f>
        <v>20626.2</v>
      </c>
      <c r="J2881" s="50">
        <f>I2881/D2879</f>
        <v>63</v>
      </c>
      <c r="K2881" s="50">
        <v>63</v>
      </c>
    </row>
    <row r="2882" spans="1:11" x14ac:dyDescent="0.25">
      <c r="A2882" s="217"/>
      <c r="B2882" s="215"/>
      <c r="C2882" s="223"/>
      <c r="D2882" s="224"/>
      <c r="E2882" s="224"/>
      <c r="F2882" s="225"/>
      <c r="G2882" s="215" t="s">
        <v>71</v>
      </c>
      <c r="H2882" s="57" t="s">
        <v>67</v>
      </c>
      <c r="I2882" s="50">
        <f>D2879*K2882</f>
        <v>202333.2</v>
      </c>
      <c r="J2882" s="50">
        <f>I2882/D2879</f>
        <v>618</v>
      </c>
      <c r="K2882" s="50">
        <v>618</v>
      </c>
    </row>
    <row r="2883" spans="1:11" x14ac:dyDescent="0.25">
      <c r="A2883" s="222"/>
      <c r="B2883" s="215"/>
      <c r="C2883" s="223"/>
      <c r="D2883" s="224"/>
      <c r="E2883" s="224"/>
      <c r="F2883" s="225"/>
      <c r="G2883" s="215"/>
      <c r="H2883" s="57" t="s">
        <v>69</v>
      </c>
      <c r="I2883" s="50">
        <f>D2879*K2883</f>
        <v>4256.2</v>
      </c>
      <c r="J2883" s="50">
        <f>I2883/D2879</f>
        <v>13</v>
      </c>
      <c r="K2883" s="50">
        <v>13</v>
      </c>
    </row>
    <row r="2884" spans="1:11" x14ac:dyDescent="0.25">
      <c r="A2884" s="216">
        <f>A2879+1</f>
        <v>2</v>
      </c>
      <c r="B2884" s="216">
        <v>5584</v>
      </c>
      <c r="C2884" s="218" t="s">
        <v>536</v>
      </c>
      <c r="D2884" s="220">
        <v>293.39999999999998</v>
      </c>
      <c r="E2884" s="220" t="s">
        <v>167</v>
      </c>
      <c r="F2884" s="228">
        <v>2</v>
      </c>
      <c r="G2884" s="295" t="s">
        <v>65</v>
      </c>
      <c r="H2884" s="57" t="s">
        <v>66</v>
      </c>
      <c r="I2884" s="50">
        <f>SUM(I2885:I2886)</f>
        <v>2406760.2000000002</v>
      </c>
      <c r="J2884" s="50">
        <f>SUM(J2885:J2886)</f>
        <v>8203</v>
      </c>
      <c r="K2884" s="50">
        <f>SUM(K2885:K2886)</f>
        <v>8203</v>
      </c>
    </row>
    <row r="2885" spans="1:11" x14ac:dyDescent="0.25">
      <c r="A2885" s="217"/>
      <c r="B2885" s="217"/>
      <c r="C2885" s="219"/>
      <c r="D2885" s="221"/>
      <c r="E2885" s="221"/>
      <c r="F2885" s="229"/>
      <c r="G2885" s="296"/>
      <c r="H2885" s="57" t="s">
        <v>67</v>
      </c>
      <c r="I2885" s="50">
        <f>D2884*K2885</f>
        <v>2356295.4</v>
      </c>
      <c r="J2885" s="50">
        <f>I2885/D2884</f>
        <v>8031</v>
      </c>
      <c r="K2885" s="50">
        <v>8031</v>
      </c>
    </row>
    <row r="2886" spans="1:11" x14ac:dyDescent="0.25">
      <c r="A2886" s="222"/>
      <c r="B2886" s="222"/>
      <c r="C2886" s="226"/>
      <c r="D2886" s="227"/>
      <c r="E2886" s="227"/>
      <c r="F2886" s="230"/>
      <c r="G2886" s="297"/>
      <c r="H2886" s="57" t="s">
        <v>69</v>
      </c>
      <c r="I2886" s="50">
        <f>D2884*K2886</f>
        <v>50464.800000000003</v>
      </c>
      <c r="J2886" s="50">
        <f>I2886/D2884</f>
        <v>172</v>
      </c>
      <c r="K2886" s="50">
        <v>172</v>
      </c>
    </row>
    <row r="2887" spans="1:11" ht="15.75" customHeight="1" x14ac:dyDescent="0.25">
      <c r="A2887" s="216">
        <f>A2884+1</f>
        <v>3</v>
      </c>
      <c r="B2887" s="216">
        <v>5406</v>
      </c>
      <c r="C2887" s="218" t="s">
        <v>510</v>
      </c>
      <c r="D2887" s="220">
        <v>380.2</v>
      </c>
      <c r="E2887" s="220" t="s">
        <v>167</v>
      </c>
      <c r="F2887" s="228">
        <v>2</v>
      </c>
      <c r="G2887" s="108"/>
      <c r="H2887" s="57" t="s">
        <v>66</v>
      </c>
      <c r="I2887" s="50">
        <f>SUM(I2888:I2891)</f>
        <v>3971949.4</v>
      </c>
      <c r="J2887" s="50">
        <f t="shared" ref="J2887:K2887" si="83">SUM(J2888:J2891)</f>
        <v>10447</v>
      </c>
      <c r="K2887" s="50">
        <f t="shared" si="83"/>
        <v>10447</v>
      </c>
    </row>
    <row r="2888" spans="1:11" ht="15.75" customHeight="1" x14ac:dyDescent="0.25">
      <c r="A2888" s="217"/>
      <c r="B2888" s="217"/>
      <c r="C2888" s="219"/>
      <c r="D2888" s="221"/>
      <c r="E2888" s="221"/>
      <c r="F2888" s="229"/>
      <c r="G2888" s="216" t="s">
        <v>75</v>
      </c>
      <c r="H2888" s="66" t="s">
        <v>67</v>
      </c>
      <c r="I2888" s="50">
        <f>D2887*K2888</f>
        <v>2207821.4</v>
      </c>
      <c r="J2888" s="50">
        <f>I2888/D2887</f>
        <v>5807</v>
      </c>
      <c r="K2888" s="50">
        <v>5807</v>
      </c>
    </row>
    <row r="2889" spans="1:11" ht="15.75" customHeight="1" x14ac:dyDescent="0.25">
      <c r="A2889" s="217"/>
      <c r="B2889" s="217"/>
      <c r="C2889" s="219"/>
      <c r="D2889" s="221"/>
      <c r="E2889" s="221"/>
      <c r="F2889" s="229"/>
      <c r="G2889" s="217"/>
      <c r="H2889" s="66" t="s">
        <v>69</v>
      </c>
      <c r="I2889" s="50">
        <f>D2887*K2889</f>
        <v>47144.800000000003</v>
      </c>
      <c r="J2889" s="50">
        <f>I2889/D2887</f>
        <v>124</v>
      </c>
      <c r="K2889" s="50">
        <v>124</v>
      </c>
    </row>
    <row r="2890" spans="1:11" ht="15.75" customHeight="1" x14ac:dyDescent="0.25">
      <c r="A2890" s="217"/>
      <c r="B2890" s="217"/>
      <c r="C2890" s="219"/>
      <c r="D2890" s="221"/>
      <c r="E2890" s="221"/>
      <c r="F2890" s="229"/>
      <c r="G2890" s="217"/>
      <c r="H2890" s="66" t="s">
        <v>179</v>
      </c>
      <c r="I2890" s="50">
        <f>D2887*K2890</f>
        <v>1680864.2</v>
      </c>
      <c r="J2890" s="50">
        <f>I2890/D2887</f>
        <v>4421</v>
      </c>
      <c r="K2890" s="50">
        <v>4421</v>
      </c>
    </row>
    <row r="2891" spans="1:11" ht="15.75" customHeight="1" x14ac:dyDescent="0.25">
      <c r="A2891" s="222"/>
      <c r="B2891" s="222"/>
      <c r="C2891" s="226"/>
      <c r="D2891" s="227"/>
      <c r="E2891" s="227"/>
      <c r="F2891" s="230"/>
      <c r="G2891" s="222"/>
      <c r="H2891" s="66" t="s">
        <v>69</v>
      </c>
      <c r="I2891" s="50">
        <f>D2887*K2891</f>
        <v>36119</v>
      </c>
      <c r="J2891" s="50">
        <f>I2891/D2887</f>
        <v>95</v>
      </c>
      <c r="K2891" s="50">
        <v>95</v>
      </c>
    </row>
    <row r="2892" spans="1:11" ht="15.75" customHeight="1" x14ac:dyDescent="0.25">
      <c r="A2892" s="216">
        <f>A2887+1</f>
        <v>4</v>
      </c>
      <c r="B2892" s="216">
        <v>5590</v>
      </c>
      <c r="C2892" s="218" t="s">
        <v>511</v>
      </c>
      <c r="D2892" s="220">
        <v>542.9</v>
      </c>
      <c r="E2892" s="220" t="s">
        <v>167</v>
      </c>
      <c r="F2892" s="228">
        <v>2</v>
      </c>
      <c r="G2892" s="108"/>
      <c r="H2892" s="57" t="s">
        <v>66</v>
      </c>
      <c r="I2892" s="50">
        <f>SUM(I2893:I2894)</f>
        <v>4453408.7</v>
      </c>
      <c r="J2892" s="50">
        <f>SUM(J2893:J2894)</f>
        <v>8203</v>
      </c>
      <c r="K2892" s="50">
        <f>SUM(K2893:K2894)</f>
        <v>8203</v>
      </c>
    </row>
    <row r="2893" spans="1:11" ht="15.75" customHeight="1" x14ac:dyDescent="0.25">
      <c r="A2893" s="217"/>
      <c r="B2893" s="217"/>
      <c r="C2893" s="219"/>
      <c r="D2893" s="221"/>
      <c r="E2893" s="221"/>
      <c r="F2893" s="229"/>
      <c r="G2893" s="216" t="s">
        <v>65</v>
      </c>
      <c r="H2893" s="66" t="s">
        <v>67</v>
      </c>
      <c r="I2893" s="50">
        <f>D2892*K2893</f>
        <v>4360029.9000000004</v>
      </c>
      <c r="J2893" s="50">
        <f>I2893/D2892</f>
        <v>8031</v>
      </c>
      <c r="K2893" s="50">
        <v>8031</v>
      </c>
    </row>
    <row r="2894" spans="1:11" ht="15.75" customHeight="1" x14ac:dyDescent="0.25">
      <c r="A2894" s="222"/>
      <c r="B2894" s="222"/>
      <c r="C2894" s="226"/>
      <c r="D2894" s="227"/>
      <c r="E2894" s="227"/>
      <c r="F2894" s="230"/>
      <c r="G2894" s="222"/>
      <c r="H2894" s="66" t="s">
        <v>69</v>
      </c>
      <c r="I2894" s="50">
        <f>D2892*K2894</f>
        <v>93378.8</v>
      </c>
      <c r="J2894" s="50">
        <f>I2894/D2892</f>
        <v>172</v>
      </c>
      <c r="K2894" s="50">
        <v>172</v>
      </c>
    </row>
    <row r="2895" spans="1:11" ht="15.75" customHeight="1" x14ac:dyDescent="0.25">
      <c r="A2895" s="216">
        <f>A2892+1</f>
        <v>5</v>
      </c>
      <c r="B2895" s="216">
        <v>5608</v>
      </c>
      <c r="C2895" s="218" t="s">
        <v>542</v>
      </c>
      <c r="D2895" s="220">
        <v>689.9</v>
      </c>
      <c r="E2895" s="220" t="s">
        <v>68</v>
      </c>
      <c r="F2895" s="228">
        <v>2</v>
      </c>
      <c r="G2895" s="108"/>
      <c r="H2895" s="57" t="s">
        <v>66</v>
      </c>
      <c r="I2895" s="50">
        <f>SUM(I2896:I2897)</f>
        <v>5659249.7000000002</v>
      </c>
      <c r="J2895" s="50">
        <f>SUM(J2896:J2897)</f>
        <v>8203</v>
      </c>
      <c r="K2895" s="50">
        <f>SUM(K2896:K2897)</f>
        <v>8203</v>
      </c>
    </row>
    <row r="2896" spans="1:11" ht="15.75" customHeight="1" x14ac:dyDescent="0.25">
      <c r="A2896" s="217"/>
      <c r="B2896" s="217"/>
      <c r="C2896" s="219"/>
      <c r="D2896" s="221"/>
      <c r="E2896" s="221"/>
      <c r="F2896" s="229"/>
      <c r="G2896" s="217" t="s">
        <v>65</v>
      </c>
      <c r="H2896" s="66" t="s">
        <v>67</v>
      </c>
      <c r="I2896" s="50">
        <f>D2895*K2896</f>
        <v>5540586.9000000004</v>
      </c>
      <c r="J2896" s="50">
        <f>I2896/D2895</f>
        <v>8031</v>
      </c>
      <c r="K2896" s="50">
        <v>8031</v>
      </c>
    </row>
    <row r="2897" spans="1:11" ht="15.75" customHeight="1" x14ac:dyDescent="0.25">
      <c r="A2897" s="217"/>
      <c r="B2897" s="217"/>
      <c r="C2897" s="219"/>
      <c r="D2897" s="221"/>
      <c r="E2897" s="221"/>
      <c r="F2897" s="229"/>
      <c r="G2897" s="222"/>
      <c r="H2897" s="66" t="s">
        <v>69</v>
      </c>
      <c r="I2897" s="50">
        <f>D2895*K2897</f>
        <v>118662.8</v>
      </c>
      <c r="J2897" s="50">
        <f>I2897/D2895</f>
        <v>172</v>
      </c>
      <c r="K2897" s="50">
        <v>172</v>
      </c>
    </row>
    <row r="2898" spans="1:11" ht="15.75" customHeight="1" x14ac:dyDescent="0.25">
      <c r="A2898" s="216">
        <f>A2895+1</f>
        <v>6</v>
      </c>
      <c r="B2898" s="216">
        <v>5627</v>
      </c>
      <c r="C2898" s="218" t="s">
        <v>537</v>
      </c>
      <c r="D2898" s="220">
        <v>695.7</v>
      </c>
      <c r="E2898" s="220" t="s">
        <v>167</v>
      </c>
      <c r="F2898" s="228">
        <v>2</v>
      </c>
      <c r="G2898" s="108"/>
      <c r="H2898" s="57" t="s">
        <v>66</v>
      </c>
      <c r="I2898" s="50">
        <f>SUM(I2899:I2900)</f>
        <v>5706827.0999999996</v>
      </c>
      <c r="J2898" s="50">
        <f>SUM(J2899:J2900)</f>
        <v>8203</v>
      </c>
      <c r="K2898" s="50">
        <f>SUM(K2899:K2900)</f>
        <v>8203</v>
      </c>
    </row>
    <row r="2899" spans="1:11" ht="15.75" customHeight="1" x14ac:dyDescent="0.25">
      <c r="A2899" s="217"/>
      <c r="B2899" s="217"/>
      <c r="C2899" s="219"/>
      <c r="D2899" s="221"/>
      <c r="E2899" s="221"/>
      <c r="F2899" s="229"/>
      <c r="G2899" s="216" t="s">
        <v>65</v>
      </c>
      <c r="H2899" s="66" t="s">
        <v>67</v>
      </c>
      <c r="I2899" s="50">
        <f>D2898*K2899</f>
        <v>5587166.7000000002</v>
      </c>
      <c r="J2899" s="50">
        <f>I2899/D2898</f>
        <v>8031</v>
      </c>
      <c r="K2899" s="50">
        <v>8031</v>
      </c>
    </row>
    <row r="2900" spans="1:11" ht="15.75" customHeight="1" x14ac:dyDescent="0.25">
      <c r="A2900" s="222"/>
      <c r="B2900" s="222"/>
      <c r="C2900" s="226"/>
      <c r="D2900" s="227"/>
      <c r="E2900" s="227"/>
      <c r="F2900" s="230"/>
      <c r="G2900" s="222"/>
      <c r="H2900" s="66" t="s">
        <v>69</v>
      </c>
      <c r="I2900" s="50">
        <f>D2898*K2900</f>
        <v>119660.4</v>
      </c>
      <c r="J2900" s="50">
        <f>I2900/D2898</f>
        <v>172</v>
      </c>
      <c r="K2900" s="50">
        <v>172</v>
      </c>
    </row>
    <row r="2901" spans="1:11" x14ac:dyDescent="0.25">
      <c r="A2901" s="216">
        <f>A2898+1</f>
        <v>7</v>
      </c>
      <c r="B2901" s="216">
        <v>5495</v>
      </c>
      <c r="C2901" s="218" t="s">
        <v>543</v>
      </c>
      <c r="D2901" s="220">
        <v>1511.2</v>
      </c>
      <c r="E2901" s="220" t="s">
        <v>68</v>
      </c>
      <c r="F2901" s="228">
        <v>3</v>
      </c>
      <c r="G2901" s="216" t="s">
        <v>65</v>
      </c>
      <c r="H2901" s="57" t="s">
        <v>66</v>
      </c>
      <c r="I2901" s="50">
        <f>SUM(I2902:I2903)</f>
        <v>8804251.1999999993</v>
      </c>
      <c r="J2901" s="50">
        <f>SUM(J2902:J2903)</f>
        <v>5826</v>
      </c>
      <c r="K2901" s="50">
        <f>SUM(K2902:K2903)</f>
        <v>5826</v>
      </c>
    </row>
    <row r="2902" spans="1:11" x14ac:dyDescent="0.25">
      <c r="A2902" s="217"/>
      <c r="B2902" s="217"/>
      <c r="C2902" s="219"/>
      <c r="D2902" s="221"/>
      <c r="E2902" s="221"/>
      <c r="F2902" s="229"/>
      <c r="G2902" s="217"/>
      <c r="H2902" s="66" t="s">
        <v>67</v>
      </c>
      <c r="I2902" s="50">
        <f>D2901*K2902</f>
        <v>8619884.8000000007</v>
      </c>
      <c r="J2902" s="50">
        <f>I2902/D2901</f>
        <v>5704</v>
      </c>
      <c r="K2902" s="50">
        <v>5704</v>
      </c>
    </row>
    <row r="2903" spans="1:11" x14ac:dyDescent="0.25">
      <c r="A2903" s="222"/>
      <c r="B2903" s="222"/>
      <c r="C2903" s="226"/>
      <c r="D2903" s="227"/>
      <c r="E2903" s="227"/>
      <c r="F2903" s="230"/>
      <c r="G2903" s="222"/>
      <c r="H2903" s="66" t="s">
        <v>69</v>
      </c>
      <c r="I2903" s="50">
        <f>D2901*K2903</f>
        <v>184366.4</v>
      </c>
      <c r="J2903" s="50">
        <f>I2903/D2901</f>
        <v>122</v>
      </c>
      <c r="K2903" s="50">
        <v>122</v>
      </c>
    </row>
    <row r="2904" spans="1:11" ht="15.75" customHeight="1" x14ac:dyDescent="0.25">
      <c r="A2904" s="216">
        <f>A2901+1</f>
        <v>8</v>
      </c>
      <c r="B2904" s="216">
        <v>5474</v>
      </c>
      <c r="C2904" s="218" t="s">
        <v>517</v>
      </c>
      <c r="D2904" s="220">
        <v>751.5</v>
      </c>
      <c r="E2904" s="220" t="s">
        <v>68</v>
      </c>
      <c r="F2904" s="228">
        <v>2</v>
      </c>
      <c r="G2904" s="108"/>
      <c r="H2904" s="57" t="s">
        <v>66</v>
      </c>
      <c r="I2904" s="50">
        <f>SUM(I2905:I2906)</f>
        <v>6164554.5</v>
      </c>
      <c r="J2904" s="50">
        <f>SUM(J2905:J2906)</f>
        <v>8203</v>
      </c>
      <c r="K2904" s="50">
        <f>SUM(K2905:K2906)</f>
        <v>8203</v>
      </c>
    </row>
    <row r="2905" spans="1:11" ht="15.75" customHeight="1" x14ac:dyDescent="0.25">
      <c r="A2905" s="217"/>
      <c r="B2905" s="217"/>
      <c r="C2905" s="219"/>
      <c r="D2905" s="221"/>
      <c r="E2905" s="221"/>
      <c r="F2905" s="229"/>
      <c r="G2905" s="216" t="s">
        <v>65</v>
      </c>
      <c r="H2905" s="66" t="s">
        <v>67</v>
      </c>
      <c r="I2905" s="50">
        <f>D2904*K2905</f>
        <v>6035296.5</v>
      </c>
      <c r="J2905" s="50">
        <f>I2905/D2904</f>
        <v>8031</v>
      </c>
      <c r="K2905" s="50">
        <v>8031</v>
      </c>
    </row>
    <row r="2906" spans="1:11" ht="15.75" customHeight="1" x14ac:dyDescent="0.25">
      <c r="A2906" s="217"/>
      <c r="B2906" s="217"/>
      <c r="C2906" s="219"/>
      <c r="D2906" s="221"/>
      <c r="E2906" s="221"/>
      <c r="F2906" s="229"/>
      <c r="G2906" s="222"/>
      <c r="H2906" s="66" t="s">
        <v>69</v>
      </c>
      <c r="I2906" s="50">
        <f>D2904*K2906</f>
        <v>129258</v>
      </c>
      <c r="J2906" s="50">
        <f>I2906/D2904</f>
        <v>172</v>
      </c>
      <c r="K2906" s="50">
        <v>172</v>
      </c>
    </row>
    <row r="2907" spans="1:11" ht="15.75" customHeight="1" x14ac:dyDescent="0.25">
      <c r="A2907" s="216">
        <f>A2904+1</f>
        <v>9</v>
      </c>
      <c r="B2907" s="216">
        <v>5483</v>
      </c>
      <c r="C2907" s="218" t="s">
        <v>518</v>
      </c>
      <c r="D2907" s="220">
        <v>323</v>
      </c>
      <c r="E2907" s="220" t="s">
        <v>167</v>
      </c>
      <c r="F2907" s="228">
        <v>2</v>
      </c>
      <c r="G2907" s="108"/>
      <c r="H2907" s="57" t="s">
        <v>66</v>
      </c>
      <c r="I2907" s="50">
        <f>SUM(I2908:I2909)</f>
        <v>2649569</v>
      </c>
      <c r="J2907" s="50">
        <f>SUM(J2908:J2909)</f>
        <v>8203</v>
      </c>
      <c r="K2907" s="50">
        <f>SUM(K2908:K2909)</f>
        <v>8203</v>
      </c>
    </row>
    <row r="2908" spans="1:11" ht="15.75" customHeight="1" x14ac:dyDescent="0.25">
      <c r="A2908" s="217"/>
      <c r="B2908" s="217"/>
      <c r="C2908" s="219"/>
      <c r="D2908" s="221"/>
      <c r="E2908" s="221"/>
      <c r="F2908" s="229"/>
      <c r="G2908" s="216" t="s">
        <v>65</v>
      </c>
      <c r="H2908" s="66" t="s">
        <v>67</v>
      </c>
      <c r="I2908" s="50">
        <f>D2907*K2908</f>
        <v>2594013</v>
      </c>
      <c r="J2908" s="50">
        <f>I2908/D2907</f>
        <v>8031</v>
      </c>
      <c r="K2908" s="50">
        <v>8031</v>
      </c>
    </row>
    <row r="2909" spans="1:11" ht="15.75" customHeight="1" x14ac:dyDescent="0.25">
      <c r="A2909" s="222"/>
      <c r="B2909" s="222"/>
      <c r="C2909" s="226"/>
      <c r="D2909" s="227"/>
      <c r="E2909" s="227"/>
      <c r="F2909" s="230"/>
      <c r="G2909" s="222"/>
      <c r="H2909" s="66" t="s">
        <v>69</v>
      </c>
      <c r="I2909" s="50">
        <f>D2907*K2909</f>
        <v>55556</v>
      </c>
      <c r="J2909" s="50">
        <f>I2909/D2907</f>
        <v>172</v>
      </c>
      <c r="K2909" s="50">
        <v>172</v>
      </c>
    </row>
    <row r="2910" spans="1:11" x14ac:dyDescent="0.25">
      <c r="A2910" s="216">
        <f>A2907+1</f>
        <v>10</v>
      </c>
      <c r="B2910" s="216">
        <v>5716</v>
      </c>
      <c r="C2910" s="218" t="s">
        <v>538</v>
      </c>
      <c r="D2910" s="220">
        <v>380.8</v>
      </c>
      <c r="E2910" s="220" t="s">
        <v>68</v>
      </c>
      <c r="F2910" s="228">
        <v>2</v>
      </c>
      <c r="G2910" s="216" t="s">
        <v>65</v>
      </c>
      <c r="H2910" s="57" t="s">
        <v>66</v>
      </c>
      <c r="I2910" s="50">
        <f>I2911+I2912</f>
        <v>3123702.4</v>
      </c>
      <c r="J2910" s="50">
        <f>J2911+J2912</f>
        <v>8203</v>
      </c>
      <c r="K2910" s="50">
        <f>K2911+K2912</f>
        <v>8203</v>
      </c>
    </row>
    <row r="2911" spans="1:11" x14ac:dyDescent="0.25">
      <c r="A2911" s="217"/>
      <c r="B2911" s="217"/>
      <c r="C2911" s="219"/>
      <c r="D2911" s="221"/>
      <c r="E2911" s="221"/>
      <c r="F2911" s="229"/>
      <c r="G2911" s="217"/>
      <c r="H2911" s="66" t="s">
        <v>67</v>
      </c>
      <c r="I2911" s="50">
        <f>D2910*K2911</f>
        <v>3058204.8</v>
      </c>
      <c r="J2911" s="50">
        <f>I2911/D2910</f>
        <v>8031</v>
      </c>
      <c r="K2911" s="50">
        <v>8031</v>
      </c>
    </row>
    <row r="2912" spans="1:11" x14ac:dyDescent="0.25">
      <c r="A2912" s="222"/>
      <c r="B2912" s="222"/>
      <c r="C2912" s="226"/>
      <c r="D2912" s="227"/>
      <c r="E2912" s="227"/>
      <c r="F2912" s="230"/>
      <c r="G2912" s="222"/>
      <c r="H2912" s="66" t="s">
        <v>69</v>
      </c>
      <c r="I2912" s="50">
        <f>D2910*K2912</f>
        <v>65497.599999999999</v>
      </c>
      <c r="J2912" s="50">
        <f>I2912/D2910</f>
        <v>172</v>
      </c>
      <c r="K2912" s="50">
        <v>172</v>
      </c>
    </row>
    <row r="2913" spans="1:11" ht="15.75" customHeight="1" x14ac:dyDescent="0.25">
      <c r="A2913" s="216">
        <f>A2910+1</f>
        <v>11</v>
      </c>
      <c r="B2913" s="216">
        <v>5718</v>
      </c>
      <c r="C2913" s="218" t="s">
        <v>539</v>
      </c>
      <c r="D2913" s="220">
        <v>376.5</v>
      </c>
      <c r="E2913" s="220" t="s">
        <v>68</v>
      </c>
      <c r="F2913" s="228">
        <v>2</v>
      </c>
      <c r="G2913" s="108"/>
      <c r="H2913" s="57" t="s">
        <v>66</v>
      </c>
      <c r="I2913" s="50">
        <f>SUM(I2914:I2915)</f>
        <v>3088429.5</v>
      </c>
      <c r="J2913" s="50">
        <f>SUM(J2914:J2915)</f>
        <v>8203</v>
      </c>
      <c r="K2913" s="50">
        <f>SUM(K2914:K2915)</f>
        <v>8203</v>
      </c>
    </row>
    <row r="2914" spans="1:11" ht="15.75" customHeight="1" x14ac:dyDescent="0.25">
      <c r="A2914" s="217"/>
      <c r="B2914" s="217"/>
      <c r="C2914" s="219"/>
      <c r="D2914" s="221"/>
      <c r="E2914" s="221"/>
      <c r="F2914" s="229"/>
      <c r="G2914" s="216" t="s">
        <v>65</v>
      </c>
      <c r="H2914" s="66" t="s">
        <v>67</v>
      </c>
      <c r="I2914" s="50">
        <f>D2913*K2914</f>
        <v>3023671.5</v>
      </c>
      <c r="J2914" s="50">
        <f>I2914/D2913</f>
        <v>8031</v>
      </c>
      <c r="K2914" s="50">
        <v>8031</v>
      </c>
    </row>
    <row r="2915" spans="1:11" x14ac:dyDescent="0.25">
      <c r="A2915" s="217"/>
      <c r="B2915" s="217"/>
      <c r="C2915" s="219"/>
      <c r="D2915" s="221"/>
      <c r="E2915" s="221"/>
      <c r="F2915" s="229"/>
      <c r="G2915" s="222"/>
      <c r="H2915" s="66" t="s">
        <v>69</v>
      </c>
      <c r="I2915" s="50">
        <f>D2913*K2915</f>
        <v>64758</v>
      </c>
      <c r="J2915" s="50">
        <f>I2915/D2913</f>
        <v>172</v>
      </c>
      <c r="K2915" s="50">
        <v>172</v>
      </c>
    </row>
    <row r="2916" spans="1:11" x14ac:dyDescent="0.25">
      <c r="A2916" s="216">
        <f>A2913+1</f>
        <v>12</v>
      </c>
      <c r="B2916" s="216">
        <v>5795</v>
      </c>
      <c r="C2916" s="218" t="s">
        <v>540</v>
      </c>
      <c r="D2916" s="220">
        <v>340</v>
      </c>
      <c r="E2916" s="220" t="s">
        <v>68</v>
      </c>
      <c r="F2916" s="228">
        <v>2</v>
      </c>
      <c r="G2916" s="216" t="s">
        <v>65</v>
      </c>
      <c r="H2916" s="57" t="s">
        <v>66</v>
      </c>
      <c r="I2916" s="50">
        <f>I2917+I2918</f>
        <v>2789020</v>
      </c>
      <c r="J2916" s="50">
        <f>J2917+J2918</f>
        <v>8203</v>
      </c>
      <c r="K2916" s="50">
        <f>K2917+K2918</f>
        <v>8203</v>
      </c>
    </row>
    <row r="2917" spans="1:11" x14ac:dyDescent="0.25">
      <c r="A2917" s="217"/>
      <c r="B2917" s="217"/>
      <c r="C2917" s="219"/>
      <c r="D2917" s="221"/>
      <c r="E2917" s="221"/>
      <c r="F2917" s="229"/>
      <c r="G2917" s="217"/>
      <c r="H2917" s="66" t="s">
        <v>67</v>
      </c>
      <c r="I2917" s="50">
        <f>D2916*K2917</f>
        <v>2730540</v>
      </c>
      <c r="J2917" s="50">
        <f>I2917/D2916</f>
        <v>8031</v>
      </c>
      <c r="K2917" s="50">
        <v>8031</v>
      </c>
    </row>
    <row r="2918" spans="1:11" x14ac:dyDescent="0.25">
      <c r="A2918" s="222"/>
      <c r="B2918" s="222"/>
      <c r="C2918" s="226"/>
      <c r="D2918" s="227"/>
      <c r="E2918" s="227"/>
      <c r="F2918" s="230"/>
      <c r="G2918" s="222"/>
      <c r="H2918" s="66" t="s">
        <v>69</v>
      </c>
      <c r="I2918" s="50">
        <f>D2916*K2918</f>
        <v>58480</v>
      </c>
      <c r="J2918" s="50">
        <f>I2918/D2916</f>
        <v>172</v>
      </c>
      <c r="K2918" s="50">
        <v>172</v>
      </c>
    </row>
    <row r="2919" spans="1:11" ht="15.75" customHeight="1" x14ac:dyDescent="0.25">
      <c r="A2919" s="216">
        <f>A2916+1</f>
        <v>13</v>
      </c>
      <c r="B2919" s="216">
        <v>5797</v>
      </c>
      <c r="C2919" s="218" t="s">
        <v>514</v>
      </c>
      <c r="D2919" s="220">
        <v>353.9</v>
      </c>
      <c r="E2919" s="220" t="s">
        <v>68</v>
      </c>
      <c r="F2919" s="228">
        <v>2</v>
      </c>
      <c r="G2919" s="108"/>
      <c r="H2919" s="57" t="s">
        <v>66</v>
      </c>
      <c r="I2919" s="50">
        <f>SUM(I2920:I2921)</f>
        <v>2903041.7</v>
      </c>
      <c r="J2919" s="50">
        <f>SUM(J2920:J2921)</f>
        <v>8203</v>
      </c>
      <c r="K2919" s="50">
        <f>SUM(K2920:K2921)</f>
        <v>8203</v>
      </c>
    </row>
    <row r="2920" spans="1:11" ht="15.75" customHeight="1" x14ac:dyDescent="0.25">
      <c r="A2920" s="217"/>
      <c r="B2920" s="217"/>
      <c r="C2920" s="219"/>
      <c r="D2920" s="221"/>
      <c r="E2920" s="221"/>
      <c r="F2920" s="229"/>
      <c r="G2920" s="216" t="s">
        <v>65</v>
      </c>
      <c r="H2920" s="66" t="s">
        <v>67</v>
      </c>
      <c r="I2920" s="50">
        <f>D2919*K2920</f>
        <v>2842170.9</v>
      </c>
      <c r="J2920" s="50">
        <f>I2920/D2919</f>
        <v>8031</v>
      </c>
      <c r="K2920" s="50">
        <v>8031</v>
      </c>
    </row>
    <row r="2921" spans="1:11" ht="15.75" customHeight="1" x14ac:dyDescent="0.25">
      <c r="A2921" s="217"/>
      <c r="B2921" s="217"/>
      <c r="C2921" s="219"/>
      <c r="D2921" s="221"/>
      <c r="E2921" s="221"/>
      <c r="F2921" s="229"/>
      <c r="G2921" s="222"/>
      <c r="H2921" s="66" t="s">
        <v>69</v>
      </c>
      <c r="I2921" s="50">
        <f>D2919*K2921</f>
        <v>60870.8</v>
      </c>
      <c r="J2921" s="50">
        <f>I2921/D2919</f>
        <v>172</v>
      </c>
      <c r="K2921" s="50">
        <v>172</v>
      </c>
    </row>
    <row r="2922" spans="1:11" x14ac:dyDescent="0.25">
      <c r="A2922" s="275">
        <f>A2919+1</f>
        <v>14</v>
      </c>
      <c r="B2922" s="215">
        <v>5734</v>
      </c>
      <c r="C2922" s="218" t="s">
        <v>541</v>
      </c>
      <c r="D2922" s="220">
        <v>361.4</v>
      </c>
      <c r="E2922" s="220" t="s">
        <v>68</v>
      </c>
      <c r="F2922" s="228">
        <v>2</v>
      </c>
      <c r="G2922" s="108"/>
      <c r="H2922" s="57" t="s">
        <v>66</v>
      </c>
      <c r="I2922" s="50">
        <f>SUM(I2923:I2926)</f>
        <v>1323085.3999999999</v>
      </c>
      <c r="J2922" s="50">
        <f>SUM(J2923:J2926)</f>
        <v>3661</v>
      </c>
      <c r="K2922" s="50">
        <f>SUM(K2923:K2926)</f>
        <v>3661</v>
      </c>
    </row>
    <row r="2923" spans="1:11" x14ac:dyDescent="0.25">
      <c r="A2923" s="276"/>
      <c r="B2923" s="215"/>
      <c r="C2923" s="219"/>
      <c r="D2923" s="221"/>
      <c r="E2923" s="221"/>
      <c r="F2923" s="229"/>
      <c r="G2923" s="216" t="s">
        <v>70</v>
      </c>
      <c r="H2923" s="66" t="s">
        <v>67</v>
      </c>
      <c r="I2923" s="50">
        <f>D2922*K2923</f>
        <v>1072273.8</v>
      </c>
      <c r="J2923" s="50">
        <f>I2923/D2922</f>
        <v>2967</v>
      </c>
      <c r="K2923" s="50">
        <v>2967</v>
      </c>
    </row>
    <row r="2924" spans="1:11" x14ac:dyDescent="0.25">
      <c r="A2924" s="276"/>
      <c r="B2924" s="215"/>
      <c r="C2924" s="219"/>
      <c r="D2924" s="221"/>
      <c r="E2924" s="221"/>
      <c r="F2924" s="229"/>
      <c r="G2924" s="222"/>
      <c r="H2924" s="66" t="s">
        <v>69</v>
      </c>
      <c r="I2924" s="50">
        <f>D2922*K2924</f>
        <v>22768.2</v>
      </c>
      <c r="J2924" s="50">
        <f>I2924/D2922</f>
        <v>63</v>
      </c>
      <c r="K2924" s="50">
        <v>63</v>
      </c>
    </row>
    <row r="2925" spans="1:11" x14ac:dyDescent="0.25">
      <c r="A2925" s="276"/>
      <c r="B2925" s="215"/>
      <c r="C2925" s="219"/>
      <c r="D2925" s="221"/>
      <c r="E2925" s="221"/>
      <c r="F2925" s="229"/>
      <c r="G2925" s="216" t="s">
        <v>71</v>
      </c>
      <c r="H2925" s="57" t="s">
        <v>67</v>
      </c>
      <c r="I2925" s="50">
        <f>D2922*K2925</f>
        <v>223345.2</v>
      </c>
      <c r="J2925" s="50">
        <f>I2925/D2922</f>
        <v>618</v>
      </c>
      <c r="K2925" s="50">
        <v>618</v>
      </c>
    </row>
    <row r="2926" spans="1:11" x14ac:dyDescent="0.25">
      <c r="A2926" s="277"/>
      <c r="B2926" s="215"/>
      <c r="C2926" s="226"/>
      <c r="D2926" s="227"/>
      <c r="E2926" s="227"/>
      <c r="F2926" s="230"/>
      <c r="G2926" s="222"/>
      <c r="H2926" s="57" t="s">
        <v>69</v>
      </c>
      <c r="I2926" s="50">
        <f>D2922*K2926</f>
        <v>4698.2</v>
      </c>
      <c r="J2926" s="50">
        <f>I2926/D2922</f>
        <v>13</v>
      </c>
      <c r="K2926" s="50">
        <v>13</v>
      </c>
    </row>
    <row r="2927" spans="1:11" x14ac:dyDescent="0.25">
      <c r="A2927" s="51" t="s">
        <v>36</v>
      </c>
      <c r="B2927" s="51"/>
      <c r="C2927" s="165"/>
      <c r="D2927" s="109">
        <f>D2928</f>
        <v>357.9</v>
      </c>
      <c r="E2927" s="112"/>
      <c r="F2927" s="112"/>
      <c r="G2927" s="105"/>
      <c r="H2927" s="54"/>
      <c r="I2927" s="50">
        <f>I2928</f>
        <v>2935853.7</v>
      </c>
      <c r="J2927" s="50"/>
      <c r="K2927" s="50"/>
    </row>
    <row r="2928" spans="1:11" ht="15.75" customHeight="1" x14ac:dyDescent="0.25">
      <c r="A2928" s="215">
        <v>1</v>
      </c>
      <c r="B2928" s="215">
        <v>4933</v>
      </c>
      <c r="C2928" s="223" t="s">
        <v>588</v>
      </c>
      <c r="D2928" s="224">
        <v>357.9</v>
      </c>
      <c r="E2928" s="225" t="s">
        <v>68</v>
      </c>
      <c r="F2928" s="225">
        <v>2</v>
      </c>
      <c r="G2928" s="110"/>
      <c r="H2928" s="57" t="s">
        <v>66</v>
      </c>
      <c r="I2928" s="50">
        <f>I2929+I2930</f>
        <v>2935853.7</v>
      </c>
      <c r="J2928" s="50">
        <f>J2929+J2930</f>
        <v>8203</v>
      </c>
      <c r="K2928" s="50">
        <f>K2929+K2930</f>
        <v>8203</v>
      </c>
    </row>
    <row r="2929" spans="1:11" x14ac:dyDescent="0.25">
      <c r="A2929" s="215"/>
      <c r="B2929" s="215"/>
      <c r="C2929" s="223"/>
      <c r="D2929" s="224"/>
      <c r="E2929" s="225"/>
      <c r="F2929" s="225"/>
      <c r="G2929" s="215" t="s">
        <v>65</v>
      </c>
      <c r="H2929" s="57" t="s">
        <v>67</v>
      </c>
      <c r="I2929" s="50">
        <f>D2928*K2929</f>
        <v>2874294.9</v>
      </c>
      <c r="J2929" s="50">
        <f>I2929/D2928</f>
        <v>8031</v>
      </c>
      <c r="K2929" s="50">
        <v>8031</v>
      </c>
    </row>
    <row r="2930" spans="1:11" x14ac:dyDescent="0.25">
      <c r="A2930" s="215"/>
      <c r="B2930" s="215"/>
      <c r="C2930" s="223"/>
      <c r="D2930" s="224"/>
      <c r="E2930" s="225"/>
      <c r="F2930" s="225"/>
      <c r="G2930" s="215"/>
      <c r="H2930" s="57" t="s">
        <v>69</v>
      </c>
      <c r="I2930" s="50">
        <f>D2928*K2930</f>
        <v>61558.8</v>
      </c>
      <c r="J2930" s="50">
        <f>I2930/D2928</f>
        <v>172</v>
      </c>
      <c r="K2930" s="50">
        <v>172</v>
      </c>
    </row>
    <row r="2931" spans="1:11" x14ac:dyDescent="0.25">
      <c r="A2931" s="51" t="s">
        <v>37</v>
      </c>
      <c r="B2931" s="51"/>
      <c r="C2931" s="165"/>
      <c r="D2931" s="50">
        <f>D2932</f>
        <v>446</v>
      </c>
      <c r="E2931" s="68"/>
      <c r="F2931" s="68"/>
      <c r="G2931" s="74"/>
      <c r="H2931" s="75"/>
      <c r="I2931" s="50">
        <f>I2932</f>
        <v>1715762</v>
      </c>
      <c r="J2931" s="50"/>
      <c r="K2931" s="50"/>
    </row>
    <row r="2932" spans="1:11" x14ac:dyDescent="0.25">
      <c r="A2932" s="216">
        <v>1</v>
      </c>
      <c r="B2932" s="216">
        <v>6756</v>
      </c>
      <c r="C2932" s="218" t="s">
        <v>302</v>
      </c>
      <c r="D2932" s="220">
        <v>446</v>
      </c>
      <c r="E2932" s="228" t="s">
        <v>68</v>
      </c>
      <c r="F2932" s="228">
        <v>2</v>
      </c>
      <c r="G2932" s="110"/>
      <c r="H2932" s="57" t="s">
        <v>66</v>
      </c>
      <c r="I2932" s="50">
        <f>I2933+I2934+I2935+I2936+I2937+I2938</f>
        <v>1715762</v>
      </c>
      <c r="J2932" s="50">
        <f>J2933+J2934+J2935+J2936+J2937+J2938</f>
        <v>3847</v>
      </c>
      <c r="K2932" s="50">
        <f>K2933+K2934+K2935+K2936+K2937+K2938</f>
        <v>3847</v>
      </c>
    </row>
    <row r="2933" spans="1:11" ht="63" x14ac:dyDescent="0.25">
      <c r="A2933" s="217"/>
      <c r="B2933" s="217"/>
      <c r="C2933" s="219"/>
      <c r="D2933" s="221"/>
      <c r="E2933" s="229"/>
      <c r="F2933" s="229"/>
      <c r="G2933" s="216" t="s">
        <v>70</v>
      </c>
      <c r="H2933" s="57" t="s">
        <v>168</v>
      </c>
      <c r="I2933" s="50">
        <f>D2932*K2933</f>
        <v>62440</v>
      </c>
      <c r="J2933" s="50">
        <f>I2933/D2932</f>
        <v>140</v>
      </c>
      <c r="K2933" s="50">
        <f>119+21</f>
        <v>140</v>
      </c>
    </row>
    <row r="2934" spans="1:11" x14ac:dyDescent="0.25">
      <c r="A2934" s="217"/>
      <c r="B2934" s="217"/>
      <c r="C2934" s="219"/>
      <c r="D2934" s="221"/>
      <c r="E2934" s="229"/>
      <c r="F2934" s="229"/>
      <c r="G2934" s="217"/>
      <c r="H2934" s="57" t="s">
        <v>67</v>
      </c>
      <c r="I2934" s="50">
        <f>D2932*K2934</f>
        <v>1323282</v>
      </c>
      <c r="J2934" s="50">
        <f>I2934/D2932</f>
        <v>2967</v>
      </c>
      <c r="K2934" s="50">
        <v>2967</v>
      </c>
    </row>
    <row r="2935" spans="1:11" x14ac:dyDescent="0.25">
      <c r="A2935" s="217"/>
      <c r="B2935" s="217"/>
      <c r="C2935" s="219"/>
      <c r="D2935" s="221"/>
      <c r="E2935" s="229"/>
      <c r="F2935" s="229"/>
      <c r="G2935" s="222"/>
      <c r="H2935" s="57" t="s">
        <v>69</v>
      </c>
      <c r="I2935" s="50">
        <f>D2932*K2935</f>
        <v>28098</v>
      </c>
      <c r="J2935" s="50">
        <f>I2935/D2932</f>
        <v>63</v>
      </c>
      <c r="K2935" s="50">
        <v>63</v>
      </c>
    </row>
    <row r="2936" spans="1:11" ht="63" x14ac:dyDescent="0.25">
      <c r="A2936" s="217"/>
      <c r="B2936" s="217"/>
      <c r="C2936" s="219"/>
      <c r="D2936" s="221"/>
      <c r="E2936" s="229"/>
      <c r="F2936" s="229"/>
      <c r="G2936" s="216" t="s">
        <v>71</v>
      </c>
      <c r="H2936" s="57" t="s">
        <v>168</v>
      </c>
      <c r="I2936" s="50">
        <f>D2932*K2936</f>
        <v>20516</v>
      </c>
      <c r="J2936" s="50">
        <f>I2936/D2932</f>
        <v>46</v>
      </c>
      <c r="K2936" s="50">
        <f>25+21</f>
        <v>46</v>
      </c>
    </row>
    <row r="2937" spans="1:11" x14ac:dyDescent="0.25">
      <c r="A2937" s="217"/>
      <c r="B2937" s="217"/>
      <c r="C2937" s="219"/>
      <c r="D2937" s="221"/>
      <c r="E2937" s="229"/>
      <c r="F2937" s="229"/>
      <c r="G2937" s="217"/>
      <c r="H2937" s="57" t="s">
        <v>67</v>
      </c>
      <c r="I2937" s="50">
        <f>D2932*K2937</f>
        <v>275628</v>
      </c>
      <c r="J2937" s="50">
        <f>I2937/D2932</f>
        <v>618</v>
      </c>
      <c r="K2937" s="50">
        <v>618</v>
      </c>
    </row>
    <row r="2938" spans="1:11" x14ac:dyDescent="0.25">
      <c r="A2938" s="222"/>
      <c r="B2938" s="222"/>
      <c r="C2938" s="226"/>
      <c r="D2938" s="227"/>
      <c r="E2938" s="230"/>
      <c r="F2938" s="230"/>
      <c r="G2938" s="222"/>
      <c r="H2938" s="57" t="s">
        <v>69</v>
      </c>
      <c r="I2938" s="50">
        <f>D2932*K2938</f>
        <v>5798</v>
      </c>
      <c r="J2938" s="50">
        <f>I2938/D2932</f>
        <v>13</v>
      </c>
      <c r="K2938" s="50">
        <v>13</v>
      </c>
    </row>
    <row r="2939" spans="1:11" s="99" customFormat="1" x14ac:dyDescent="0.25">
      <c r="A2939" s="329" t="s">
        <v>51</v>
      </c>
      <c r="B2939" s="330"/>
      <c r="C2939" s="331"/>
      <c r="D2939" s="115">
        <f>D2940</f>
        <v>249.08</v>
      </c>
      <c r="E2939" s="97"/>
      <c r="F2939" s="97"/>
      <c r="G2939" s="98"/>
      <c r="H2939" s="95"/>
      <c r="I2939" s="1">
        <f>I2940</f>
        <v>1373676.2</v>
      </c>
      <c r="J2939" s="1"/>
      <c r="K2939" s="1"/>
    </row>
    <row r="2940" spans="1:11" s="96" customFormat="1" ht="15.75" customHeight="1" x14ac:dyDescent="0.25">
      <c r="A2940" s="315">
        <v>1</v>
      </c>
      <c r="B2940" s="315">
        <v>7384</v>
      </c>
      <c r="C2940" s="324" t="s">
        <v>592</v>
      </c>
      <c r="D2940" s="326">
        <v>249.08</v>
      </c>
      <c r="E2940" s="257" t="s">
        <v>68</v>
      </c>
      <c r="F2940" s="257">
        <v>2</v>
      </c>
      <c r="G2940" s="166"/>
      <c r="H2940" s="95" t="s">
        <v>66</v>
      </c>
      <c r="I2940" s="1">
        <f>I2941+I2942+I2943+I2944</f>
        <v>1373676.2</v>
      </c>
      <c r="J2940" s="1">
        <f>J2941+J2942+J2943+J2944</f>
        <v>5515</v>
      </c>
      <c r="K2940" s="1">
        <f>K2941+K2942+K2943+K2944</f>
        <v>5515</v>
      </c>
    </row>
    <row r="2941" spans="1:11" s="96" customFormat="1" ht="15.6" customHeight="1" x14ac:dyDescent="0.25">
      <c r="A2941" s="316"/>
      <c r="B2941" s="316"/>
      <c r="C2941" s="325"/>
      <c r="D2941" s="327"/>
      <c r="E2941" s="258"/>
      <c r="F2941" s="258"/>
      <c r="G2941" s="315" t="s">
        <v>75</v>
      </c>
      <c r="H2941" s="95" t="s">
        <v>67</v>
      </c>
      <c r="I2941" s="1">
        <f>D2940*K2941</f>
        <v>281211.32</v>
      </c>
      <c r="J2941" s="1">
        <f>I2941/D2940</f>
        <v>1129</v>
      </c>
      <c r="K2941" s="1">
        <v>1129</v>
      </c>
    </row>
    <row r="2942" spans="1:11" s="96" customFormat="1" x14ac:dyDescent="0.25">
      <c r="A2942" s="316"/>
      <c r="B2942" s="316"/>
      <c r="C2942" s="325"/>
      <c r="D2942" s="327"/>
      <c r="E2942" s="258"/>
      <c r="F2942" s="258"/>
      <c r="G2942" s="316"/>
      <c r="H2942" s="95" t="s">
        <v>69</v>
      </c>
      <c r="I2942" s="1">
        <f>D2940*K2942</f>
        <v>5977.92</v>
      </c>
      <c r="J2942" s="1">
        <f>I2942/D2940</f>
        <v>24</v>
      </c>
      <c r="K2942" s="1">
        <v>24</v>
      </c>
    </row>
    <row r="2943" spans="1:11" s="96" customFormat="1" ht="15.6" customHeight="1" x14ac:dyDescent="0.25">
      <c r="A2943" s="316"/>
      <c r="B2943" s="316"/>
      <c r="C2943" s="325"/>
      <c r="D2943" s="327"/>
      <c r="E2943" s="258"/>
      <c r="F2943" s="258"/>
      <c r="G2943" s="316"/>
      <c r="H2943" s="95" t="s">
        <v>179</v>
      </c>
      <c r="I2943" s="167">
        <f>D2940*K2943</f>
        <v>1063820.68</v>
      </c>
      <c r="J2943" s="1">
        <f>I2943/D2940</f>
        <v>4271</v>
      </c>
      <c r="K2943" s="1">
        <v>4271</v>
      </c>
    </row>
    <row r="2944" spans="1:11" s="96" customFormat="1" x14ac:dyDescent="0.25">
      <c r="A2944" s="328"/>
      <c r="B2944" s="328"/>
      <c r="C2944" s="332"/>
      <c r="D2944" s="256"/>
      <c r="E2944" s="333"/>
      <c r="F2944" s="333"/>
      <c r="G2944" s="328"/>
      <c r="H2944" s="95" t="s">
        <v>69</v>
      </c>
      <c r="I2944" s="1">
        <f>D2940*K2944</f>
        <v>22666.28</v>
      </c>
      <c r="J2944" s="1">
        <f>I2944/D2940</f>
        <v>91</v>
      </c>
      <c r="K2944" s="1">
        <v>91</v>
      </c>
    </row>
    <row r="2945" spans="1:11" x14ac:dyDescent="0.25">
      <c r="A2945" s="51" t="s">
        <v>43</v>
      </c>
      <c r="B2945" s="51"/>
      <c r="C2945" s="165"/>
      <c r="D2945" s="50">
        <f>D2946+D2949+D2952+D2955+D2962+D2969+D2976+D2983+D2990+D2993+D3000+D3003+D3006+D3011+D3016+D3019</f>
        <v>13388.42</v>
      </c>
      <c r="E2945" s="50"/>
      <c r="F2945" s="68"/>
      <c r="G2945" s="109"/>
      <c r="H2945" s="64"/>
      <c r="I2945" s="50">
        <f>I2946+I2949+I2952+I2955+I2962+I2969+I2976+I2983+I2990+I2993+I3000+I3003+I3006+I3011+I3016+I3019</f>
        <v>36294581.979999997</v>
      </c>
      <c r="J2945" s="50"/>
      <c r="K2945" s="50"/>
    </row>
    <row r="2946" spans="1:11" x14ac:dyDescent="0.25">
      <c r="A2946" s="252">
        <v>1</v>
      </c>
      <c r="B2946" s="231">
        <v>6855</v>
      </c>
      <c r="C2946" s="195" t="s">
        <v>306</v>
      </c>
      <c r="D2946" s="231">
        <v>396.5</v>
      </c>
      <c r="E2946" s="231" t="s">
        <v>68</v>
      </c>
      <c r="F2946" s="232">
        <v>2</v>
      </c>
      <c r="G2946" s="216" t="s">
        <v>71</v>
      </c>
      <c r="H2946" s="57" t="s">
        <v>66</v>
      </c>
      <c r="I2946" s="50">
        <f>I2947+I2948</f>
        <v>207766</v>
      </c>
      <c r="J2946" s="50">
        <f>J2947+J2948</f>
        <v>524</v>
      </c>
      <c r="K2946" s="50">
        <f>K2947+K2948</f>
        <v>524</v>
      </c>
    </row>
    <row r="2947" spans="1:11" x14ac:dyDescent="0.25">
      <c r="A2947" s="231"/>
      <c r="B2947" s="231"/>
      <c r="C2947" s="195"/>
      <c r="D2947" s="231"/>
      <c r="E2947" s="231"/>
      <c r="F2947" s="233"/>
      <c r="G2947" s="217"/>
      <c r="H2947" s="69" t="s">
        <v>67</v>
      </c>
      <c r="I2947" s="50">
        <f>K2947*D2946</f>
        <v>203404.5</v>
      </c>
      <c r="J2947" s="50">
        <f>I2947/D2946</f>
        <v>513</v>
      </c>
      <c r="K2947" s="50">
        <v>513</v>
      </c>
    </row>
    <row r="2948" spans="1:11" x14ac:dyDescent="0.25">
      <c r="A2948" s="231"/>
      <c r="B2948" s="231"/>
      <c r="C2948" s="195"/>
      <c r="D2948" s="231"/>
      <c r="E2948" s="231"/>
      <c r="F2948" s="234"/>
      <c r="G2948" s="222"/>
      <c r="H2948" s="69" t="s">
        <v>69</v>
      </c>
      <c r="I2948" s="50">
        <f>D2946*K2948</f>
        <v>4361.5</v>
      </c>
      <c r="J2948" s="50">
        <f>I2948/D2946</f>
        <v>11</v>
      </c>
      <c r="K2948" s="50">
        <v>11</v>
      </c>
    </row>
    <row r="2949" spans="1:11" x14ac:dyDescent="0.25">
      <c r="A2949" s="235">
        <f>A2946+1</f>
        <v>2</v>
      </c>
      <c r="B2949" s="235">
        <v>7023</v>
      </c>
      <c r="C2949" s="236" t="s">
        <v>307</v>
      </c>
      <c r="D2949" s="224">
        <v>1276.9000000000001</v>
      </c>
      <c r="E2949" s="224" t="s">
        <v>68</v>
      </c>
      <c r="F2949" s="225">
        <v>4</v>
      </c>
      <c r="G2949" s="108"/>
      <c r="H2949" s="57" t="s">
        <v>66</v>
      </c>
      <c r="I2949" s="50">
        <f>SUM(I2950:I2951)</f>
        <v>462237.8</v>
      </c>
      <c r="J2949" s="50">
        <f>SUM(J2950:J2951)</f>
        <v>362</v>
      </c>
      <c r="K2949" s="50">
        <f>SUM(K2950:K2951)</f>
        <v>362</v>
      </c>
    </row>
    <row r="2950" spans="1:11" x14ac:dyDescent="0.25">
      <c r="A2950" s="235"/>
      <c r="B2950" s="235"/>
      <c r="C2950" s="236"/>
      <c r="D2950" s="224"/>
      <c r="E2950" s="224"/>
      <c r="F2950" s="225"/>
      <c r="G2950" s="216" t="s">
        <v>74</v>
      </c>
      <c r="H2950" s="57" t="s">
        <v>67</v>
      </c>
      <c r="I2950" s="50">
        <f>D2949*K2950</f>
        <v>452022.6</v>
      </c>
      <c r="J2950" s="50">
        <f>I2950/D2949</f>
        <v>354</v>
      </c>
      <c r="K2950" s="50">
        <v>354</v>
      </c>
    </row>
    <row r="2951" spans="1:11" x14ac:dyDescent="0.25">
      <c r="A2951" s="235"/>
      <c r="B2951" s="235"/>
      <c r="C2951" s="236"/>
      <c r="D2951" s="224"/>
      <c r="E2951" s="224"/>
      <c r="F2951" s="225"/>
      <c r="G2951" s="222"/>
      <c r="H2951" s="57" t="s">
        <v>69</v>
      </c>
      <c r="I2951" s="50">
        <f>D2949*K2951</f>
        <v>10215.200000000001</v>
      </c>
      <c r="J2951" s="50">
        <f>I2951/D2949</f>
        <v>8</v>
      </c>
      <c r="K2951" s="50">
        <v>8</v>
      </c>
    </row>
    <row r="2952" spans="1:11" x14ac:dyDescent="0.25">
      <c r="A2952" s="235">
        <f>A2949+1</f>
        <v>3</v>
      </c>
      <c r="B2952" s="235">
        <v>7024</v>
      </c>
      <c r="C2952" s="236" t="s">
        <v>308</v>
      </c>
      <c r="D2952" s="224">
        <v>1249.5999999999999</v>
      </c>
      <c r="E2952" s="224" t="s">
        <v>68</v>
      </c>
      <c r="F2952" s="225">
        <v>4</v>
      </c>
      <c r="G2952" s="108"/>
      <c r="H2952" s="57" t="s">
        <v>66</v>
      </c>
      <c r="I2952" s="50">
        <f>SUM(I2953:I2954)</f>
        <v>452355.2</v>
      </c>
      <c r="J2952" s="50">
        <f>SUM(J2953:J2954)</f>
        <v>362</v>
      </c>
      <c r="K2952" s="50">
        <f>SUM(K2953:K2954)</f>
        <v>362</v>
      </c>
    </row>
    <row r="2953" spans="1:11" x14ac:dyDescent="0.25">
      <c r="A2953" s="235"/>
      <c r="B2953" s="235"/>
      <c r="C2953" s="236"/>
      <c r="D2953" s="224"/>
      <c r="E2953" s="224"/>
      <c r="F2953" s="225"/>
      <c r="G2953" s="216" t="s">
        <v>74</v>
      </c>
      <c r="H2953" s="57" t="s">
        <v>67</v>
      </c>
      <c r="I2953" s="50">
        <f>D2952*K2953</f>
        <v>442358.4</v>
      </c>
      <c r="J2953" s="50">
        <f>I2953/D2952</f>
        <v>354</v>
      </c>
      <c r="K2953" s="50">
        <v>354</v>
      </c>
    </row>
    <row r="2954" spans="1:11" x14ac:dyDescent="0.25">
      <c r="A2954" s="235"/>
      <c r="B2954" s="235"/>
      <c r="C2954" s="236"/>
      <c r="D2954" s="224"/>
      <c r="E2954" s="224"/>
      <c r="F2954" s="225"/>
      <c r="G2954" s="222"/>
      <c r="H2954" s="57" t="s">
        <v>69</v>
      </c>
      <c r="I2954" s="50">
        <f>D2952*K2954</f>
        <v>9996.7999999999993</v>
      </c>
      <c r="J2954" s="50">
        <f>I2954/D2952</f>
        <v>8</v>
      </c>
      <c r="K2954" s="50">
        <v>8</v>
      </c>
    </row>
    <row r="2955" spans="1:11" x14ac:dyDescent="0.25">
      <c r="A2955" s="235">
        <f>A2952+1</f>
        <v>4</v>
      </c>
      <c r="B2955" s="235">
        <v>6974</v>
      </c>
      <c r="C2955" s="241" t="s">
        <v>564</v>
      </c>
      <c r="D2955" s="224">
        <v>629.72</v>
      </c>
      <c r="E2955" s="224" t="s">
        <v>167</v>
      </c>
      <c r="F2955" s="228">
        <v>2</v>
      </c>
      <c r="G2955" s="110"/>
      <c r="H2955" s="57" t="s">
        <v>66</v>
      </c>
      <c r="I2955" s="50">
        <f>SUM(I2956:I2961)</f>
        <v>2700869.08</v>
      </c>
      <c r="J2955" s="50">
        <f>SUM(J2956:J2961)</f>
        <v>4289</v>
      </c>
      <c r="K2955" s="50">
        <f>SUM(K2956:K2961)</f>
        <v>4289</v>
      </c>
    </row>
    <row r="2956" spans="1:11" x14ac:dyDescent="0.25">
      <c r="A2956" s="249"/>
      <c r="B2956" s="249"/>
      <c r="C2956" s="242"/>
      <c r="D2956" s="224"/>
      <c r="E2956" s="227"/>
      <c r="F2956" s="229"/>
      <c r="G2956" s="215" t="s">
        <v>70</v>
      </c>
      <c r="H2956" s="69" t="s">
        <v>67</v>
      </c>
      <c r="I2956" s="50">
        <f>D2955*K2956</f>
        <v>1833114.92</v>
      </c>
      <c r="J2956" s="50">
        <f>I2956/D2955</f>
        <v>2911</v>
      </c>
      <c r="K2956" s="50">
        <v>2911</v>
      </c>
    </row>
    <row r="2957" spans="1:11" x14ac:dyDescent="0.25">
      <c r="A2957" s="249"/>
      <c r="B2957" s="249"/>
      <c r="C2957" s="242"/>
      <c r="D2957" s="224"/>
      <c r="E2957" s="227"/>
      <c r="F2957" s="229"/>
      <c r="G2957" s="215"/>
      <c r="H2957" s="69" t="s">
        <v>69</v>
      </c>
      <c r="I2957" s="50">
        <f>D2955*K2957</f>
        <v>39042.639999999999</v>
      </c>
      <c r="J2957" s="50">
        <f>I2957/D2955</f>
        <v>62</v>
      </c>
      <c r="K2957" s="50">
        <v>62</v>
      </c>
    </row>
    <row r="2958" spans="1:11" x14ac:dyDescent="0.25">
      <c r="A2958" s="249"/>
      <c r="B2958" s="249"/>
      <c r="C2958" s="242"/>
      <c r="D2958" s="224"/>
      <c r="E2958" s="227"/>
      <c r="F2958" s="229"/>
      <c r="G2958" s="217" t="s">
        <v>71</v>
      </c>
      <c r="H2958" s="69" t="s">
        <v>67</v>
      </c>
      <c r="I2958" s="50">
        <f>D2955*K2958</f>
        <v>469771.12</v>
      </c>
      <c r="J2958" s="50">
        <f>I2958/D2955</f>
        <v>746</v>
      </c>
      <c r="K2958" s="50">
        <v>746</v>
      </c>
    </row>
    <row r="2959" spans="1:11" x14ac:dyDescent="0.25">
      <c r="A2959" s="249"/>
      <c r="B2959" s="249"/>
      <c r="C2959" s="242"/>
      <c r="D2959" s="224"/>
      <c r="E2959" s="227"/>
      <c r="F2959" s="229"/>
      <c r="G2959" s="222"/>
      <c r="H2959" s="69" t="s">
        <v>69</v>
      </c>
      <c r="I2959" s="50">
        <f>D2955*K2959</f>
        <v>10075.52</v>
      </c>
      <c r="J2959" s="50">
        <f>I2959/D2955</f>
        <v>16</v>
      </c>
      <c r="K2959" s="50">
        <v>16</v>
      </c>
    </row>
    <row r="2960" spans="1:11" x14ac:dyDescent="0.25">
      <c r="A2960" s="249"/>
      <c r="B2960" s="249"/>
      <c r="C2960" s="242"/>
      <c r="D2960" s="224"/>
      <c r="E2960" s="227"/>
      <c r="F2960" s="229"/>
      <c r="G2960" s="217" t="s">
        <v>72</v>
      </c>
      <c r="H2960" s="69" t="s">
        <v>67</v>
      </c>
      <c r="I2960" s="50">
        <f>D2955*K2960</f>
        <v>341308.24</v>
      </c>
      <c r="J2960" s="50">
        <f>I2960/D2955</f>
        <v>542</v>
      </c>
      <c r="K2960" s="50">
        <v>542</v>
      </c>
    </row>
    <row r="2961" spans="1:11" x14ac:dyDescent="0.25">
      <c r="A2961" s="249"/>
      <c r="B2961" s="249"/>
      <c r="C2961" s="243"/>
      <c r="D2961" s="224"/>
      <c r="E2961" s="227"/>
      <c r="F2961" s="230"/>
      <c r="G2961" s="222"/>
      <c r="H2961" s="69" t="s">
        <v>69</v>
      </c>
      <c r="I2961" s="50">
        <f>D2955*K2961</f>
        <v>7556.64</v>
      </c>
      <c r="J2961" s="50">
        <f>I2961/D2955</f>
        <v>12</v>
      </c>
      <c r="K2961" s="50">
        <v>12</v>
      </c>
    </row>
    <row r="2962" spans="1:11" x14ac:dyDescent="0.25">
      <c r="A2962" s="235">
        <f>A2955+1</f>
        <v>5</v>
      </c>
      <c r="B2962" s="235">
        <v>6975</v>
      </c>
      <c r="C2962" s="241" t="s">
        <v>565</v>
      </c>
      <c r="D2962" s="224">
        <v>629.1</v>
      </c>
      <c r="E2962" s="224" t="s">
        <v>167</v>
      </c>
      <c r="F2962" s="228">
        <v>2</v>
      </c>
      <c r="G2962" s="110"/>
      <c r="H2962" s="57" t="s">
        <v>66</v>
      </c>
      <c r="I2962" s="50">
        <f>SUM(I2963:I2968)</f>
        <v>2698209.9</v>
      </c>
      <c r="J2962" s="50">
        <f>SUM(J2963:J2968)</f>
        <v>4289</v>
      </c>
      <c r="K2962" s="50">
        <f>SUM(K2963:K2968)</f>
        <v>4289</v>
      </c>
    </row>
    <row r="2963" spans="1:11" x14ac:dyDescent="0.25">
      <c r="A2963" s="249"/>
      <c r="B2963" s="249"/>
      <c r="C2963" s="242"/>
      <c r="D2963" s="224"/>
      <c r="E2963" s="227"/>
      <c r="F2963" s="229"/>
      <c r="G2963" s="215" t="s">
        <v>70</v>
      </c>
      <c r="H2963" s="69" t="s">
        <v>67</v>
      </c>
      <c r="I2963" s="50">
        <f>D2962*K2963</f>
        <v>1831310.1</v>
      </c>
      <c r="J2963" s="50">
        <f>I2963/D2962</f>
        <v>2911</v>
      </c>
      <c r="K2963" s="50">
        <v>2911</v>
      </c>
    </row>
    <row r="2964" spans="1:11" x14ac:dyDescent="0.25">
      <c r="A2964" s="249"/>
      <c r="B2964" s="249"/>
      <c r="C2964" s="242"/>
      <c r="D2964" s="224"/>
      <c r="E2964" s="227"/>
      <c r="F2964" s="229"/>
      <c r="G2964" s="215"/>
      <c r="H2964" s="69" t="s">
        <v>69</v>
      </c>
      <c r="I2964" s="50">
        <f>D2962*K2964</f>
        <v>39004.199999999997</v>
      </c>
      <c r="J2964" s="50">
        <f>I2964/D2962</f>
        <v>62</v>
      </c>
      <c r="K2964" s="50">
        <v>62</v>
      </c>
    </row>
    <row r="2965" spans="1:11" x14ac:dyDescent="0.25">
      <c r="A2965" s="249"/>
      <c r="B2965" s="249"/>
      <c r="C2965" s="242"/>
      <c r="D2965" s="224"/>
      <c r="E2965" s="227"/>
      <c r="F2965" s="229"/>
      <c r="G2965" s="217" t="s">
        <v>71</v>
      </c>
      <c r="H2965" s="69" t="s">
        <v>67</v>
      </c>
      <c r="I2965" s="50">
        <f>D2962*K2965</f>
        <v>469308.6</v>
      </c>
      <c r="J2965" s="50">
        <f>I2965/D2962</f>
        <v>746</v>
      </c>
      <c r="K2965" s="50">
        <v>746</v>
      </c>
    </row>
    <row r="2966" spans="1:11" x14ac:dyDescent="0.25">
      <c r="A2966" s="249"/>
      <c r="B2966" s="249"/>
      <c r="C2966" s="242"/>
      <c r="D2966" s="224"/>
      <c r="E2966" s="227"/>
      <c r="F2966" s="229"/>
      <c r="G2966" s="222"/>
      <c r="H2966" s="69" t="s">
        <v>69</v>
      </c>
      <c r="I2966" s="50">
        <f>D2962*K2966</f>
        <v>10065.6</v>
      </c>
      <c r="J2966" s="50">
        <f>I2966/D2962</f>
        <v>16</v>
      </c>
      <c r="K2966" s="50">
        <v>16</v>
      </c>
    </row>
    <row r="2967" spans="1:11" x14ac:dyDescent="0.25">
      <c r="A2967" s="249"/>
      <c r="B2967" s="249"/>
      <c r="C2967" s="242"/>
      <c r="D2967" s="224"/>
      <c r="E2967" s="227"/>
      <c r="F2967" s="229"/>
      <c r="G2967" s="217" t="s">
        <v>72</v>
      </c>
      <c r="H2967" s="69" t="s">
        <v>67</v>
      </c>
      <c r="I2967" s="50">
        <f>D2962*K2967</f>
        <v>340972.2</v>
      </c>
      <c r="J2967" s="50">
        <f>I2967/D2962</f>
        <v>542</v>
      </c>
      <c r="K2967" s="50">
        <v>542</v>
      </c>
    </row>
    <row r="2968" spans="1:11" x14ac:dyDescent="0.25">
      <c r="A2968" s="249"/>
      <c r="B2968" s="249"/>
      <c r="C2968" s="243"/>
      <c r="D2968" s="224"/>
      <c r="E2968" s="227"/>
      <c r="F2968" s="230"/>
      <c r="G2968" s="222"/>
      <c r="H2968" s="69" t="s">
        <v>69</v>
      </c>
      <c r="I2968" s="50">
        <f>D2962*K2968</f>
        <v>7549.2</v>
      </c>
      <c r="J2968" s="50">
        <f>I2968/D2962</f>
        <v>12</v>
      </c>
      <c r="K2968" s="50">
        <v>12</v>
      </c>
    </row>
    <row r="2969" spans="1:11" x14ac:dyDescent="0.25">
      <c r="A2969" s="235">
        <f>A2962+1</f>
        <v>6</v>
      </c>
      <c r="B2969" s="235">
        <v>6982</v>
      </c>
      <c r="C2969" s="241" t="s">
        <v>316</v>
      </c>
      <c r="D2969" s="224">
        <v>652.70000000000005</v>
      </c>
      <c r="E2969" s="224" t="s">
        <v>68</v>
      </c>
      <c r="F2969" s="228">
        <v>2</v>
      </c>
      <c r="G2969" s="110"/>
      <c r="H2969" s="57" t="s">
        <v>66</v>
      </c>
      <c r="I2969" s="50">
        <f>SUM(I2970:I2975)</f>
        <v>2644087.7000000002</v>
      </c>
      <c r="J2969" s="50">
        <f>SUM(J2970:J2975)</f>
        <v>4051</v>
      </c>
      <c r="K2969" s="50">
        <f>SUM(K2970:K2975)</f>
        <v>4051</v>
      </c>
    </row>
    <row r="2970" spans="1:11" x14ac:dyDescent="0.25">
      <c r="A2970" s="249"/>
      <c r="B2970" s="249"/>
      <c r="C2970" s="242"/>
      <c r="D2970" s="224"/>
      <c r="E2970" s="227"/>
      <c r="F2970" s="229"/>
      <c r="G2970" s="215" t="s">
        <v>70</v>
      </c>
      <c r="H2970" s="69" t="s">
        <v>67</v>
      </c>
      <c r="I2970" s="50">
        <f>D2969*K2970</f>
        <v>1900009.7</v>
      </c>
      <c r="J2970" s="50">
        <f>I2970/D2969</f>
        <v>2911</v>
      </c>
      <c r="K2970" s="50">
        <v>2911</v>
      </c>
    </row>
    <row r="2971" spans="1:11" x14ac:dyDescent="0.25">
      <c r="A2971" s="249"/>
      <c r="B2971" s="249"/>
      <c r="C2971" s="242"/>
      <c r="D2971" s="224"/>
      <c r="E2971" s="227"/>
      <c r="F2971" s="229"/>
      <c r="G2971" s="215"/>
      <c r="H2971" s="69" t="s">
        <v>69</v>
      </c>
      <c r="I2971" s="50">
        <f>D2969*K2971</f>
        <v>40467.4</v>
      </c>
      <c r="J2971" s="50">
        <f>I2971/D2969</f>
        <v>62</v>
      </c>
      <c r="K2971" s="50">
        <v>62</v>
      </c>
    </row>
    <row r="2972" spans="1:11" x14ac:dyDescent="0.25">
      <c r="A2972" s="249"/>
      <c r="B2972" s="249"/>
      <c r="C2972" s="242"/>
      <c r="D2972" s="224"/>
      <c r="E2972" s="227"/>
      <c r="F2972" s="229"/>
      <c r="G2972" s="217" t="s">
        <v>71</v>
      </c>
      <c r="H2972" s="69" t="s">
        <v>67</v>
      </c>
      <c r="I2972" s="50">
        <f>D2969*K2972</f>
        <v>334835.09999999998</v>
      </c>
      <c r="J2972" s="50">
        <f>I2972/D2969</f>
        <v>513</v>
      </c>
      <c r="K2972" s="50">
        <v>513</v>
      </c>
    </row>
    <row r="2973" spans="1:11" x14ac:dyDescent="0.25">
      <c r="A2973" s="249"/>
      <c r="B2973" s="249"/>
      <c r="C2973" s="242"/>
      <c r="D2973" s="224"/>
      <c r="E2973" s="227"/>
      <c r="F2973" s="229"/>
      <c r="G2973" s="222"/>
      <c r="H2973" s="69" t="s">
        <v>69</v>
      </c>
      <c r="I2973" s="50">
        <f>D2969*K2973</f>
        <v>7179.7</v>
      </c>
      <c r="J2973" s="50">
        <f>I2973/D2969</f>
        <v>11</v>
      </c>
      <c r="K2973" s="50">
        <v>11</v>
      </c>
    </row>
    <row r="2974" spans="1:11" x14ac:dyDescent="0.25">
      <c r="A2974" s="249"/>
      <c r="B2974" s="249"/>
      <c r="C2974" s="242"/>
      <c r="D2974" s="224"/>
      <c r="E2974" s="227"/>
      <c r="F2974" s="229"/>
      <c r="G2974" s="217" t="s">
        <v>72</v>
      </c>
      <c r="H2974" s="69" t="s">
        <v>67</v>
      </c>
      <c r="I2974" s="50">
        <f>D2969*K2974</f>
        <v>353763.4</v>
      </c>
      <c r="J2974" s="50">
        <f>I2974/D2969</f>
        <v>542</v>
      </c>
      <c r="K2974" s="50">
        <v>542</v>
      </c>
    </row>
    <row r="2975" spans="1:11" x14ac:dyDescent="0.25">
      <c r="A2975" s="249"/>
      <c r="B2975" s="249"/>
      <c r="C2975" s="243"/>
      <c r="D2975" s="224"/>
      <c r="E2975" s="227"/>
      <c r="F2975" s="230"/>
      <c r="G2975" s="222"/>
      <c r="H2975" s="69" t="s">
        <v>69</v>
      </c>
      <c r="I2975" s="50">
        <f>D2969*K2975</f>
        <v>7832.4</v>
      </c>
      <c r="J2975" s="50">
        <f>I2975/D2969</f>
        <v>12</v>
      </c>
      <c r="K2975" s="50">
        <v>12</v>
      </c>
    </row>
    <row r="2976" spans="1:11" x14ac:dyDescent="0.25">
      <c r="A2976" s="235">
        <f>A2969+1</f>
        <v>7</v>
      </c>
      <c r="B2976" s="235">
        <v>6983</v>
      </c>
      <c r="C2976" s="241" t="s">
        <v>317</v>
      </c>
      <c r="D2976" s="224">
        <v>403.9</v>
      </c>
      <c r="E2976" s="224" t="s">
        <v>167</v>
      </c>
      <c r="F2976" s="228">
        <v>2</v>
      </c>
      <c r="G2976" s="110"/>
      <c r="H2976" s="57" t="s">
        <v>66</v>
      </c>
      <c r="I2976" s="50">
        <f>SUM(I2977:I2982)</f>
        <v>1636198.9</v>
      </c>
      <c r="J2976" s="50">
        <f>SUM(J2977:J2982)</f>
        <v>4051</v>
      </c>
      <c r="K2976" s="50">
        <f>SUM(K2977:K2982)</f>
        <v>4051</v>
      </c>
    </row>
    <row r="2977" spans="1:11" x14ac:dyDescent="0.25">
      <c r="A2977" s="249"/>
      <c r="B2977" s="249"/>
      <c r="C2977" s="242"/>
      <c r="D2977" s="224"/>
      <c r="E2977" s="227"/>
      <c r="F2977" s="229"/>
      <c r="G2977" s="215" t="s">
        <v>70</v>
      </c>
      <c r="H2977" s="69" t="s">
        <v>67</v>
      </c>
      <c r="I2977" s="50">
        <f>D2976*K2977</f>
        <v>1175752.8999999999</v>
      </c>
      <c r="J2977" s="50">
        <f>I2977/D2976</f>
        <v>2911</v>
      </c>
      <c r="K2977" s="50">
        <v>2911</v>
      </c>
    </row>
    <row r="2978" spans="1:11" x14ac:dyDescent="0.25">
      <c r="A2978" s="249"/>
      <c r="B2978" s="249"/>
      <c r="C2978" s="242"/>
      <c r="D2978" s="224"/>
      <c r="E2978" s="227"/>
      <c r="F2978" s="229"/>
      <c r="G2978" s="215"/>
      <c r="H2978" s="69" t="s">
        <v>69</v>
      </c>
      <c r="I2978" s="50">
        <f>D2976*K2978</f>
        <v>25041.8</v>
      </c>
      <c r="J2978" s="50">
        <f>I2978/D2976</f>
        <v>62</v>
      </c>
      <c r="K2978" s="50">
        <v>62</v>
      </c>
    </row>
    <row r="2979" spans="1:11" x14ac:dyDescent="0.25">
      <c r="A2979" s="249"/>
      <c r="B2979" s="249"/>
      <c r="C2979" s="242"/>
      <c r="D2979" s="224"/>
      <c r="E2979" s="227"/>
      <c r="F2979" s="229"/>
      <c r="G2979" s="217" t="s">
        <v>71</v>
      </c>
      <c r="H2979" s="69" t="s">
        <v>67</v>
      </c>
      <c r="I2979" s="50">
        <f>D2976*K2979</f>
        <v>207200.7</v>
      </c>
      <c r="J2979" s="50">
        <f>I2979/D2976</f>
        <v>513</v>
      </c>
      <c r="K2979" s="50">
        <v>513</v>
      </c>
    </row>
    <row r="2980" spans="1:11" x14ac:dyDescent="0.25">
      <c r="A2980" s="249"/>
      <c r="B2980" s="249"/>
      <c r="C2980" s="242"/>
      <c r="D2980" s="224"/>
      <c r="E2980" s="227"/>
      <c r="F2980" s="229"/>
      <c r="G2980" s="222"/>
      <c r="H2980" s="69" t="s">
        <v>69</v>
      </c>
      <c r="I2980" s="50">
        <f>D2976*K2980</f>
        <v>4442.8999999999996</v>
      </c>
      <c r="J2980" s="50">
        <f>I2980/D2976</f>
        <v>11</v>
      </c>
      <c r="K2980" s="50">
        <v>11</v>
      </c>
    </row>
    <row r="2981" spans="1:11" x14ac:dyDescent="0.25">
      <c r="A2981" s="249"/>
      <c r="B2981" s="249"/>
      <c r="C2981" s="242"/>
      <c r="D2981" s="224"/>
      <c r="E2981" s="227"/>
      <c r="F2981" s="229"/>
      <c r="G2981" s="217" t="s">
        <v>72</v>
      </c>
      <c r="H2981" s="69" t="s">
        <v>67</v>
      </c>
      <c r="I2981" s="50">
        <f>D2976*K2981</f>
        <v>218913.8</v>
      </c>
      <c r="J2981" s="50">
        <f>I2981/D2976</f>
        <v>542</v>
      </c>
      <c r="K2981" s="50">
        <v>542</v>
      </c>
    </row>
    <row r="2982" spans="1:11" x14ac:dyDescent="0.25">
      <c r="A2982" s="249"/>
      <c r="B2982" s="249"/>
      <c r="C2982" s="243"/>
      <c r="D2982" s="224"/>
      <c r="E2982" s="227"/>
      <c r="F2982" s="230"/>
      <c r="G2982" s="222"/>
      <c r="H2982" s="69" t="s">
        <v>69</v>
      </c>
      <c r="I2982" s="50">
        <f>D2976*K2982</f>
        <v>4846.8</v>
      </c>
      <c r="J2982" s="50">
        <f>I2982/D2976</f>
        <v>12</v>
      </c>
      <c r="K2982" s="50">
        <v>12</v>
      </c>
    </row>
    <row r="2983" spans="1:11" x14ac:dyDescent="0.25">
      <c r="A2983" s="235">
        <f>A2976+1</f>
        <v>8</v>
      </c>
      <c r="B2983" s="235">
        <v>6984</v>
      </c>
      <c r="C2983" s="241" t="s">
        <v>318</v>
      </c>
      <c r="D2983" s="224">
        <v>651.1</v>
      </c>
      <c r="E2983" s="224" t="s">
        <v>68</v>
      </c>
      <c r="F2983" s="228">
        <v>2</v>
      </c>
      <c r="G2983" s="110"/>
      <c r="H2983" s="57" t="s">
        <v>66</v>
      </c>
      <c r="I2983" s="50">
        <f>SUM(I2984:I2989)</f>
        <v>2792567.9</v>
      </c>
      <c r="J2983" s="50">
        <f>SUM(J2984:J2989)</f>
        <v>4289</v>
      </c>
      <c r="K2983" s="50">
        <f>SUM(K2984:K2989)</f>
        <v>4289</v>
      </c>
    </row>
    <row r="2984" spans="1:11" x14ac:dyDescent="0.25">
      <c r="A2984" s="249"/>
      <c r="B2984" s="249"/>
      <c r="C2984" s="242"/>
      <c r="D2984" s="224"/>
      <c r="E2984" s="227"/>
      <c r="F2984" s="229"/>
      <c r="G2984" s="215" t="s">
        <v>70</v>
      </c>
      <c r="H2984" s="69" t="s">
        <v>67</v>
      </c>
      <c r="I2984" s="50">
        <f>D2983*K2984</f>
        <v>1895352.1</v>
      </c>
      <c r="J2984" s="50">
        <f>I2984/D2983</f>
        <v>2911</v>
      </c>
      <c r="K2984" s="50">
        <v>2911</v>
      </c>
    </row>
    <row r="2985" spans="1:11" x14ac:dyDescent="0.25">
      <c r="A2985" s="249"/>
      <c r="B2985" s="249"/>
      <c r="C2985" s="242"/>
      <c r="D2985" s="224"/>
      <c r="E2985" s="227"/>
      <c r="F2985" s="229"/>
      <c r="G2985" s="215"/>
      <c r="H2985" s="69" t="s">
        <v>69</v>
      </c>
      <c r="I2985" s="50">
        <f>D2983*K2985</f>
        <v>40368.199999999997</v>
      </c>
      <c r="J2985" s="50">
        <f>I2985/D2983</f>
        <v>62</v>
      </c>
      <c r="K2985" s="50">
        <v>62</v>
      </c>
    </row>
    <row r="2986" spans="1:11" x14ac:dyDescent="0.25">
      <c r="A2986" s="249"/>
      <c r="B2986" s="249"/>
      <c r="C2986" s="242"/>
      <c r="D2986" s="224"/>
      <c r="E2986" s="227"/>
      <c r="F2986" s="229"/>
      <c r="G2986" s="217" t="s">
        <v>71</v>
      </c>
      <c r="H2986" s="69" t="s">
        <v>67</v>
      </c>
      <c r="I2986" s="50">
        <f>D2983*K2986</f>
        <v>485720.6</v>
      </c>
      <c r="J2986" s="50">
        <f>I2986/D2983</f>
        <v>746</v>
      </c>
      <c r="K2986" s="50">
        <v>746</v>
      </c>
    </row>
    <row r="2987" spans="1:11" x14ac:dyDescent="0.25">
      <c r="A2987" s="249"/>
      <c r="B2987" s="249"/>
      <c r="C2987" s="242"/>
      <c r="D2987" s="224"/>
      <c r="E2987" s="227"/>
      <c r="F2987" s="229"/>
      <c r="G2987" s="222"/>
      <c r="H2987" s="69" t="s">
        <v>69</v>
      </c>
      <c r="I2987" s="50">
        <f>D2983*K2987</f>
        <v>10417.6</v>
      </c>
      <c r="J2987" s="50">
        <f>I2987/D2983</f>
        <v>16</v>
      </c>
      <c r="K2987" s="50">
        <v>16</v>
      </c>
    </row>
    <row r="2988" spans="1:11" x14ac:dyDescent="0.25">
      <c r="A2988" s="249"/>
      <c r="B2988" s="249"/>
      <c r="C2988" s="242"/>
      <c r="D2988" s="224"/>
      <c r="E2988" s="227"/>
      <c r="F2988" s="229"/>
      <c r="G2988" s="217" t="s">
        <v>72</v>
      </c>
      <c r="H2988" s="69" t="s">
        <v>67</v>
      </c>
      <c r="I2988" s="50">
        <f>D2983*K2988</f>
        <v>352896.2</v>
      </c>
      <c r="J2988" s="50">
        <f>I2988/D2983</f>
        <v>542</v>
      </c>
      <c r="K2988" s="50">
        <v>542</v>
      </c>
    </row>
    <row r="2989" spans="1:11" x14ac:dyDescent="0.25">
      <c r="A2989" s="249"/>
      <c r="B2989" s="249"/>
      <c r="C2989" s="243"/>
      <c r="D2989" s="224"/>
      <c r="E2989" s="227"/>
      <c r="F2989" s="230"/>
      <c r="G2989" s="222"/>
      <c r="H2989" s="69" t="s">
        <v>69</v>
      </c>
      <c r="I2989" s="50">
        <f>D2983*K2989</f>
        <v>7813.2</v>
      </c>
      <c r="J2989" s="50">
        <f>I2989/D2983</f>
        <v>12</v>
      </c>
      <c r="K2989" s="50">
        <v>12</v>
      </c>
    </row>
    <row r="2990" spans="1:11" x14ac:dyDescent="0.25">
      <c r="A2990" s="237">
        <f>A2983+1</f>
        <v>9</v>
      </c>
      <c r="B2990" s="240">
        <v>6931</v>
      </c>
      <c r="C2990" s="241" t="s">
        <v>321</v>
      </c>
      <c r="D2990" s="220">
        <v>3585.5</v>
      </c>
      <c r="E2990" s="220" t="s">
        <v>64</v>
      </c>
      <c r="F2990" s="228">
        <v>5</v>
      </c>
      <c r="G2990" s="216" t="s">
        <v>65</v>
      </c>
      <c r="H2990" s="69" t="s">
        <v>66</v>
      </c>
      <c r="I2990" s="70">
        <f>I2991+I2992</f>
        <v>13442039.5</v>
      </c>
      <c r="J2990" s="70">
        <f>J2991+J2992</f>
        <v>3749</v>
      </c>
      <c r="K2990" s="1">
        <f>K2991+K2992</f>
        <v>3749</v>
      </c>
    </row>
    <row r="2991" spans="1:11" x14ac:dyDescent="0.25">
      <c r="A2991" s="238"/>
      <c r="B2991" s="238"/>
      <c r="C2991" s="242"/>
      <c r="D2991" s="221"/>
      <c r="E2991" s="221"/>
      <c r="F2991" s="229"/>
      <c r="G2991" s="217"/>
      <c r="H2991" s="57" t="s">
        <v>67</v>
      </c>
      <c r="I2991" s="70">
        <f>D2990*K2991</f>
        <v>13158785</v>
      </c>
      <c r="J2991" s="70">
        <f>I2991/D2990</f>
        <v>3670</v>
      </c>
      <c r="K2991" s="1">
        <v>3670</v>
      </c>
    </row>
    <row r="2992" spans="1:11" x14ac:dyDescent="0.25">
      <c r="A2992" s="239"/>
      <c r="B2992" s="239"/>
      <c r="C2992" s="243"/>
      <c r="D2992" s="227"/>
      <c r="E2992" s="227"/>
      <c r="F2992" s="230"/>
      <c r="G2992" s="222"/>
      <c r="H2992" s="57" t="s">
        <v>69</v>
      </c>
      <c r="I2992" s="70">
        <f>D2990*K2992</f>
        <v>283254.5</v>
      </c>
      <c r="J2992" s="70">
        <f>I2992/D2990</f>
        <v>79</v>
      </c>
      <c r="K2992" s="1">
        <v>79</v>
      </c>
    </row>
    <row r="2993" spans="1:11" x14ac:dyDescent="0.25">
      <c r="A2993" s="235">
        <f>A2990+1</f>
        <v>10</v>
      </c>
      <c r="B2993" s="235">
        <v>6818</v>
      </c>
      <c r="C2993" s="241" t="s">
        <v>566</v>
      </c>
      <c r="D2993" s="224">
        <v>636.4</v>
      </c>
      <c r="E2993" s="224" t="s">
        <v>167</v>
      </c>
      <c r="F2993" s="228">
        <v>2</v>
      </c>
      <c r="G2993" s="110"/>
      <c r="H2993" s="57" t="s">
        <v>66</v>
      </c>
      <c r="I2993" s="50">
        <f>SUM(I2994:I2999)</f>
        <v>2729519.6</v>
      </c>
      <c r="J2993" s="50">
        <f>SUM(J2994:J2999)</f>
        <v>4289</v>
      </c>
      <c r="K2993" s="50">
        <f>SUM(K2994:K2999)</f>
        <v>4289</v>
      </c>
    </row>
    <row r="2994" spans="1:11" x14ac:dyDescent="0.25">
      <c r="A2994" s="249"/>
      <c r="B2994" s="249"/>
      <c r="C2994" s="242"/>
      <c r="D2994" s="224"/>
      <c r="E2994" s="227"/>
      <c r="F2994" s="229"/>
      <c r="G2994" s="215" t="s">
        <v>70</v>
      </c>
      <c r="H2994" s="69" t="s">
        <v>67</v>
      </c>
      <c r="I2994" s="50">
        <f>D2993*K2994</f>
        <v>1852560.4</v>
      </c>
      <c r="J2994" s="50">
        <f>I2994/D2993</f>
        <v>2911</v>
      </c>
      <c r="K2994" s="50">
        <v>2911</v>
      </c>
    </row>
    <row r="2995" spans="1:11" x14ac:dyDescent="0.25">
      <c r="A2995" s="249"/>
      <c r="B2995" s="249"/>
      <c r="C2995" s="242"/>
      <c r="D2995" s="224"/>
      <c r="E2995" s="227"/>
      <c r="F2995" s="229"/>
      <c r="G2995" s="215"/>
      <c r="H2995" s="69" t="s">
        <v>69</v>
      </c>
      <c r="I2995" s="50">
        <f>D2993*K2995</f>
        <v>39456.800000000003</v>
      </c>
      <c r="J2995" s="50">
        <f>I2995/D2993</f>
        <v>62</v>
      </c>
      <c r="K2995" s="50">
        <v>62</v>
      </c>
    </row>
    <row r="2996" spans="1:11" x14ac:dyDescent="0.25">
      <c r="A2996" s="249"/>
      <c r="B2996" s="249"/>
      <c r="C2996" s="242"/>
      <c r="D2996" s="224"/>
      <c r="E2996" s="227"/>
      <c r="F2996" s="229"/>
      <c r="G2996" s="217" t="s">
        <v>71</v>
      </c>
      <c r="H2996" s="69" t="s">
        <v>67</v>
      </c>
      <c r="I2996" s="50">
        <f>D2993*K2996</f>
        <v>474754.4</v>
      </c>
      <c r="J2996" s="50">
        <f>I2996/D2993</f>
        <v>746</v>
      </c>
      <c r="K2996" s="50">
        <v>746</v>
      </c>
    </row>
    <row r="2997" spans="1:11" x14ac:dyDescent="0.25">
      <c r="A2997" s="249"/>
      <c r="B2997" s="249"/>
      <c r="C2997" s="242"/>
      <c r="D2997" s="224"/>
      <c r="E2997" s="227"/>
      <c r="F2997" s="229"/>
      <c r="G2997" s="222"/>
      <c r="H2997" s="69" t="s">
        <v>69</v>
      </c>
      <c r="I2997" s="50">
        <f>D2993*K2997</f>
        <v>10182.4</v>
      </c>
      <c r="J2997" s="50">
        <f>I2997/D2993</f>
        <v>16</v>
      </c>
      <c r="K2997" s="50">
        <v>16</v>
      </c>
    </row>
    <row r="2998" spans="1:11" x14ac:dyDescent="0.25">
      <c r="A2998" s="249"/>
      <c r="B2998" s="249"/>
      <c r="C2998" s="242"/>
      <c r="D2998" s="224"/>
      <c r="E2998" s="227"/>
      <c r="F2998" s="229"/>
      <c r="G2998" s="217" t="s">
        <v>72</v>
      </c>
      <c r="H2998" s="69" t="s">
        <v>67</v>
      </c>
      <c r="I2998" s="50">
        <f>D2993*K2998</f>
        <v>344928.8</v>
      </c>
      <c r="J2998" s="50">
        <f>I2998/D2993</f>
        <v>542</v>
      </c>
      <c r="K2998" s="50">
        <v>542</v>
      </c>
    </row>
    <row r="2999" spans="1:11" x14ac:dyDescent="0.25">
      <c r="A2999" s="249"/>
      <c r="B2999" s="249"/>
      <c r="C2999" s="243"/>
      <c r="D2999" s="224"/>
      <c r="E2999" s="227"/>
      <c r="F2999" s="230"/>
      <c r="G2999" s="222"/>
      <c r="H2999" s="69" t="s">
        <v>69</v>
      </c>
      <c r="I2999" s="50">
        <f>D2993*K2999</f>
        <v>7636.8</v>
      </c>
      <c r="J2999" s="50">
        <f>I2999/D2993</f>
        <v>12</v>
      </c>
      <c r="K2999" s="50">
        <v>12</v>
      </c>
    </row>
    <row r="3000" spans="1:11" x14ac:dyDescent="0.25">
      <c r="A3000" s="252">
        <f>A2993+1</f>
        <v>11</v>
      </c>
      <c r="B3000" s="231">
        <v>8006</v>
      </c>
      <c r="C3000" s="195" t="s">
        <v>323</v>
      </c>
      <c r="D3000" s="231">
        <v>637.20000000000005</v>
      </c>
      <c r="E3000" s="231" t="s">
        <v>68</v>
      </c>
      <c r="F3000" s="232">
        <v>2</v>
      </c>
      <c r="G3000" s="216" t="s">
        <v>71</v>
      </c>
      <c r="H3000" s="57" t="s">
        <v>66</v>
      </c>
      <c r="I3000" s="50">
        <f>I3001+I3002</f>
        <v>333892.8</v>
      </c>
      <c r="J3000" s="50">
        <f>J3001+J3002</f>
        <v>524</v>
      </c>
      <c r="K3000" s="50">
        <f>K3001+K3002</f>
        <v>524</v>
      </c>
    </row>
    <row r="3001" spans="1:11" x14ac:dyDescent="0.25">
      <c r="A3001" s="231"/>
      <c r="B3001" s="231"/>
      <c r="C3001" s="195"/>
      <c r="D3001" s="231"/>
      <c r="E3001" s="231"/>
      <c r="F3001" s="233"/>
      <c r="G3001" s="217"/>
      <c r="H3001" s="69" t="s">
        <v>67</v>
      </c>
      <c r="I3001" s="50">
        <f>K3001*D3000</f>
        <v>326883.59999999998</v>
      </c>
      <c r="J3001" s="50">
        <f>I3001/D3000</f>
        <v>513</v>
      </c>
      <c r="K3001" s="50">
        <v>513</v>
      </c>
    </row>
    <row r="3002" spans="1:11" x14ac:dyDescent="0.25">
      <c r="A3002" s="231"/>
      <c r="B3002" s="231"/>
      <c r="C3002" s="195"/>
      <c r="D3002" s="231"/>
      <c r="E3002" s="231"/>
      <c r="F3002" s="234"/>
      <c r="G3002" s="222"/>
      <c r="H3002" s="69" t="s">
        <v>69</v>
      </c>
      <c r="I3002" s="50">
        <f>D3000*K3002</f>
        <v>7009.2</v>
      </c>
      <c r="J3002" s="50">
        <f>I3002/D3000</f>
        <v>11</v>
      </c>
      <c r="K3002" s="50">
        <v>11</v>
      </c>
    </row>
    <row r="3003" spans="1:11" x14ac:dyDescent="0.25">
      <c r="A3003" s="252">
        <f>A3000+1</f>
        <v>12</v>
      </c>
      <c r="B3003" s="231">
        <v>8005</v>
      </c>
      <c r="C3003" s="195" t="s">
        <v>324</v>
      </c>
      <c r="D3003" s="231">
        <v>657.6</v>
      </c>
      <c r="E3003" s="231" t="s">
        <v>68</v>
      </c>
      <c r="F3003" s="232">
        <v>2</v>
      </c>
      <c r="G3003" s="216" t="s">
        <v>71</v>
      </c>
      <c r="H3003" s="57" t="s">
        <v>66</v>
      </c>
      <c r="I3003" s="50">
        <f>I3004+I3005</f>
        <v>344582.40000000002</v>
      </c>
      <c r="J3003" s="50">
        <f>J3004+J3005</f>
        <v>524</v>
      </c>
      <c r="K3003" s="50">
        <f>K3004+K3005</f>
        <v>524</v>
      </c>
    </row>
    <row r="3004" spans="1:11" x14ac:dyDescent="0.25">
      <c r="A3004" s="231"/>
      <c r="B3004" s="231"/>
      <c r="C3004" s="195"/>
      <c r="D3004" s="231"/>
      <c r="E3004" s="231"/>
      <c r="F3004" s="233"/>
      <c r="G3004" s="217"/>
      <c r="H3004" s="69" t="s">
        <v>67</v>
      </c>
      <c r="I3004" s="50">
        <f>K3004*D3003</f>
        <v>337348.8</v>
      </c>
      <c r="J3004" s="50">
        <f>I3004/D3003</f>
        <v>513</v>
      </c>
      <c r="K3004" s="50">
        <v>513</v>
      </c>
    </row>
    <row r="3005" spans="1:11" x14ac:dyDescent="0.25">
      <c r="A3005" s="231"/>
      <c r="B3005" s="231"/>
      <c r="C3005" s="195"/>
      <c r="D3005" s="231"/>
      <c r="E3005" s="231"/>
      <c r="F3005" s="234"/>
      <c r="G3005" s="222"/>
      <c r="H3005" s="69" t="s">
        <v>69</v>
      </c>
      <c r="I3005" s="50">
        <f>D3003*K3005</f>
        <v>7233.6</v>
      </c>
      <c r="J3005" s="50">
        <f>I3005/D3003</f>
        <v>11</v>
      </c>
      <c r="K3005" s="50">
        <v>11</v>
      </c>
    </row>
    <row r="3006" spans="1:11" x14ac:dyDescent="0.25">
      <c r="A3006" s="237">
        <f>A3003+1</f>
        <v>13</v>
      </c>
      <c r="B3006" s="240">
        <v>6868</v>
      </c>
      <c r="C3006" s="241" t="s">
        <v>325</v>
      </c>
      <c r="D3006" s="244">
        <v>701</v>
      </c>
      <c r="E3006" s="240" t="s">
        <v>68</v>
      </c>
      <c r="F3006" s="240">
        <v>2</v>
      </c>
      <c r="G3006" s="110"/>
      <c r="H3006" s="57" t="s">
        <v>66</v>
      </c>
      <c r="I3006" s="50">
        <f>SUM(I3007:I3010)</f>
        <v>2451397</v>
      </c>
      <c r="J3006" s="50">
        <f>SUM(J3007:J3010)</f>
        <v>3497</v>
      </c>
      <c r="K3006" s="50">
        <f>SUM(K3007:K3010)</f>
        <v>3497</v>
      </c>
    </row>
    <row r="3007" spans="1:11" x14ac:dyDescent="0.25">
      <c r="A3007" s="238"/>
      <c r="B3007" s="238"/>
      <c r="C3007" s="242"/>
      <c r="D3007" s="245"/>
      <c r="E3007" s="238"/>
      <c r="F3007" s="238"/>
      <c r="G3007" s="215" t="s">
        <v>70</v>
      </c>
      <c r="H3007" s="69" t="s">
        <v>67</v>
      </c>
      <c r="I3007" s="50">
        <f>D3006*K3007</f>
        <v>2040611</v>
      </c>
      <c r="J3007" s="50">
        <f>I3007/D3006</f>
        <v>2911</v>
      </c>
      <c r="K3007" s="50">
        <v>2911</v>
      </c>
    </row>
    <row r="3008" spans="1:11" x14ac:dyDescent="0.25">
      <c r="A3008" s="238"/>
      <c r="B3008" s="238"/>
      <c r="C3008" s="242"/>
      <c r="D3008" s="245"/>
      <c r="E3008" s="238"/>
      <c r="F3008" s="238"/>
      <c r="G3008" s="215"/>
      <c r="H3008" s="69" t="s">
        <v>69</v>
      </c>
      <c r="I3008" s="50">
        <f>D3006*K3008</f>
        <v>43462</v>
      </c>
      <c r="J3008" s="50">
        <f>I3008/D3006</f>
        <v>62</v>
      </c>
      <c r="K3008" s="50">
        <v>62</v>
      </c>
    </row>
    <row r="3009" spans="1:11" x14ac:dyDescent="0.25">
      <c r="A3009" s="238"/>
      <c r="B3009" s="238"/>
      <c r="C3009" s="242"/>
      <c r="D3009" s="245"/>
      <c r="E3009" s="238"/>
      <c r="F3009" s="238"/>
      <c r="G3009" s="217" t="s">
        <v>71</v>
      </c>
      <c r="H3009" s="69" t="s">
        <v>67</v>
      </c>
      <c r="I3009" s="50">
        <f>D3006*K3009</f>
        <v>359613</v>
      </c>
      <c r="J3009" s="50">
        <f>I3009/D3006</f>
        <v>513</v>
      </c>
      <c r="K3009" s="50">
        <v>513</v>
      </c>
    </row>
    <row r="3010" spans="1:11" x14ac:dyDescent="0.25">
      <c r="A3010" s="239"/>
      <c r="B3010" s="239"/>
      <c r="C3010" s="243"/>
      <c r="D3010" s="246"/>
      <c r="E3010" s="239"/>
      <c r="F3010" s="239"/>
      <c r="G3010" s="222"/>
      <c r="H3010" s="69" t="s">
        <v>69</v>
      </c>
      <c r="I3010" s="50">
        <f>D3006*K3010</f>
        <v>7711</v>
      </c>
      <c r="J3010" s="50">
        <f>I3010/D3006</f>
        <v>11</v>
      </c>
      <c r="K3010" s="50">
        <v>11</v>
      </c>
    </row>
    <row r="3011" spans="1:11" s="96" customFormat="1" ht="15.75" customHeight="1" x14ac:dyDescent="0.25">
      <c r="A3011" s="250">
        <f>A3006+1</f>
        <v>14</v>
      </c>
      <c r="B3011" s="250">
        <v>6999</v>
      </c>
      <c r="C3011" s="253" t="s">
        <v>326</v>
      </c>
      <c r="D3011" s="255">
        <v>383.7</v>
      </c>
      <c r="E3011" s="255" t="s">
        <v>68</v>
      </c>
      <c r="F3011" s="257">
        <v>2</v>
      </c>
      <c r="G3011" s="94"/>
      <c r="H3011" s="95" t="s">
        <v>66</v>
      </c>
      <c r="I3011" s="1">
        <f>SUM(I3012:I3015)</f>
        <v>464660.7</v>
      </c>
      <c r="J3011" s="1">
        <f>SUM(J3012:J3015)</f>
        <v>1211</v>
      </c>
      <c r="K3011" s="1">
        <f>SUM(K3012:K3015)</f>
        <v>1211</v>
      </c>
    </row>
    <row r="3012" spans="1:11" s="96" customFormat="1" x14ac:dyDescent="0.25">
      <c r="A3012" s="251"/>
      <c r="B3012" s="251"/>
      <c r="C3012" s="254"/>
      <c r="D3012" s="256"/>
      <c r="E3012" s="256"/>
      <c r="F3012" s="258"/>
      <c r="G3012" s="247" t="s">
        <v>77</v>
      </c>
      <c r="H3012" s="172" t="s">
        <v>67</v>
      </c>
      <c r="I3012" s="1">
        <f>D3011*K3012</f>
        <v>268973.7</v>
      </c>
      <c r="J3012" s="1">
        <f>I3012/D3011</f>
        <v>701</v>
      </c>
      <c r="K3012" s="1">
        <v>701</v>
      </c>
    </row>
    <row r="3013" spans="1:11" s="96" customFormat="1" x14ac:dyDescent="0.25">
      <c r="A3013" s="251"/>
      <c r="B3013" s="251"/>
      <c r="C3013" s="254"/>
      <c r="D3013" s="256"/>
      <c r="E3013" s="256"/>
      <c r="F3013" s="258"/>
      <c r="G3013" s="247"/>
      <c r="H3013" s="172" t="s">
        <v>69</v>
      </c>
      <c r="I3013" s="1">
        <f>D3011*K3013</f>
        <v>5755.5</v>
      </c>
      <c r="J3013" s="1">
        <f>I3013/D3011</f>
        <v>15</v>
      </c>
      <c r="K3013" s="1">
        <v>15</v>
      </c>
    </row>
    <row r="3014" spans="1:11" s="96" customFormat="1" x14ac:dyDescent="0.25">
      <c r="A3014" s="251"/>
      <c r="B3014" s="251"/>
      <c r="C3014" s="254"/>
      <c r="D3014" s="256"/>
      <c r="E3014" s="256"/>
      <c r="F3014" s="258"/>
      <c r="G3014" s="247" t="s">
        <v>78</v>
      </c>
      <c r="H3014" s="172" t="s">
        <v>67</v>
      </c>
      <c r="I3014" s="1">
        <f>D3011*K3014</f>
        <v>186094.5</v>
      </c>
      <c r="J3014" s="1">
        <f>I3014/D3011</f>
        <v>485</v>
      </c>
      <c r="K3014" s="1">
        <v>485</v>
      </c>
    </row>
    <row r="3015" spans="1:11" s="96" customFormat="1" x14ac:dyDescent="0.25">
      <c r="A3015" s="251"/>
      <c r="B3015" s="251"/>
      <c r="C3015" s="254"/>
      <c r="D3015" s="256"/>
      <c r="E3015" s="256"/>
      <c r="F3015" s="258"/>
      <c r="G3015" s="247"/>
      <c r="H3015" s="172" t="s">
        <v>69</v>
      </c>
      <c r="I3015" s="1">
        <f>D3011*K3015</f>
        <v>3837</v>
      </c>
      <c r="J3015" s="1">
        <f>I3015/D3011</f>
        <v>10</v>
      </c>
      <c r="K3015" s="1">
        <v>10</v>
      </c>
    </row>
    <row r="3016" spans="1:11" x14ac:dyDescent="0.25">
      <c r="A3016" s="237">
        <f>A3011+1</f>
        <v>15</v>
      </c>
      <c r="B3016" s="240">
        <v>7061</v>
      </c>
      <c r="C3016" s="241" t="s">
        <v>327</v>
      </c>
      <c r="D3016" s="244">
        <v>390</v>
      </c>
      <c r="E3016" s="240" t="s">
        <v>167</v>
      </c>
      <c r="F3016" s="240">
        <v>2</v>
      </c>
      <c r="G3016" s="110"/>
      <c r="H3016" s="57" t="s">
        <v>66</v>
      </c>
      <c r="I3016" s="50">
        <f>SUM(I3017:I3018)</f>
        <v>1159470</v>
      </c>
      <c r="J3016" s="50">
        <f>SUM(J3017:J3018)</f>
        <v>2973</v>
      </c>
      <c r="K3016" s="50">
        <f>SUM(K3017:K3018)</f>
        <v>2973</v>
      </c>
    </row>
    <row r="3017" spans="1:11" x14ac:dyDescent="0.25">
      <c r="A3017" s="238"/>
      <c r="B3017" s="238"/>
      <c r="C3017" s="242"/>
      <c r="D3017" s="245"/>
      <c r="E3017" s="238"/>
      <c r="F3017" s="238"/>
      <c r="G3017" s="215" t="s">
        <v>70</v>
      </c>
      <c r="H3017" s="69" t="s">
        <v>67</v>
      </c>
      <c r="I3017" s="50">
        <f>D3016*K3017</f>
        <v>1135290</v>
      </c>
      <c r="J3017" s="50">
        <f>I3017/D3016</f>
        <v>2911</v>
      </c>
      <c r="K3017" s="50">
        <v>2911</v>
      </c>
    </row>
    <row r="3018" spans="1:11" x14ac:dyDescent="0.25">
      <c r="A3018" s="238"/>
      <c r="B3018" s="238"/>
      <c r="C3018" s="242"/>
      <c r="D3018" s="245"/>
      <c r="E3018" s="238"/>
      <c r="F3018" s="238"/>
      <c r="G3018" s="215"/>
      <c r="H3018" s="69" t="s">
        <v>69</v>
      </c>
      <c r="I3018" s="50">
        <f>D3016*K3018</f>
        <v>24180</v>
      </c>
      <c r="J3018" s="50">
        <f>I3018/D3016</f>
        <v>62</v>
      </c>
      <c r="K3018" s="50">
        <v>62</v>
      </c>
    </row>
    <row r="3019" spans="1:11" x14ac:dyDescent="0.25">
      <c r="A3019" s="237">
        <f>A3016+1</f>
        <v>16</v>
      </c>
      <c r="B3019" s="240">
        <v>7080</v>
      </c>
      <c r="C3019" s="241" t="s">
        <v>328</v>
      </c>
      <c r="D3019" s="244">
        <v>507.5</v>
      </c>
      <c r="E3019" s="240" t="s">
        <v>167</v>
      </c>
      <c r="F3019" s="240">
        <v>2</v>
      </c>
      <c r="G3019" s="110"/>
      <c r="H3019" s="57" t="s">
        <v>66</v>
      </c>
      <c r="I3019" s="50">
        <f>SUM(I3020:I3023)</f>
        <v>1774727.5</v>
      </c>
      <c r="J3019" s="50">
        <f>SUM(J3020:J3023)</f>
        <v>3497</v>
      </c>
      <c r="K3019" s="50">
        <f>SUM(K3020:K3023)</f>
        <v>3497</v>
      </c>
    </row>
    <row r="3020" spans="1:11" ht="15.75" customHeight="1" x14ac:dyDescent="0.25">
      <c r="A3020" s="248"/>
      <c r="B3020" s="238"/>
      <c r="C3020" s="242"/>
      <c r="D3020" s="245"/>
      <c r="E3020" s="238"/>
      <c r="F3020" s="238"/>
      <c r="G3020" s="216" t="s">
        <v>70</v>
      </c>
      <c r="H3020" s="69" t="s">
        <v>67</v>
      </c>
      <c r="I3020" s="50">
        <f>D3019*K3020</f>
        <v>1477332.5</v>
      </c>
      <c r="J3020" s="50">
        <f>I3020/D3019</f>
        <v>2911</v>
      </c>
      <c r="K3020" s="50">
        <v>2911</v>
      </c>
    </row>
    <row r="3021" spans="1:11" x14ac:dyDescent="0.25">
      <c r="A3021" s="248"/>
      <c r="B3021" s="238"/>
      <c r="C3021" s="242"/>
      <c r="D3021" s="245"/>
      <c r="E3021" s="238"/>
      <c r="F3021" s="238"/>
      <c r="G3021" s="222"/>
      <c r="H3021" s="69" t="s">
        <v>69</v>
      </c>
      <c r="I3021" s="50">
        <f>D3019*K3021</f>
        <v>31465</v>
      </c>
      <c r="J3021" s="50">
        <f>I3021/D3019</f>
        <v>62</v>
      </c>
      <c r="K3021" s="50">
        <v>62</v>
      </c>
    </row>
    <row r="3022" spans="1:11" ht="15.75" customHeight="1" x14ac:dyDescent="0.25">
      <c r="A3022" s="248"/>
      <c r="B3022" s="238"/>
      <c r="C3022" s="242"/>
      <c r="D3022" s="245"/>
      <c r="E3022" s="238"/>
      <c r="F3022" s="238"/>
      <c r="G3022" s="216" t="s">
        <v>71</v>
      </c>
      <c r="H3022" s="69" t="s">
        <v>67</v>
      </c>
      <c r="I3022" s="50">
        <f>D3019*K3022</f>
        <v>260347.5</v>
      </c>
      <c r="J3022" s="50">
        <f>I3022/D3019</f>
        <v>513</v>
      </c>
      <c r="K3022" s="50">
        <v>513</v>
      </c>
    </row>
    <row r="3023" spans="1:11" x14ac:dyDescent="0.25">
      <c r="A3023" s="249"/>
      <c r="B3023" s="239"/>
      <c r="C3023" s="243"/>
      <c r="D3023" s="246"/>
      <c r="E3023" s="239"/>
      <c r="F3023" s="239"/>
      <c r="G3023" s="222"/>
      <c r="H3023" s="69" t="s">
        <v>69</v>
      </c>
      <c r="I3023" s="50">
        <f>D3019*K3023</f>
        <v>5582.5</v>
      </c>
      <c r="J3023" s="50">
        <f>I3023/D3019</f>
        <v>11</v>
      </c>
      <c r="K3023" s="50">
        <v>11</v>
      </c>
    </row>
    <row r="3024" spans="1:11" x14ac:dyDescent="0.25">
      <c r="A3024" s="63" t="s">
        <v>45</v>
      </c>
      <c r="B3024" s="63"/>
      <c r="C3024" s="51"/>
      <c r="D3024" s="109">
        <f>D3025</f>
        <v>863</v>
      </c>
      <c r="E3024" s="112"/>
      <c r="F3024" s="112"/>
      <c r="G3024" s="109"/>
      <c r="H3024" s="64"/>
      <c r="I3024" s="50">
        <f>I3025</f>
        <v>6634744</v>
      </c>
      <c r="J3024" s="50"/>
      <c r="K3024" s="50"/>
    </row>
    <row r="3025" spans="1:11" ht="15.75" customHeight="1" x14ac:dyDescent="0.25">
      <c r="A3025" s="289">
        <v>1</v>
      </c>
      <c r="B3025" s="289">
        <v>7177</v>
      </c>
      <c r="C3025" s="223" t="s">
        <v>304</v>
      </c>
      <c r="D3025" s="224">
        <v>863</v>
      </c>
      <c r="E3025" s="224" t="s">
        <v>68</v>
      </c>
      <c r="F3025" s="225">
        <v>2</v>
      </c>
      <c r="G3025" s="216" t="s">
        <v>65</v>
      </c>
      <c r="H3025" s="57" t="s">
        <v>66</v>
      </c>
      <c r="I3025" s="50">
        <f>I3026+I3027</f>
        <v>6634744</v>
      </c>
      <c r="J3025" s="50">
        <f t="shared" ref="J3025:K3025" si="84">J3026+J3027</f>
        <v>7688</v>
      </c>
      <c r="K3025" s="50">
        <f t="shared" si="84"/>
        <v>7688</v>
      </c>
    </row>
    <row r="3026" spans="1:11" ht="15.75" customHeight="1" x14ac:dyDescent="0.25">
      <c r="A3026" s="289"/>
      <c r="B3026" s="289"/>
      <c r="C3026" s="223"/>
      <c r="D3026" s="224"/>
      <c r="E3026" s="224"/>
      <c r="F3026" s="225"/>
      <c r="G3026" s="217"/>
      <c r="H3026" s="57" t="s">
        <v>67</v>
      </c>
      <c r="I3026" s="50">
        <f>D3025*K3026</f>
        <v>6495801</v>
      </c>
      <c r="J3026" s="50">
        <f>I3026/D3025</f>
        <v>7527</v>
      </c>
      <c r="K3026" s="50">
        <v>7527</v>
      </c>
    </row>
    <row r="3027" spans="1:11" x14ac:dyDescent="0.25">
      <c r="A3027" s="289"/>
      <c r="B3027" s="289"/>
      <c r="C3027" s="223"/>
      <c r="D3027" s="224"/>
      <c r="E3027" s="224"/>
      <c r="F3027" s="225"/>
      <c r="G3027" s="222"/>
      <c r="H3027" s="57" t="s">
        <v>69</v>
      </c>
      <c r="I3027" s="50">
        <f>D3025*K3027</f>
        <v>138943</v>
      </c>
      <c r="J3027" s="50">
        <f>I3027/D3025</f>
        <v>161</v>
      </c>
      <c r="K3027" s="50">
        <v>161</v>
      </c>
    </row>
    <row r="3028" spans="1:11" x14ac:dyDescent="0.25">
      <c r="A3028" s="76"/>
      <c r="B3028" s="77"/>
      <c r="C3028" s="77"/>
      <c r="D3028" s="77"/>
      <c r="E3028" s="78"/>
      <c r="F3028" s="78"/>
      <c r="G3028" s="79"/>
      <c r="H3028" s="80"/>
      <c r="I3028" s="77"/>
      <c r="J3028" s="77"/>
      <c r="K3028" s="77"/>
    </row>
    <row r="3029" spans="1:11" ht="167.25" customHeight="1" x14ac:dyDescent="0.25">
      <c r="A3029" s="81" t="s">
        <v>57</v>
      </c>
      <c r="B3029" s="81"/>
      <c r="C3029" s="314" t="s">
        <v>224</v>
      </c>
      <c r="D3029" s="314"/>
      <c r="E3029" s="314"/>
      <c r="F3029" s="314"/>
      <c r="G3029" s="314"/>
      <c r="H3029" s="314"/>
      <c r="I3029" s="314"/>
      <c r="J3029" s="314"/>
      <c r="K3029" s="314"/>
    </row>
    <row r="3030" spans="1:11" ht="78" customHeight="1" x14ac:dyDescent="0.25">
      <c r="A3030" s="81" t="s">
        <v>58</v>
      </c>
      <c r="B3030" s="81"/>
      <c r="C3030" s="310" t="s">
        <v>59</v>
      </c>
      <c r="D3030" s="310"/>
      <c r="E3030" s="310"/>
      <c r="F3030" s="310"/>
      <c r="G3030" s="310"/>
      <c r="H3030" s="310"/>
      <c r="I3030" s="310"/>
      <c r="J3030" s="310"/>
      <c r="K3030" s="310"/>
    </row>
    <row r="3031" spans="1:11" ht="53.25" customHeight="1" x14ac:dyDescent="0.25">
      <c r="A3031" s="81" t="s">
        <v>60</v>
      </c>
      <c r="B3031" s="81"/>
      <c r="C3031" s="305" t="s">
        <v>63</v>
      </c>
      <c r="D3031" s="305"/>
      <c r="E3031" s="305"/>
      <c r="F3031" s="305"/>
      <c r="G3031" s="305"/>
      <c r="H3031" s="305"/>
      <c r="I3031" s="305"/>
      <c r="J3031" s="305"/>
      <c r="K3031" s="305"/>
    </row>
    <row r="3032" spans="1:11" x14ac:dyDescent="0.25">
      <c r="A3032" s="82" t="s">
        <v>61</v>
      </c>
      <c r="B3032" s="82"/>
      <c r="C3032" s="305" t="s">
        <v>62</v>
      </c>
      <c r="D3032" s="305"/>
      <c r="E3032" s="305"/>
      <c r="F3032" s="305"/>
      <c r="G3032" s="305"/>
      <c r="H3032" s="305"/>
      <c r="I3032" s="305"/>
      <c r="J3032" s="305"/>
      <c r="K3032" s="305"/>
    </row>
    <row r="3033" spans="1:11" x14ac:dyDescent="0.25">
      <c r="B3033" s="84"/>
      <c r="D3033" s="84"/>
      <c r="E3033" s="84"/>
      <c r="F3033" s="84"/>
      <c r="K3033" s="88"/>
    </row>
    <row r="3034" spans="1:11" x14ac:dyDescent="0.25">
      <c r="A3034" s="89" t="s">
        <v>17</v>
      </c>
      <c r="B3034" s="85"/>
      <c r="D3034" s="84"/>
      <c r="E3034" s="84"/>
      <c r="F3034" s="84"/>
      <c r="K3034" s="88"/>
    </row>
    <row r="3035" spans="1:11" x14ac:dyDescent="0.25">
      <c r="A3035" s="89" t="s">
        <v>229</v>
      </c>
      <c r="B3035" s="85"/>
      <c r="D3035" s="84"/>
      <c r="E3035" s="84"/>
      <c r="F3035" s="84"/>
      <c r="K3035" s="88"/>
    </row>
    <row r="3036" spans="1:11" x14ac:dyDescent="0.25">
      <c r="A3036" s="89" t="s">
        <v>257</v>
      </c>
      <c r="B3036" s="85"/>
      <c r="D3036" s="84"/>
      <c r="E3036" s="84"/>
      <c r="F3036" s="84"/>
      <c r="K3036" s="88"/>
    </row>
    <row r="3039" spans="1:11" x14ac:dyDescent="0.25">
      <c r="E3039" s="42"/>
      <c r="F3039" s="42"/>
    </row>
    <row r="3040" spans="1:11" x14ac:dyDescent="0.25">
      <c r="E3040" s="42"/>
      <c r="F3040" s="42"/>
    </row>
    <row r="3041" spans="5:6" x14ac:dyDescent="0.25">
      <c r="E3041" s="42"/>
      <c r="F3041" s="42"/>
    </row>
    <row r="3042" spans="5:6" x14ac:dyDescent="0.25">
      <c r="E3042" s="42"/>
      <c r="F3042" s="42"/>
    </row>
    <row r="3043" spans="5:6" x14ac:dyDescent="0.25">
      <c r="E3043" s="42"/>
      <c r="F3043" s="42"/>
    </row>
    <row r="3044" spans="5:6" x14ac:dyDescent="0.25">
      <c r="E3044" s="42"/>
      <c r="F3044" s="42"/>
    </row>
    <row r="3045" spans="5:6" x14ac:dyDescent="0.25">
      <c r="E3045" s="42"/>
      <c r="F3045" s="42"/>
    </row>
    <row r="3046" spans="5:6" x14ac:dyDescent="0.25">
      <c r="E3046" s="42"/>
      <c r="F3046" s="42"/>
    </row>
    <row r="3047" spans="5:6" x14ac:dyDescent="0.25">
      <c r="E3047" s="42"/>
      <c r="F3047" s="42"/>
    </row>
    <row r="3048" spans="5:6" x14ac:dyDescent="0.25">
      <c r="E3048" s="42"/>
      <c r="F3048" s="42"/>
    </row>
    <row r="3049" spans="5:6" x14ac:dyDescent="0.25">
      <c r="E3049" s="42"/>
      <c r="F3049" s="42"/>
    </row>
    <row r="3050" spans="5:6" x14ac:dyDescent="0.25">
      <c r="E3050" s="42"/>
      <c r="F3050" s="42"/>
    </row>
    <row r="3051" spans="5:6" x14ac:dyDescent="0.25">
      <c r="E3051" s="42"/>
      <c r="F3051" s="42"/>
    </row>
    <row r="3052" spans="5:6" x14ac:dyDescent="0.25">
      <c r="E3052" s="42"/>
      <c r="F3052" s="42"/>
    </row>
    <row r="3053" spans="5:6" x14ac:dyDescent="0.25">
      <c r="E3053" s="42"/>
      <c r="F3053" s="42"/>
    </row>
    <row r="3054" spans="5:6" x14ac:dyDescent="0.25">
      <c r="E3054" s="42"/>
      <c r="F3054" s="42"/>
    </row>
    <row r="3066" spans="5:6" x14ac:dyDescent="0.25">
      <c r="E3066" s="42"/>
      <c r="F3066" s="42"/>
    </row>
    <row r="3067" spans="5:6" x14ac:dyDescent="0.25">
      <c r="E3067" s="42"/>
      <c r="F3067" s="42"/>
    </row>
    <row r="3068" spans="5:6" x14ac:dyDescent="0.25">
      <c r="E3068" s="42"/>
      <c r="F3068" s="42"/>
    </row>
    <row r="3069" spans="5:6" x14ac:dyDescent="0.25">
      <c r="E3069" s="42"/>
      <c r="F3069" s="42"/>
    </row>
    <row r="3070" spans="5:6" x14ac:dyDescent="0.25">
      <c r="E3070" s="42"/>
      <c r="F3070" s="42"/>
    </row>
    <row r="3071" spans="5:6" x14ac:dyDescent="0.25">
      <c r="E3071" s="42"/>
      <c r="F3071" s="42"/>
    </row>
    <row r="3072" spans="5:6" x14ac:dyDescent="0.25">
      <c r="E3072" s="42"/>
      <c r="F3072" s="42"/>
    </row>
    <row r="3073" spans="5:6" x14ac:dyDescent="0.25">
      <c r="E3073" s="42"/>
      <c r="F3073" s="42"/>
    </row>
    <row r="3074" spans="5:6" x14ac:dyDescent="0.25">
      <c r="E3074" s="42"/>
      <c r="F3074" s="42"/>
    </row>
    <row r="3075" spans="5:6" x14ac:dyDescent="0.25">
      <c r="E3075" s="42"/>
      <c r="F3075" s="42"/>
    </row>
    <row r="3076" spans="5:6" x14ac:dyDescent="0.25">
      <c r="E3076" s="42"/>
      <c r="F3076" s="42"/>
    </row>
    <row r="3077" spans="5:6" x14ac:dyDescent="0.25">
      <c r="E3077" s="42"/>
      <c r="F3077" s="42"/>
    </row>
    <row r="3078" spans="5:6" x14ac:dyDescent="0.25">
      <c r="E3078" s="42"/>
      <c r="F3078" s="42"/>
    </row>
    <row r="3079" spans="5:6" x14ac:dyDescent="0.25">
      <c r="E3079" s="42"/>
      <c r="F3079" s="42"/>
    </row>
    <row r="3080" spans="5:6" x14ac:dyDescent="0.25">
      <c r="E3080" s="42"/>
      <c r="F3080" s="42"/>
    </row>
    <row r="3081" spans="5:6" x14ac:dyDescent="0.25">
      <c r="E3081" s="42"/>
      <c r="F3081" s="42"/>
    </row>
    <row r="3082" spans="5:6" x14ac:dyDescent="0.25">
      <c r="E3082" s="42"/>
      <c r="F3082" s="42"/>
    </row>
    <row r="3083" spans="5:6" x14ac:dyDescent="0.25">
      <c r="E3083" s="42"/>
      <c r="F3083" s="42"/>
    </row>
    <row r="3084" spans="5:6" x14ac:dyDescent="0.25">
      <c r="E3084" s="42"/>
      <c r="F3084" s="42"/>
    </row>
    <row r="3085" spans="5:6" x14ac:dyDescent="0.25">
      <c r="E3085" s="42"/>
      <c r="F3085" s="42"/>
    </row>
    <row r="3095" spans="5:6" x14ac:dyDescent="0.25">
      <c r="E3095" s="42"/>
      <c r="F3095" s="42"/>
    </row>
    <row r="3096" spans="5:6" x14ac:dyDescent="0.25">
      <c r="E3096" s="42"/>
      <c r="F3096" s="42"/>
    </row>
    <row r="3097" spans="5:6" x14ac:dyDescent="0.25">
      <c r="E3097" s="42"/>
      <c r="F3097" s="42"/>
    </row>
    <row r="3098" spans="5:6" x14ac:dyDescent="0.25">
      <c r="E3098" s="42"/>
      <c r="F3098" s="42"/>
    </row>
    <row r="3099" spans="5:6" x14ac:dyDescent="0.25">
      <c r="E3099" s="42"/>
      <c r="F3099" s="42"/>
    </row>
    <row r="3100" spans="5:6" x14ac:dyDescent="0.25">
      <c r="E3100" s="42"/>
      <c r="F3100" s="42"/>
    </row>
    <row r="3101" spans="5:6" x14ac:dyDescent="0.25">
      <c r="E3101" s="42"/>
      <c r="F3101" s="42"/>
    </row>
    <row r="3102" spans="5:6" x14ac:dyDescent="0.25">
      <c r="E3102" s="42"/>
      <c r="F3102" s="42"/>
    </row>
    <row r="3103" spans="5:6" x14ac:dyDescent="0.25">
      <c r="E3103" s="42"/>
      <c r="F3103" s="42"/>
    </row>
    <row r="3104" spans="5:6" x14ac:dyDescent="0.25">
      <c r="E3104" s="42"/>
      <c r="F3104" s="42"/>
    </row>
    <row r="3105" spans="5:6" x14ac:dyDescent="0.25">
      <c r="E3105" s="42"/>
      <c r="F3105" s="42"/>
    </row>
    <row r="3106" spans="5:6" x14ac:dyDescent="0.25">
      <c r="E3106" s="42"/>
      <c r="F3106" s="42"/>
    </row>
    <row r="3107" spans="5:6" x14ac:dyDescent="0.25">
      <c r="E3107" s="42"/>
      <c r="F3107" s="42"/>
    </row>
    <row r="3108" spans="5:6" x14ac:dyDescent="0.25">
      <c r="E3108" s="42"/>
      <c r="F3108" s="42"/>
    </row>
    <row r="3109" spans="5:6" x14ac:dyDescent="0.25">
      <c r="E3109" s="42"/>
      <c r="F3109" s="42"/>
    </row>
    <row r="3110" spans="5:6" x14ac:dyDescent="0.25">
      <c r="E3110" s="42"/>
      <c r="F3110" s="42"/>
    </row>
    <row r="3111" spans="5:6" x14ac:dyDescent="0.25">
      <c r="E3111" s="42"/>
      <c r="F3111" s="42"/>
    </row>
    <row r="3112" spans="5:6" x14ac:dyDescent="0.25">
      <c r="E3112" s="42"/>
      <c r="F3112" s="42"/>
    </row>
    <row r="3113" spans="5:6" x14ac:dyDescent="0.25">
      <c r="E3113" s="42"/>
      <c r="F3113" s="42"/>
    </row>
    <row r="3114" spans="5:6" x14ac:dyDescent="0.25">
      <c r="E3114" s="42"/>
      <c r="F3114" s="42"/>
    </row>
    <row r="3115" spans="5:6" x14ac:dyDescent="0.25">
      <c r="E3115" s="42"/>
      <c r="F3115" s="42"/>
    </row>
    <row r="3116" spans="5:6" x14ac:dyDescent="0.25">
      <c r="E3116" s="42"/>
      <c r="F3116" s="42"/>
    </row>
    <row r="3117" spans="5:6" x14ac:dyDescent="0.25">
      <c r="E3117" s="42"/>
      <c r="F3117" s="42"/>
    </row>
    <row r="3122" spans="5:6" x14ac:dyDescent="0.25">
      <c r="E3122" s="42"/>
      <c r="F3122" s="42"/>
    </row>
    <row r="3123" spans="5:6" x14ac:dyDescent="0.25">
      <c r="E3123" s="42"/>
      <c r="F3123" s="42"/>
    </row>
    <row r="3124" spans="5:6" x14ac:dyDescent="0.25">
      <c r="E3124" s="42"/>
      <c r="F3124" s="42"/>
    </row>
    <row r="3125" spans="5:6" x14ac:dyDescent="0.25">
      <c r="E3125" s="42"/>
      <c r="F3125" s="42"/>
    </row>
    <row r="3126" spans="5:6" x14ac:dyDescent="0.25">
      <c r="E3126" s="42"/>
      <c r="F3126" s="42"/>
    </row>
    <row r="3127" spans="5:6" x14ac:dyDescent="0.25">
      <c r="E3127" s="42"/>
      <c r="F3127" s="42"/>
    </row>
    <row r="3128" spans="5:6" x14ac:dyDescent="0.25">
      <c r="E3128" s="42"/>
      <c r="F3128" s="42"/>
    </row>
    <row r="3129" spans="5:6" x14ac:dyDescent="0.25">
      <c r="E3129" s="42"/>
      <c r="F3129" s="42"/>
    </row>
    <row r="3130" spans="5:6" x14ac:dyDescent="0.25">
      <c r="E3130" s="42"/>
      <c r="F3130" s="42"/>
    </row>
  </sheetData>
  <autoFilter ref="A4:K3027"/>
  <customSheetViews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1"/>
      <autoFilter ref="B1:I1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/>
    </customSheetView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3"/>
      <autoFilter ref="B1:I1"/>
    </customSheetView>
  </customSheetViews>
  <mergeCells count="5299">
    <mergeCell ref="B1973:B1975"/>
    <mergeCell ref="C1973:C1975"/>
    <mergeCell ref="D1973:D1975"/>
    <mergeCell ref="E1973:E1975"/>
    <mergeCell ref="A1929:A1935"/>
    <mergeCell ref="B1920:B1922"/>
    <mergeCell ref="C1920:C1922"/>
    <mergeCell ref="A1953:A1957"/>
    <mergeCell ref="B1953:B1957"/>
    <mergeCell ref="C1953:C1957"/>
    <mergeCell ref="D1953:D1957"/>
    <mergeCell ref="E1953:E1957"/>
    <mergeCell ref="F1953:F1957"/>
    <mergeCell ref="G1954:G1955"/>
    <mergeCell ref="G1956:G1957"/>
    <mergeCell ref="B1965:B1967"/>
    <mergeCell ref="C1965:C1967"/>
    <mergeCell ref="D1965:D1967"/>
    <mergeCell ref="A1968:A1972"/>
    <mergeCell ref="B1968:B1972"/>
    <mergeCell ref="C1968:C1972"/>
    <mergeCell ref="D1968:D1972"/>
    <mergeCell ref="E1968:E1972"/>
    <mergeCell ref="F1968:F1972"/>
    <mergeCell ref="G1969:G1970"/>
    <mergeCell ref="G1971:G1972"/>
    <mergeCell ref="G1947:G1948"/>
    <mergeCell ref="A1909:A1911"/>
    <mergeCell ref="B1909:B1911"/>
    <mergeCell ref="C1909:C1911"/>
    <mergeCell ref="D1909:D1911"/>
    <mergeCell ref="E1909:E1911"/>
    <mergeCell ref="F1909:F1911"/>
    <mergeCell ref="D1929:D1935"/>
    <mergeCell ref="E1929:E1935"/>
    <mergeCell ref="G2000:G2001"/>
    <mergeCell ref="G2002:G2003"/>
    <mergeCell ref="G2004:G2005"/>
    <mergeCell ref="G2006:G2007"/>
    <mergeCell ref="A2008:A2030"/>
    <mergeCell ref="B2008:B2030"/>
    <mergeCell ref="C2008:C2030"/>
    <mergeCell ref="G1896:G1897"/>
    <mergeCell ref="G1898:G1899"/>
    <mergeCell ref="G1910:G1911"/>
    <mergeCell ref="A1946:A1952"/>
    <mergeCell ref="B1946:B1952"/>
    <mergeCell ref="C1946:C1952"/>
    <mergeCell ref="D1946:D1952"/>
    <mergeCell ref="E1946:E1952"/>
    <mergeCell ref="F1946:F1952"/>
    <mergeCell ref="G2017:G2018"/>
    <mergeCell ref="G1959:G1960"/>
    <mergeCell ref="G1961:G1962"/>
    <mergeCell ref="G1963:G1964"/>
    <mergeCell ref="G1976:G1978"/>
    <mergeCell ref="B1976:B1978"/>
    <mergeCell ref="C1976:C1978"/>
    <mergeCell ref="B1752:B1764"/>
    <mergeCell ref="G1838:G1839"/>
    <mergeCell ref="G1840:G1841"/>
    <mergeCell ref="A1877:A1879"/>
    <mergeCell ref="B1877:B1879"/>
    <mergeCell ref="C1877:C1879"/>
    <mergeCell ref="D1877:D1879"/>
    <mergeCell ref="E1877:E1879"/>
    <mergeCell ref="F1877:F1879"/>
    <mergeCell ref="G1878:G1879"/>
    <mergeCell ref="A1939:A1945"/>
    <mergeCell ref="B1939:B1945"/>
    <mergeCell ref="C1939:C1945"/>
    <mergeCell ref="D1939:D1945"/>
    <mergeCell ref="E1939:E1945"/>
    <mergeCell ref="F1939:F1945"/>
    <mergeCell ref="F1904:F1908"/>
    <mergeCell ref="F1926:F1928"/>
    <mergeCell ref="G1907:G1908"/>
    <mergeCell ref="A1900:A1903"/>
    <mergeCell ref="A1872:A1873"/>
    <mergeCell ref="B1872:B1873"/>
    <mergeCell ref="C1872:C1873"/>
    <mergeCell ref="D1872:D1873"/>
    <mergeCell ref="E1872:E1873"/>
    <mergeCell ref="F1872:F1873"/>
    <mergeCell ref="G1872:G1873"/>
    <mergeCell ref="C1752:C1764"/>
    <mergeCell ref="D1752:D1764"/>
    <mergeCell ref="E1752:E1764"/>
    <mergeCell ref="F1752:F1764"/>
    <mergeCell ref="G1753:G1754"/>
    <mergeCell ref="A1768:A1772"/>
    <mergeCell ref="B1768:B1772"/>
    <mergeCell ref="C1768:C1772"/>
    <mergeCell ref="D1768:D1772"/>
    <mergeCell ref="E1768:E1772"/>
    <mergeCell ref="F1768:F1772"/>
    <mergeCell ref="G1789:G1790"/>
    <mergeCell ref="A1775:A1776"/>
    <mergeCell ref="B1775:B1776"/>
    <mergeCell ref="C1775:C1776"/>
    <mergeCell ref="D1775:D1776"/>
    <mergeCell ref="E1775:E1776"/>
    <mergeCell ref="F1775:F1776"/>
    <mergeCell ref="G1775:G1776"/>
    <mergeCell ref="G1769:G1770"/>
    <mergeCell ref="G1771:G1772"/>
    <mergeCell ref="G1763:G1764"/>
    <mergeCell ref="A1752:A1764"/>
    <mergeCell ref="E846:E849"/>
    <mergeCell ref="F846:F849"/>
    <mergeCell ref="A2859:A2861"/>
    <mergeCell ref="B2859:B2861"/>
    <mergeCell ref="C2859:C2861"/>
    <mergeCell ref="D2859:D2861"/>
    <mergeCell ref="E2859:E2861"/>
    <mergeCell ref="F2859:F2861"/>
    <mergeCell ref="G2859:G2861"/>
    <mergeCell ref="A1923:A1925"/>
    <mergeCell ref="B1923:B1925"/>
    <mergeCell ref="C1923:C1925"/>
    <mergeCell ref="D1923:D1925"/>
    <mergeCell ref="E1923:E1925"/>
    <mergeCell ref="F1923:F1925"/>
    <mergeCell ref="G1923:G1925"/>
    <mergeCell ref="A1653:A1661"/>
    <mergeCell ref="B1653:B1661"/>
    <mergeCell ref="C1653:C1661"/>
    <mergeCell ref="D1653:D1661"/>
    <mergeCell ref="E1653:E1661"/>
    <mergeCell ref="F1653:F1661"/>
    <mergeCell ref="G1654:G1655"/>
    <mergeCell ref="G1656:G1657"/>
    <mergeCell ref="G1658:G1659"/>
    <mergeCell ref="G1660:G1661"/>
    <mergeCell ref="A1904:A1908"/>
    <mergeCell ref="B1904:B1908"/>
    <mergeCell ref="C1904:C1908"/>
    <mergeCell ref="D1904:D1908"/>
    <mergeCell ref="E1904:E1908"/>
    <mergeCell ref="G1905:G1906"/>
    <mergeCell ref="F2844:F2848"/>
    <mergeCell ref="G2845:G2846"/>
    <mergeCell ref="A2031:A2035"/>
    <mergeCell ref="B2031:B2035"/>
    <mergeCell ref="C2031:C2035"/>
    <mergeCell ref="D2031:D2035"/>
    <mergeCell ref="E2031:E2035"/>
    <mergeCell ref="F2031:F2035"/>
    <mergeCell ref="A2849:A2855"/>
    <mergeCell ref="B2849:B2855"/>
    <mergeCell ref="C2849:C2855"/>
    <mergeCell ref="G2032:G2033"/>
    <mergeCell ref="G2034:G2035"/>
    <mergeCell ref="A2036:A2040"/>
    <mergeCell ref="D2849:D2855"/>
    <mergeCell ref="E2849:E2855"/>
    <mergeCell ref="F2849:F2855"/>
    <mergeCell ref="G2850:G2851"/>
    <mergeCell ref="G2852:G2853"/>
    <mergeCell ref="G2854:G2855"/>
    <mergeCell ref="G2847:G2848"/>
    <mergeCell ref="A2818:A2820"/>
    <mergeCell ref="B2818:B2820"/>
    <mergeCell ref="C2818:C2820"/>
    <mergeCell ref="D2818:D2820"/>
    <mergeCell ref="E2818:E2820"/>
    <mergeCell ref="F2818:F2820"/>
    <mergeCell ref="G2818:G2820"/>
    <mergeCell ref="C2812:C2814"/>
    <mergeCell ref="D2812:D2814"/>
    <mergeCell ref="E2812:E2814"/>
    <mergeCell ref="F2812:F2814"/>
    <mergeCell ref="G2813:G2814"/>
    <mergeCell ref="C2809:C2811"/>
    <mergeCell ref="A2809:A2811"/>
    <mergeCell ref="B2809:B2811"/>
    <mergeCell ref="A2856:A2858"/>
    <mergeCell ref="B2856:B2858"/>
    <mergeCell ref="C2856:C2858"/>
    <mergeCell ref="D2856:D2858"/>
    <mergeCell ref="E2856:E2858"/>
    <mergeCell ref="F2856:F2858"/>
    <mergeCell ref="G2856:G2858"/>
    <mergeCell ref="A2828:A2840"/>
    <mergeCell ref="B2828:B2840"/>
    <mergeCell ref="C2828:C2840"/>
    <mergeCell ref="D2828:D2840"/>
    <mergeCell ref="E2828:E2840"/>
    <mergeCell ref="F2828:F2840"/>
    <mergeCell ref="G2829:G2830"/>
    <mergeCell ref="G2831:G2832"/>
    <mergeCell ref="G2833:G2834"/>
    <mergeCell ref="G2835:G2836"/>
    <mergeCell ref="G2837:G2838"/>
    <mergeCell ref="G2839:G2840"/>
    <mergeCell ref="A2844:A2848"/>
    <mergeCell ref="B2844:B2848"/>
    <mergeCell ref="C2844:C2848"/>
    <mergeCell ref="D2844:D2848"/>
    <mergeCell ref="E2844:E2848"/>
    <mergeCell ref="A2800:A2802"/>
    <mergeCell ref="B2800:B2802"/>
    <mergeCell ref="C2800:C2802"/>
    <mergeCell ref="D2800:D2802"/>
    <mergeCell ref="E2800:E2802"/>
    <mergeCell ref="F2800:F2802"/>
    <mergeCell ref="G2800:G2802"/>
    <mergeCell ref="A2803:A2805"/>
    <mergeCell ref="B2803:B2805"/>
    <mergeCell ref="C2803:C2805"/>
    <mergeCell ref="D2803:D2805"/>
    <mergeCell ref="E2803:E2805"/>
    <mergeCell ref="F2803:F2805"/>
    <mergeCell ref="G2803:G2805"/>
    <mergeCell ref="A2821:A2827"/>
    <mergeCell ref="B2821:B2827"/>
    <mergeCell ref="C2821:C2827"/>
    <mergeCell ref="D2821:D2827"/>
    <mergeCell ref="E2821:E2827"/>
    <mergeCell ref="F2821:F2827"/>
    <mergeCell ref="G2822:G2823"/>
    <mergeCell ref="G2824:G2825"/>
    <mergeCell ref="G2826:G2827"/>
    <mergeCell ref="A2806:A2808"/>
    <mergeCell ref="B2806:B2808"/>
    <mergeCell ref="C2806:C2808"/>
    <mergeCell ref="D2806:D2808"/>
    <mergeCell ref="E2806:E2808"/>
    <mergeCell ref="F2806:F2808"/>
    <mergeCell ref="G2806:G2808"/>
    <mergeCell ref="A2812:A2814"/>
    <mergeCell ref="B2812:B2814"/>
    <mergeCell ref="A2791:A2793"/>
    <mergeCell ref="B2791:B2793"/>
    <mergeCell ref="C2791:C2793"/>
    <mergeCell ref="D2791:D2793"/>
    <mergeCell ref="E2791:E2793"/>
    <mergeCell ref="F2791:F2793"/>
    <mergeCell ref="G2791:G2793"/>
    <mergeCell ref="A2794:A2796"/>
    <mergeCell ref="B2794:B2796"/>
    <mergeCell ref="C2794:C2796"/>
    <mergeCell ref="D2794:D2796"/>
    <mergeCell ref="E2794:E2796"/>
    <mergeCell ref="F2794:F2796"/>
    <mergeCell ref="G2794:G2796"/>
    <mergeCell ref="A2797:A2799"/>
    <mergeCell ref="B2797:B2799"/>
    <mergeCell ref="C2797:C2799"/>
    <mergeCell ref="D2797:D2799"/>
    <mergeCell ref="E2797:E2799"/>
    <mergeCell ref="F2797:F2799"/>
    <mergeCell ref="G2797:G2799"/>
    <mergeCell ref="A2782:A2784"/>
    <mergeCell ref="B2782:B2784"/>
    <mergeCell ref="C2782:C2784"/>
    <mergeCell ref="D2782:D2784"/>
    <mergeCell ref="E2782:E2784"/>
    <mergeCell ref="F2782:F2784"/>
    <mergeCell ref="G2782:G2784"/>
    <mergeCell ref="A2785:A2787"/>
    <mergeCell ref="B2785:B2787"/>
    <mergeCell ref="C2785:C2787"/>
    <mergeCell ref="D2785:D2787"/>
    <mergeCell ref="E2785:E2787"/>
    <mergeCell ref="F2785:F2787"/>
    <mergeCell ref="G2785:G2787"/>
    <mergeCell ref="A2788:A2790"/>
    <mergeCell ref="B2788:B2790"/>
    <mergeCell ref="C2788:C2790"/>
    <mergeCell ref="D2788:D2790"/>
    <mergeCell ref="E2788:E2790"/>
    <mergeCell ref="F2788:F2790"/>
    <mergeCell ref="G2788:G2790"/>
    <mergeCell ref="A2764:A2768"/>
    <mergeCell ref="B2764:B2768"/>
    <mergeCell ref="C2764:C2768"/>
    <mergeCell ref="D2764:D2768"/>
    <mergeCell ref="E2764:E2768"/>
    <mergeCell ref="F2764:F2768"/>
    <mergeCell ref="G2765:G2766"/>
    <mergeCell ref="G2767:G2768"/>
    <mergeCell ref="A2779:A2781"/>
    <mergeCell ref="B2779:B2781"/>
    <mergeCell ref="C2779:C2781"/>
    <mergeCell ref="D2779:D2781"/>
    <mergeCell ref="E2779:E2781"/>
    <mergeCell ref="F2779:F2781"/>
    <mergeCell ref="G2779:G2781"/>
    <mergeCell ref="G2769:G2771"/>
    <mergeCell ref="F2772:F2778"/>
    <mergeCell ref="G2773:G2774"/>
    <mergeCell ref="F2769:F2771"/>
    <mergeCell ref="A2757:A2763"/>
    <mergeCell ref="B2757:B2763"/>
    <mergeCell ref="C2757:C2763"/>
    <mergeCell ref="D2757:D2763"/>
    <mergeCell ref="E2757:E2763"/>
    <mergeCell ref="F2757:F2763"/>
    <mergeCell ref="C2730:C2732"/>
    <mergeCell ref="D2730:D2732"/>
    <mergeCell ref="E2730:E2732"/>
    <mergeCell ref="E2754:E2756"/>
    <mergeCell ref="E2737:E2739"/>
    <mergeCell ref="F2737:F2739"/>
    <mergeCell ref="G2737:G2739"/>
    <mergeCell ref="A2730:A2732"/>
    <mergeCell ref="B2730:B2732"/>
    <mergeCell ref="G2758:G2759"/>
    <mergeCell ref="G2760:G2761"/>
    <mergeCell ref="G2762:G2763"/>
    <mergeCell ref="A2743:A2753"/>
    <mergeCell ref="B2743:B2753"/>
    <mergeCell ref="C2743:C2753"/>
    <mergeCell ref="D2743:D2753"/>
    <mergeCell ref="E2743:E2753"/>
    <mergeCell ref="F2743:F2753"/>
    <mergeCell ref="G2744:G2745"/>
    <mergeCell ref="G2746:G2747"/>
    <mergeCell ref="G2748:G2749"/>
    <mergeCell ref="G2750:G2751"/>
    <mergeCell ref="G2752:G2753"/>
    <mergeCell ref="A2723:A2729"/>
    <mergeCell ref="B2723:B2729"/>
    <mergeCell ref="C2723:C2729"/>
    <mergeCell ref="D2723:D2729"/>
    <mergeCell ref="E2723:E2729"/>
    <mergeCell ref="F2723:F2729"/>
    <mergeCell ref="G2724:G2725"/>
    <mergeCell ref="G2726:G2727"/>
    <mergeCell ref="G2728:G2729"/>
    <mergeCell ref="A2740:A2742"/>
    <mergeCell ref="B2740:B2742"/>
    <mergeCell ref="C2740:C2742"/>
    <mergeCell ref="D2740:D2742"/>
    <mergeCell ref="E2740:E2742"/>
    <mergeCell ref="F2740:F2742"/>
    <mergeCell ref="G2740:G2742"/>
    <mergeCell ref="A2713:A2715"/>
    <mergeCell ref="B2713:B2715"/>
    <mergeCell ref="C2713:C2715"/>
    <mergeCell ref="D2713:D2715"/>
    <mergeCell ref="E2713:E2715"/>
    <mergeCell ref="F2713:F2715"/>
    <mergeCell ref="G2713:G2715"/>
    <mergeCell ref="C2704:C2706"/>
    <mergeCell ref="D2704:D2706"/>
    <mergeCell ref="E2704:E2706"/>
    <mergeCell ref="F2704:F2706"/>
    <mergeCell ref="D2695:D2697"/>
    <mergeCell ref="G2680:G2681"/>
    <mergeCell ref="G2682:G2683"/>
    <mergeCell ref="G2695:G2697"/>
    <mergeCell ref="F2701:F2703"/>
    <mergeCell ref="A2716:A2722"/>
    <mergeCell ref="B2716:B2722"/>
    <mergeCell ref="C2716:C2722"/>
    <mergeCell ref="D2716:D2722"/>
    <mergeCell ref="E2716:E2722"/>
    <mergeCell ref="F2716:F2722"/>
    <mergeCell ref="G2717:G2718"/>
    <mergeCell ref="G2719:G2720"/>
    <mergeCell ref="G2721:G2722"/>
    <mergeCell ref="G2693:G2694"/>
    <mergeCell ref="A2698:A2700"/>
    <mergeCell ref="B2698:B2700"/>
    <mergeCell ref="C2698:C2700"/>
    <mergeCell ref="D2698:D2700"/>
    <mergeCell ref="E2698:E2700"/>
    <mergeCell ref="F2698:F2700"/>
    <mergeCell ref="G2698:G2700"/>
    <mergeCell ref="A2672:A2678"/>
    <mergeCell ref="B2672:B2678"/>
    <mergeCell ref="C2672:C2678"/>
    <mergeCell ref="D2672:D2678"/>
    <mergeCell ref="E2672:E2678"/>
    <mergeCell ref="F2672:F2678"/>
    <mergeCell ref="G2673:G2674"/>
    <mergeCell ref="G2675:G2676"/>
    <mergeCell ref="G2677:G2678"/>
    <mergeCell ref="A2686:A2694"/>
    <mergeCell ref="B2686:B2694"/>
    <mergeCell ref="C2686:C2694"/>
    <mergeCell ref="D2686:D2694"/>
    <mergeCell ref="E2686:E2694"/>
    <mergeCell ref="F2686:F2694"/>
    <mergeCell ref="A2666:A2668"/>
    <mergeCell ref="B2666:B2668"/>
    <mergeCell ref="C2666:C2668"/>
    <mergeCell ref="D2666:D2668"/>
    <mergeCell ref="E2666:E2668"/>
    <mergeCell ref="F2666:F2668"/>
    <mergeCell ref="G2666:G2668"/>
    <mergeCell ref="A2669:A2671"/>
    <mergeCell ref="B2669:B2671"/>
    <mergeCell ref="C2669:C2671"/>
    <mergeCell ref="D2669:D2671"/>
    <mergeCell ref="E2669:E2671"/>
    <mergeCell ref="F2669:F2671"/>
    <mergeCell ref="G2669:G2671"/>
    <mergeCell ref="G2687:G2688"/>
    <mergeCell ref="G2689:G2690"/>
    <mergeCell ref="G2691:G2692"/>
    <mergeCell ref="A2660:A2662"/>
    <mergeCell ref="B2660:B2662"/>
    <mergeCell ref="C2660:C2662"/>
    <mergeCell ref="D2660:D2662"/>
    <mergeCell ref="E2660:E2662"/>
    <mergeCell ref="F2660:F2662"/>
    <mergeCell ref="G2660:G2662"/>
    <mergeCell ref="G2648:G2650"/>
    <mergeCell ref="A2651:A2653"/>
    <mergeCell ref="G2654:G2656"/>
    <mergeCell ref="B2651:B2653"/>
    <mergeCell ref="C2651:C2653"/>
    <mergeCell ref="A2663:A2665"/>
    <mergeCell ref="B2663:B2665"/>
    <mergeCell ref="C2663:C2665"/>
    <mergeCell ref="D2663:D2665"/>
    <mergeCell ref="E2663:E2665"/>
    <mergeCell ref="F2663:F2665"/>
    <mergeCell ref="G2663:G2665"/>
    <mergeCell ref="A2645:A2647"/>
    <mergeCell ref="B2645:B2647"/>
    <mergeCell ref="C2645:C2647"/>
    <mergeCell ref="D2645:D2647"/>
    <mergeCell ref="E2645:E2647"/>
    <mergeCell ref="F2645:F2647"/>
    <mergeCell ref="G2645:G2647"/>
    <mergeCell ref="A2642:A2644"/>
    <mergeCell ref="A2657:A2659"/>
    <mergeCell ref="B2657:B2659"/>
    <mergeCell ref="C2657:C2659"/>
    <mergeCell ref="D2657:D2659"/>
    <mergeCell ref="E2657:E2659"/>
    <mergeCell ref="F2657:F2659"/>
    <mergeCell ref="G2657:G2659"/>
    <mergeCell ref="D2651:D2653"/>
    <mergeCell ref="E2651:E2653"/>
    <mergeCell ref="F2651:F2653"/>
    <mergeCell ref="E2648:E2650"/>
    <mergeCell ref="G2633:G2635"/>
    <mergeCell ref="A2636:A2638"/>
    <mergeCell ref="B2636:B2638"/>
    <mergeCell ref="C2636:C2638"/>
    <mergeCell ref="D2636:D2638"/>
    <mergeCell ref="E2636:E2638"/>
    <mergeCell ref="F2636:F2638"/>
    <mergeCell ref="G2636:G2638"/>
    <mergeCell ref="A2639:A2641"/>
    <mergeCell ref="B2639:B2641"/>
    <mergeCell ref="C2639:C2641"/>
    <mergeCell ref="D2639:D2641"/>
    <mergeCell ref="E2639:E2641"/>
    <mergeCell ref="F2639:F2641"/>
    <mergeCell ref="G2639:G2641"/>
    <mergeCell ref="B2642:B2644"/>
    <mergeCell ref="C2642:C2644"/>
    <mergeCell ref="D2642:D2644"/>
    <mergeCell ref="E2642:E2644"/>
    <mergeCell ref="F2642:F2644"/>
    <mergeCell ref="G2642:G2644"/>
    <mergeCell ref="A2048:A2049"/>
    <mergeCell ref="B2048:B2049"/>
    <mergeCell ref="C2048:C2049"/>
    <mergeCell ref="D2048:D2049"/>
    <mergeCell ref="E2048:E2049"/>
    <mergeCell ref="F2048:F2049"/>
    <mergeCell ref="G2048:G2049"/>
    <mergeCell ref="A2050:A2051"/>
    <mergeCell ref="B2050:B2051"/>
    <mergeCell ref="C2050:C2051"/>
    <mergeCell ref="D2050:D2051"/>
    <mergeCell ref="E2050:E2051"/>
    <mergeCell ref="F2050:F2051"/>
    <mergeCell ref="G2050:G2051"/>
    <mergeCell ref="G2062:G2064"/>
    <mergeCell ref="A2609:A2611"/>
    <mergeCell ref="B2609:B2611"/>
    <mergeCell ref="C2609:C2611"/>
    <mergeCell ref="D2609:D2611"/>
    <mergeCell ref="E2609:E2611"/>
    <mergeCell ref="F2609:F2611"/>
    <mergeCell ref="G2609:G2611"/>
    <mergeCell ref="G2365:G2367"/>
    <mergeCell ref="G2373:G2375"/>
    <mergeCell ref="G2376:G2378"/>
    <mergeCell ref="G2379:G2381"/>
    <mergeCell ref="G2177:G2179"/>
    <mergeCell ref="G2541:G2542"/>
    <mergeCell ref="G2519:G2520"/>
    <mergeCell ref="G2521:G2522"/>
    <mergeCell ref="C2429:C2435"/>
    <mergeCell ref="D2429:D2435"/>
    <mergeCell ref="G2013:G2014"/>
    <mergeCell ref="G2039:G2040"/>
    <mergeCell ref="G2015:G2016"/>
    <mergeCell ref="A2044:A2047"/>
    <mergeCell ref="B2044:B2047"/>
    <mergeCell ref="C2044:C2047"/>
    <mergeCell ref="D2044:D2047"/>
    <mergeCell ref="E2044:E2047"/>
    <mergeCell ref="F2044:F2047"/>
    <mergeCell ref="A1982:A1996"/>
    <mergeCell ref="B1982:B1996"/>
    <mergeCell ref="C1982:C1996"/>
    <mergeCell ref="D1982:D1996"/>
    <mergeCell ref="E1982:E1996"/>
    <mergeCell ref="F1982:F1996"/>
    <mergeCell ref="G1983:G1984"/>
    <mergeCell ref="G1985:G1986"/>
    <mergeCell ref="G1987:G1988"/>
    <mergeCell ref="G1989:G1990"/>
    <mergeCell ref="G1991:G1992"/>
    <mergeCell ref="G1993:G1994"/>
    <mergeCell ref="G1995:G1996"/>
    <mergeCell ref="A2041:A2043"/>
    <mergeCell ref="B2036:B2040"/>
    <mergeCell ref="C2036:C2040"/>
    <mergeCell ref="D2036:D2040"/>
    <mergeCell ref="E2036:E2040"/>
    <mergeCell ref="F2036:F2040"/>
    <mergeCell ref="G2037:G2038"/>
    <mergeCell ref="B1874:B1876"/>
    <mergeCell ref="C1874:C1876"/>
    <mergeCell ref="D1874:D1876"/>
    <mergeCell ref="E1874:E1876"/>
    <mergeCell ref="F1874:F1876"/>
    <mergeCell ref="G1875:G1876"/>
    <mergeCell ref="A1886:A1887"/>
    <mergeCell ref="B1886:B1887"/>
    <mergeCell ref="C1886:C1887"/>
    <mergeCell ref="D1886:D1887"/>
    <mergeCell ref="E1886:E1887"/>
    <mergeCell ref="F1886:F1887"/>
    <mergeCell ref="A1892:A1894"/>
    <mergeCell ref="A1895:A1899"/>
    <mergeCell ref="B1895:B1899"/>
    <mergeCell ref="C1895:C1899"/>
    <mergeCell ref="D1895:D1899"/>
    <mergeCell ref="E1895:E1899"/>
    <mergeCell ref="F1895:F1899"/>
    <mergeCell ref="A1866:A1867"/>
    <mergeCell ref="B1866:B1867"/>
    <mergeCell ref="C1866:C1867"/>
    <mergeCell ref="D1866:D1867"/>
    <mergeCell ref="E1866:E1867"/>
    <mergeCell ref="F1866:F1867"/>
    <mergeCell ref="G1866:G1867"/>
    <mergeCell ref="A1890:A1891"/>
    <mergeCell ref="B1890:B1891"/>
    <mergeCell ref="C1890:C1891"/>
    <mergeCell ref="D1890:D1891"/>
    <mergeCell ref="E1890:E1891"/>
    <mergeCell ref="F1890:F1891"/>
    <mergeCell ref="G1890:G1891"/>
    <mergeCell ref="C1880:C1882"/>
    <mergeCell ref="D1880:D1882"/>
    <mergeCell ref="E1880:E1882"/>
    <mergeCell ref="A1868:A1869"/>
    <mergeCell ref="B1868:B1869"/>
    <mergeCell ref="C1868:C1869"/>
    <mergeCell ref="D1868:D1869"/>
    <mergeCell ref="E1868:E1869"/>
    <mergeCell ref="F1868:F1869"/>
    <mergeCell ref="G1868:G1869"/>
    <mergeCell ref="A1870:A1871"/>
    <mergeCell ref="B1870:B1871"/>
    <mergeCell ref="C1870:C1871"/>
    <mergeCell ref="D1870:D1871"/>
    <mergeCell ref="E1870:E1871"/>
    <mergeCell ref="F1870:F1871"/>
    <mergeCell ref="G1870:G1871"/>
    <mergeCell ref="A1874:A1876"/>
    <mergeCell ref="A1859:A1861"/>
    <mergeCell ref="B1859:B1861"/>
    <mergeCell ref="C1859:C1861"/>
    <mergeCell ref="D1859:D1861"/>
    <mergeCell ref="E1859:E1861"/>
    <mergeCell ref="F1859:F1861"/>
    <mergeCell ref="G1859:G1861"/>
    <mergeCell ref="A1862:A1863"/>
    <mergeCell ref="B1862:B1863"/>
    <mergeCell ref="C1862:C1863"/>
    <mergeCell ref="D1862:D1863"/>
    <mergeCell ref="E1862:E1863"/>
    <mergeCell ref="F1862:F1863"/>
    <mergeCell ref="G1862:G1863"/>
    <mergeCell ref="A1864:A1865"/>
    <mergeCell ref="B1864:B1865"/>
    <mergeCell ref="C1864:C1865"/>
    <mergeCell ref="D1864:D1865"/>
    <mergeCell ref="E1864:E1865"/>
    <mergeCell ref="F1864:F1865"/>
    <mergeCell ref="G1864:G1865"/>
    <mergeCell ref="A1852:A1853"/>
    <mergeCell ref="B1852:B1853"/>
    <mergeCell ref="C1852:C1853"/>
    <mergeCell ref="D1852:D1853"/>
    <mergeCell ref="E1852:E1853"/>
    <mergeCell ref="F1852:F1853"/>
    <mergeCell ref="G1852:G1853"/>
    <mergeCell ref="A1854:A1856"/>
    <mergeCell ref="B1854:B1856"/>
    <mergeCell ref="C1854:C1856"/>
    <mergeCell ref="D1854:D1856"/>
    <mergeCell ref="E1854:E1856"/>
    <mergeCell ref="F1854:F1856"/>
    <mergeCell ref="G1854:G1856"/>
    <mergeCell ref="A1857:A1858"/>
    <mergeCell ref="B1857:B1858"/>
    <mergeCell ref="C1857:C1858"/>
    <mergeCell ref="D1857:D1858"/>
    <mergeCell ref="E1857:E1858"/>
    <mergeCell ref="F1857:F1858"/>
    <mergeCell ref="G1857:G1858"/>
    <mergeCell ref="A1845:A1847"/>
    <mergeCell ref="B1845:B1847"/>
    <mergeCell ref="C1845:C1847"/>
    <mergeCell ref="D1845:D1847"/>
    <mergeCell ref="E1845:E1847"/>
    <mergeCell ref="F1845:F1847"/>
    <mergeCell ref="G1845:G1847"/>
    <mergeCell ref="A1848:A1849"/>
    <mergeCell ref="B1848:B1849"/>
    <mergeCell ref="C1848:C1849"/>
    <mergeCell ref="D1848:D1849"/>
    <mergeCell ref="E1848:E1849"/>
    <mergeCell ref="F1848:F1849"/>
    <mergeCell ref="G1848:G1849"/>
    <mergeCell ref="A1850:A1851"/>
    <mergeCell ref="B1850:B1851"/>
    <mergeCell ref="C1850:C1851"/>
    <mergeCell ref="D1850:D1851"/>
    <mergeCell ref="E1850:E1851"/>
    <mergeCell ref="F1850:F1851"/>
    <mergeCell ref="G1850:G1851"/>
    <mergeCell ref="A1834:A1836"/>
    <mergeCell ref="B1834:B1836"/>
    <mergeCell ref="C1834:C1836"/>
    <mergeCell ref="D1834:D1836"/>
    <mergeCell ref="E1834:E1836"/>
    <mergeCell ref="F1834:F1836"/>
    <mergeCell ref="A1842:A1844"/>
    <mergeCell ref="B1842:B1844"/>
    <mergeCell ref="C1842:C1844"/>
    <mergeCell ref="D1842:D1844"/>
    <mergeCell ref="E1842:E1844"/>
    <mergeCell ref="F1842:F1844"/>
    <mergeCell ref="G1842:G1844"/>
    <mergeCell ref="A1837:A1841"/>
    <mergeCell ref="B1837:B1841"/>
    <mergeCell ref="C1837:C1841"/>
    <mergeCell ref="D1837:D1841"/>
    <mergeCell ref="E1837:E1841"/>
    <mergeCell ref="F1837:F1841"/>
    <mergeCell ref="G1806:G1807"/>
    <mergeCell ref="G1808:G1809"/>
    <mergeCell ref="A1825:A1829"/>
    <mergeCell ref="B1825:B1829"/>
    <mergeCell ref="C1825:C1829"/>
    <mergeCell ref="D1825:D1829"/>
    <mergeCell ref="E1825:E1829"/>
    <mergeCell ref="F1825:F1829"/>
    <mergeCell ref="C1810:C1812"/>
    <mergeCell ref="D1810:D1812"/>
    <mergeCell ref="E1810:E1812"/>
    <mergeCell ref="F1810:F1812"/>
    <mergeCell ref="E1822:E1824"/>
    <mergeCell ref="F1822:F1824"/>
    <mergeCell ref="G1826:G1827"/>
    <mergeCell ref="G1828:G1829"/>
    <mergeCell ref="A1822:A1824"/>
    <mergeCell ref="B1822:B1824"/>
    <mergeCell ref="G1797:G1798"/>
    <mergeCell ref="A1777:A1784"/>
    <mergeCell ref="B1777:B1784"/>
    <mergeCell ref="C1777:C1784"/>
    <mergeCell ref="D1777:D1784"/>
    <mergeCell ref="E1777:E1784"/>
    <mergeCell ref="F1777:F1784"/>
    <mergeCell ref="A1785:A1787"/>
    <mergeCell ref="B1785:B1787"/>
    <mergeCell ref="C1785:C1787"/>
    <mergeCell ref="D1785:D1787"/>
    <mergeCell ref="E1785:E1787"/>
    <mergeCell ref="F1785:F1787"/>
    <mergeCell ref="G1786:G1787"/>
    <mergeCell ref="A1788:A1790"/>
    <mergeCell ref="A1791:A1795"/>
    <mergeCell ref="B1791:B1795"/>
    <mergeCell ref="C1791:C1795"/>
    <mergeCell ref="D1791:D1795"/>
    <mergeCell ref="E1791:E1795"/>
    <mergeCell ref="F1791:F1795"/>
    <mergeCell ref="G1792:G1793"/>
    <mergeCell ref="G1794:G1795"/>
    <mergeCell ref="A1796:A1798"/>
    <mergeCell ref="A928:A930"/>
    <mergeCell ref="B928:B930"/>
    <mergeCell ref="C928:C930"/>
    <mergeCell ref="D928:D930"/>
    <mergeCell ref="E928:E930"/>
    <mergeCell ref="F928:F930"/>
    <mergeCell ref="A915:A924"/>
    <mergeCell ref="B915:B924"/>
    <mergeCell ref="C915:C924"/>
    <mergeCell ref="D915:D924"/>
    <mergeCell ref="E915:E924"/>
    <mergeCell ref="F915:F924"/>
    <mergeCell ref="A1551:A1553"/>
    <mergeCell ref="G916:G918"/>
    <mergeCell ref="C1712:C1720"/>
    <mergeCell ref="D1712:D1720"/>
    <mergeCell ref="E1712:E1720"/>
    <mergeCell ref="F1712:F1720"/>
    <mergeCell ref="G919:G921"/>
    <mergeCell ref="G922:G924"/>
    <mergeCell ref="A925:A927"/>
    <mergeCell ref="B925:B927"/>
    <mergeCell ref="C925:C927"/>
    <mergeCell ref="D925:D927"/>
    <mergeCell ref="E925:E927"/>
    <mergeCell ref="F925:F927"/>
    <mergeCell ref="B874:B876"/>
    <mergeCell ref="C874:C876"/>
    <mergeCell ref="D874:D876"/>
    <mergeCell ref="E874:E876"/>
    <mergeCell ref="F874:F876"/>
    <mergeCell ref="A897:A902"/>
    <mergeCell ref="B897:B902"/>
    <mergeCell ref="C897:C902"/>
    <mergeCell ref="D897:D902"/>
    <mergeCell ref="E897:E902"/>
    <mergeCell ref="F897:F902"/>
    <mergeCell ref="A903:A914"/>
    <mergeCell ref="B903:B914"/>
    <mergeCell ref="C903:C914"/>
    <mergeCell ref="D903:D914"/>
    <mergeCell ref="E903:E914"/>
    <mergeCell ref="A887:A888"/>
    <mergeCell ref="G878:G880"/>
    <mergeCell ref="G881:G883"/>
    <mergeCell ref="G884:G886"/>
    <mergeCell ref="A889:A896"/>
    <mergeCell ref="B889:B896"/>
    <mergeCell ref="C889:C896"/>
    <mergeCell ref="D889:D896"/>
    <mergeCell ref="E889:E896"/>
    <mergeCell ref="F889:F896"/>
    <mergeCell ref="A865:A867"/>
    <mergeCell ref="B865:B867"/>
    <mergeCell ref="C865:C867"/>
    <mergeCell ref="D865:D867"/>
    <mergeCell ref="E865:E867"/>
    <mergeCell ref="F865:F867"/>
    <mergeCell ref="A868:A870"/>
    <mergeCell ref="B868:B870"/>
    <mergeCell ref="C868:C870"/>
    <mergeCell ref="D868:D870"/>
    <mergeCell ref="E868:E870"/>
    <mergeCell ref="F868:F870"/>
    <mergeCell ref="C871:C873"/>
    <mergeCell ref="D871:D873"/>
    <mergeCell ref="E871:E873"/>
    <mergeCell ref="E887:E888"/>
    <mergeCell ref="F887:F888"/>
    <mergeCell ref="A838:A839"/>
    <mergeCell ref="B838:B839"/>
    <mergeCell ref="C838:C839"/>
    <mergeCell ref="D838:D839"/>
    <mergeCell ref="E838:E839"/>
    <mergeCell ref="F838:F839"/>
    <mergeCell ref="A850:A853"/>
    <mergeCell ref="B850:B853"/>
    <mergeCell ref="C850:C853"/>
    <mergeCell ref="D850:D853"/>
    <mergeCell ref="E850:E853"/>
    <mergeCell ref="F850:F853"/>
    <mergeCell ref="G840:G841"/>
    <mergeCell ref="A842:A843"/>
    <mergeCell ref="F840:F841"/>
    <mergeCell ref="A840:A841"/>
    <mergeCell ref="B840:B841"/>
    <mergeCell ref="C840:C841"/>
    <mergeCell ref="D840:D841"/>
    <mergeCell ref="E840:E841"/>
    <mergeCell ref="A844:A845"/>
    <mergeCell ref="G846:G849"/>
    <mergeCell ref="B844:B845"/>
    <mergeCell ref="C844:C845"/>
    <mergeCell ref="D844:D845"/>
    <mergeCell ref="E844:E845"/>
    <mergeCell ref="F844:F845"/>
    <mergeCell ref="G844:G845"/>
    <mergeCell ref="A846:A849"/>
    <mergeCell ref="B846:B849"/>
    <mergeCell ref="C846:C849"/>
    <mergeCell ref="D846:D849"/>
    <mergeCell ref="A818:A820"/>
    <mergeCell ref="B818:B820"/>
    <mergeCell ref="C818:C820"/>
    <mergeCell ref="D818:D820"/>
    <mergeCell ref="E818:E820"/>
    <mergeCell ref="F818:F820"/>
    <mergeCell ref="A829:A831"/>
    <mergeCell ref="B829:B831"/>
    <mergeCell ref="C829:C831"/>
    <mergeCell ref="D829:D831"/>
    <mergeCell ref="E829:E831"/>
    <mergeCell ref="F829:F831"/>
    <mergeCell ref="D799:D817"/>
    <mergeCell ref="G812:G814"/>
    <mergeCell ref="G815:G817"/>
    <mergeCell ref="F795:F796"/>
    <mergeCell ref="C821:C824"/>
    <mergeCell ref="D821:D824"/>
    <mergeCell ref="A785:A786"/>
    <mergeCell ref="B785:B786"/>
    <mergeCell ref="C785:C786"/>
    <mergeCell ref="D785:D786"/>
    <mergeCell ref="E785:E786"/>
    <mergeCell ref="F785:F786"/>
    <mergeCell ref="G785:G786"/>
    <mergeCell ref="A793:A794"/>
    <mergeCell ref="B793:B794"/>
    <mergeCell ref="C793:C794"/>
    <mergeCell ref="D793:D794"/>
    <mergeCell ref="E793:E794"/>
    <mergeCell ref="F793:F794"/>
    <mergeCell ref="E787:E789"/>
    <mergeCell ref="G787:G789"/>
    <mergeCell ref="B790:B792"/>
    <mergeCell ref="C790:C792"/>
    <mergeCell ref="D790:D792"/>
    <mergeCell ref="G790:G792"/>
    <mergeCell ref="C770:C771"/>
    <mergeCell ref="D770:D771"/>
    <mergeCell ref="E770:E771"/>
    <mergeCell ref="F770:F771"/>
    <mergeCell ref="G770:G771"/>
    <mergeCell ref="A772:A773"/>
    <mergeCell ref="B772:B773"/>
    <mergeCell ref="C772:C773"/>
    <mergeCell ref="D772:D773"/>
    <mergeCell ref="E772:E773"/>
    <mergeCell ref="F772:F773"/>
    <mergeCell ref="G772:G773"/>
    <mergeCell ref="C761:C763"/>
    <mergeCell ref="D761:D763"/>
    <mergeCell ref="E761:E763"/>
    <mergeCell ref="A770:A771"/>
    <mergeCell ref="B770:B771"/>
    <mergeCell ref="B745:B749"/>
    <mergeCell ref="G750:G752"/>
    <mergeCell ref="A758:A760"/>
    <mergeCell ref="B758:B760"/>
    <mergeCell ref="C758:C760"/>
    <mergeCell ref="D758:D760"/>
    <mergeCell ref="E758:E760"/>
    <mergeCell ref="F758:F760"/>
    <mergeCell ref="A767:A769"/>
    <mergeCell ref="B767:B769"/>
    <mergeCell ref="C767:C769"/>
    <mergeCell ref="D767:D769"/>
    <mergeCell ref="E767:E769"/>
    <mergeCell ref="F767:F769"/>
    <mergeCell ref="G767:G769"/>
    <mergeCell ref="F761:F763"/>
    <mergeCell ref="G761:G763"/>
    <mergeCell ref="A764:A766"/>
    <mergeCell ref="B764:B766"/>
    <mergeCell ref="C764:C766"/>
    <mergeCell ref="D764:D766"/>
    <mergeCell ref="E764:E766"/>
    <mergeCell ref="F764:F766"/>
    <mergeCell ref="B761:B763"/>
    <mergeCell ref="F753:F754"/>
    <mergeCell ref="G753:G754"/>
    <mergeCell ref="A719:A720"/>
    <mergeCell ref="B719:B720"/>
    <mergeCell ref="C719:C720"/>
    <mergeCell ref="D719:D720"/>
    <mergeCell ref="E719:E720"/>
    <mergeCell ref="F719:F720"/>
    <mergeCell ref="A742:A744"/>
    <mergeCell ref="B742:B744"/>
    <mergeCell ref="C742:C744"/>
    <mergeCell ref="D742:D744"/>
    <mergeCell ref="E742:E744"/>
    <mergeCell ref="F742:F744"/>
    <mergeCell ref="G721:G723"/>
    <mergeCell ref="B721:B723"/>
    <mergeCell ref="C721:C723"/>
    <mergeCell ref="E724:E726"/>
    <mergeCell ref="G727:G729"/>
    <mergeCell ref="G734:G735"/>
    <mergeCell ref="A727:A729"/>
    <mergeCell ref="B727:B729"/>
    <mergeCell ref="C727:C729"/>
    <mergeCell ref="D727:D729"/>
    <mergeCell ref="E727:E729"/>
    <mergeCell ref="F727:F729"/>
    <mergeCell ref="E714:E715"/>
    <mergeCell ref="F714:F715"/>
    <mergeCell ref="F704:F706"/>
    <mergeCell ref="G704:G706"/>
    <mergeCell ref="E704:E706"/>
    <mergeCell ref="A716:A718"/>
    <mergeCell ref="B716:B718"/>
    <mergeCell ref="C716:C718"/>
    <mergeCell ref="D716:D718"/>
    <mergeCell ref="E716:E718"/>
    <mergeCell ref="F716:F718"/>
    <mergeCell ref="F707:F711"/>
    <mergeCell ref="G708:G709"/>
    <mergeCell ref="G710:G711"/>
    <mergeCell ref="D704:D706"/>
    <mergeCell ref="A712:A713"/>
    <mergeCell ref="B712:B713"/>
    <mergeCell ref="C712:C713"/>
    <mergeCell ref="D712:D713"/>
    <mergeCell ref="G670:G671"/>
    <mergeCell ref="B658:B662"/>
    <mergeCell ref="C658:C662"/>
    <mergeCell ref="D658:D662"/>
    <mergeCell ref="E658:E662"/>
    <mergeCell ref="F658:F662"/>
    <mergeCell ref="G666:G667"/>
    <mergeCell ref="D663:D671"/>
    <mergeCell ref="E712:E713"/>
    <mergeCell ref="F712:F713"/>
    <mergeCell ref="A686:A694"/>
    <mergeCell ref="B686:B694"/>
    <mergeCell ref="C686:C694"/>
    <mergeCell ref="D686:D694"/>
    <mergeCell ref="E686:E694"/>
    <mergeCell ref="F686:F694"/>
    <mergeCell ref="G689:G690"/>
    <mergeCell ref="G691:G692"/>
    <mergeCell ref="G693:G694"/>
    <mergeCell ref="B707:B711"/>
    <mergeCell ref="C707:C711"/>
    <mergeCell ref="D707:D711"/>
    <mergeCell ref="E707:E711"/>
    <mergeCell ref="C704:C706"/>
    <mergeCell ref="A695:A697"/>
    <mergeCell ref="E682:E685"/>
    <mergeCell ref="F682:F685"/>
    <mergeCell ref="A707:A711"/>
    <mergeCell ref="G649:G651"/>
    <mergeCell ref="G652:G654"/>
    <mergeCell ref="G655:G657"/>
    <mergeCell ref="A639:A641"/>
    <mergeCell ref="B639:B641"/>
    <mergeCell ref="C639:C641"/>
    <mergeCell ref="D639:D641"/>
    <mergeCell ref="E639:E641"/>
    <mergeCell ref="A648:A657"/>
    <mergeCell ref="B648:B657"/>
    <mergeCell ref="C648:C657"/>
    <mergeCell ref="D648:D657"/>
    <mergeCell ref="E648:E657"/>
    <mergeCell ref="F648:F657"/>
    <mergeCell ref="G633:G635"/>
    <mergeCell ref="F639:F641"/>
    <mergeCell ref="A645:A647"/>
    <mergeCell ref="B645:B647"/>
    <mergeCell ref="C645:C647"/>
    <mergeCell ref="D645:D647"/>
    <mergeCell ref="E645:E647"/>
    <mergeCell ref="F645:F647"/>
    <mergeCell ref="G571:G573"/>
    <mergeCell ref="A574:A576"/>
    <mergeCell ref="B574:B576"/>
    <mergeCell ref="C574:C576"/>
    <mergeCell ref="G574:G576"/>
    <mergeCell ref="A577:A579"/>
    <mergeCell ref="F596:F598"/>
    <mergeCell ref="B577:B579"/>
    <mergeCell ref="D583:D584"/>
    <mergeCell ref="E583:E584"/>
    <mergeCell ref="F583:F584"/>
    <mergeCell ref="A590:A592"/>
    <mergeCell ref="E602:E604"/>
    <mergeCell ref="A583:A584"/>
    <mergeCell ref="B583:B584"/>
    <mergeCell ref="C583:C584"/>
    <mergeCell ref="A611:A613"/>
    <mergeCell ref="B611:B613"/>
    <mergeCell ref="C611:C613"/>
    <mergeCell ref="D611:D613"/>
    <mergeCell ref="E611:E613"/>
    <mergeCell ref="F611:F613"/>
    <mergeCell ref="F608:F610"/>
    <mergeCell ref="G608:G610"/>
    <mergeCell ref="G499:G501"/>
    <mergeCell ref="G502:G504"/>
    <mergeCell ref="G505:G507"/>
    <mergeCell ref="E566:E570"/>
    <mergeCell ref="F566:F570"/>
    <mergeCell ref="A537:A539"/>
    <mergeCell ref="B537:B539"/>
    <mergeCell ref="C537:C539"/>
    <mergeCell ref="D537:D539"/>
    <mergeCell ref="E537:E539"/>
    <mergeCell ref="F537:F539"/>
    <mergeCell ref="A540:A541"/>
    <mergeCell ref="B540:B541"/>
    <mergeCell ref="C540:C541"/>
    <mergeCell ref="D540:D541"/>
    <mergeCell ref="E540:E541"/>
    <mergeCell ref="F540:F541"/>
    <mergeCell ref="G364:G365"/>
    <mergeCell ref="A370:A371"/>
    <mergeCell ref="B370:B371"/>
    <mergeCell ref="C370:C371"/>
    <mergeCell ref="D370:D371"/>
    <mergeCell ref="E370:E371"/>
    <mergeCell ref="F370:F371"/>
    <mergeCell ref="G370:G371"/>
    <mergeCell ref="A410:A412"/>
    <mergeCell ref="F455:F461"/>
    <mergeCell ref="D481:D483"/>
    <mergeCell ref="E481:E483"/>
    <mergeCell ref="F481:F483"/>
    <mergeCell ref="B481:B483"/>
    <mergeCell ref="B484:B492"/>
    <mergeCell ref="C484:C492"/>
    <mergeCell ref="A532:A536"/>
    <mergeCell ref="B532:B536"/>
    <mergeCell ref="C532:C536"/>
    <mergeCell ref="D532:D536"/>
    <mergeCell ref="E532:E536"/>
    <mergeCell ref="F532:F536"/>
    <mergeCell ref="A495:A497"/>
    <mergeCell ref="B495:B497"/>
    <mergeCell ref="C495:C497"/>
    <mergeCell ref="D495:D497"/>
    <mergeCell ref="E495:E497"/>
    <mergeCell ref="F495:F497"/>
    <mergeCell ref="G493:G494"/>
    <mergeCell ref="C467:C475"/>
    <mergeCell ref="D467:D475"/>
    <mergeCell ref="A527:A531"/>
    <mergeCell ref="A2940:A2944"/>
    <mergeCell ref="B2940:B2944"/>
    <mergeCell ref="C2940:C2944"/>
    <mergeCell ref="D2940:D2944"/>
    <mergeCell ref="E2940:E2944"/>
    <mergeCell ref="F2940:F2944"/>
    <mergeCell ref="G2941:G2944"/>
    <mergeCell ref="A2919:A2921"/>
    <mergeCell ref="B2919:B2921"/>
    <mergeCell ref="C2919:C2921"/>
    <mergeCell ref="D2919:D2921"/>
    <mergeCell ref="E2919:E2921"/>
    <mergeCell ref="F2919:F2921"/>
    <mergeCell ref="G2920:G2921"/>
    <mergeCell ref="C2910:C2912"/>
    <mergeCell ref="D2910:D2912"/>
    <mergeCell ref="E2910:E2912"/>
    <mergeCell ref="A2916:A2918"/>
    <mergeCell ref="B2916:B2918"/>
    <mergeCell ref="C2916:C2918"/>
    <mergeCell ref="D2916:D2918"/>
    <mergeCell ref="E2916:E2918"/>
    <mergeCell ref="F2916:F2918"/>
    <mergeCell ref="G2933:G2935"/>
    <mergeCell ref="A2922:A2926"/>
    <mergeCell ref="B2922:B2926"/>
    <mergeCell ref="F2913:F2915"/>
    <mergeCell ref="C2922:C2926"/>
    <mergeCell ref="D2922:D2926"/>
    <mergeCell ref="E2922:E2926"/>
    <mergeCell ref="F2922:F2926"/>
    <mergeCell ref="G2923:G2924"/>
    <mergeCell ref="G2925:G2926"/>
    <mergeCell ref="A2939:C2939"/>
    <mergeCell ref="B2904:B2906"/>
    <mergeCell ref="C2904:C2906"/>
    <mergeCell ref="D2904:D2906"/>
    <mergeCell ref="E2904:E2906"/>
    <mergeCell ref="F2904:F2906"/>
    <mergeCell ref="A2932:A2938"/>
    <mergeCell ref="A2907:A2909"/>
    <mergeCell ref="B2907:B2909"/>
    <mergeCell ref="C2907:C2909"/>
    <mergeCell ref="D2907:D2909"/>
    <mergeCell ref="E2907:E2909"/>
    <mergeCell ref="F2907:F2909"/>
    <mergeCell ref="B2220:B2222"/>
    <mergeCell ref="C2220:C2222"/>
    <mergeCell ref="D2220:D2222"/>
    <mergeCell ref="E2220:E2222"/>
    <mergeCell ref="F2220:F2222"/>
    <mergeCell ref="G2221:G2222"/>
    <mergeCell ref="G2908:G2909"/>
    <mergeCell ref="G2413:G2414"/>
    <mergeCell ref="G2896:G2897"/>
    <mergeCell ref="G2901:G2903"/>
    <mergeCell ref="A2898:A2900"/>
    <mergeCell ref="B2898:B2900"/>
    <mergeCell ref="C2898:C2900"/>
    <mergeCell ref="D2898:D2900"/>
    <mergeCell ref="E2898:E2900"/>
    <mergeCell ref="F2898:F2900"/>
    <mergeCell ref="A2618:A2620"/>
    <mergeCell ref="B2618:B2620"/>
    <mergeCell ref="C2618:C2620"/>
    <mergeCell ref="D2618:D2620"/>
    <mergeCell ref="E2618:E2620"/>
    <mergeCell ref="F2618:F2620"/>
    <mergeCell ref="G2474:G2475"/>
    <mergeCell ref="E2869:E2871"/>
    <mergeCell ref="F2869:F2871"/>
    <mergeCell ref="G2869:G2871"/>
    <mergeCell ref="E2429:E2435"/>
    <mergeCell ref="A2615:A2617"/>
    <mergeCell ref="G2621:G2623"/>
    <mergeCell ref="A2630:A2632"/>
    <mergeCell ref="B2630:B2632"/>
    <mergeCell ref="C2630:C2632"/>
    <mergeCell ref="G474:G475"/>
    <mergeCell ref="B391:B394"/>
    <mergeCell ref="B398:B399"/>
    <mergeCell ref="C398:C399"/>
    <mergeCell ref="D398:D399"/>
    <mergeCell ref="E398:E399"/>
    <mergeCell ref="G403:G405"/>
    <mergeCell ref="E467:E475"/>
    <mergeCell ref="E455:E461"/>
    <mergeCell ref="G243:G245"/>
    <mergeCell ref="F398:F399"/>
    <mergeCell ref="G398:G399"/>
    <mergeCell ref="F484:F492"/>
    <mergeCell ref="G2164:G2165"/>
    <mergeCell ref="G1926:G1928"/>
    <mergeCell ref="E2068:E2072"/>
    <mergeCell ref="F2068:F2072"/>
    <mergeCell ref="G2068:G2072"/>
    <mergeCell ref="G2104:G2105"/>
    <mergeCell ref="G2097:G2098"/>
    <mergeCell ref="E476:E480"/>
    <mergeCell ref="G2139:G2141"/>
    <mergeCell ref="E2065:E2067"/>
    <mergeCell ref="G1298:G1300"/>
    <mergeCell ref="G1755:G1756"/>
    <mergeCell ref="G1757:G1758"/>
    <mergeCell ref="G1442:G1443"/>
    <mergeCell ref="G1418:G1419"/>
    <mergeCell ref="G362:G363"/>
    <mergeCell ref="B364:B365"/>
    <mergeCell ref="C364:C365"/>
    <mergeCell ref="D364:D365"/>
    <mergeCell ref="G460:G461"/>
    <mergeCell ref="B410:B412"/>
    <mergeCell ref="C410:C412"/>
    <mergeCell ref="C437:C445"/>
    <mergeCell ref="G468:G469"/>
    <mergeCell ref="D410:D412"/>
    <mergeCell ref="B421:B424"/>
    <mergeCell ref="G410:G412"/>
    <mergeCell ref="D417:D420"/>
    <mergeCell ref="D243:D245"/>
    <mergeCell ref="A1238:A1240"/>
    <mergeCell ref="B1238:B1240"/>
    <mergeCell ref="C1238:C1240"/>
    <mergeCell ref="D1238:D1240"/>
    <mergeCell ref="E1238:E1240"/>
    <mergeCell ref="F1238:F1240"/>
    <mergeCell ref="B307:B310"/>
    <mergeCell ref="C307:C310"/>
    <mergeCell ref="A398:A399"/>
    <mergeCell ref="G338:G340"/>
    <mergeCell ref="G341:G343"/>
    <mergeCell ref="G344:G346"/>
    <mergeCell ref="G347:G349"/>
    <mergeCell ref="G350:G352"/>
    <mergeCell ref="G353:G355"/>
    <mergeCell ref="G356:G358"/>
    <mergeCell ref="A378:A384"/>
    <mergeCell ref="B378:B384"/>
    <mergeCell ref="C378:C384"/>
    <mergeCell ref="D378:D384"/>
    <mergeCell ref="G470:G471"/>
    <mergeCell ref="G472:G473"/>
    <mergeCell ref="G360:G361"/>
    <mergeCell ref="A243:A245"/>
    <mergeCell ref="B243:B245"/>
    <mergeCell ref="C243:C245"/>
    <mergeCell ref="E243:E245"/>
    <mergeCell ref="F243:F245"/>
    <mergeCell ref="E378:E384"/>
    <mergeCell ref="F378:F384"/>
    <mergeCell ref="G366:G369"/>
    <mergeCell ref="A362:A363"/>
    <mergeCell ref="B362:B363"/>
    <mergeCell ref="C362:C363"/>
    <mergeCell ref="C481:C483"/>
    <mergeCell ref="D484:D492"/>
    <mergeCell ref="E484:E492"/>
    <mergeCell ref="F476:F480"/>
    <mergeCell ref="B403:B405"/>
    <mergeCell ref="E465:E466"/>
    <mergeCell ref="F465:F466"/>
    <mergeCell ref="G465:G466"/>
    <mergeCell ref="B465:B466"/>
    <mergeCell ref="C465:C466"/>
    <mergeCell ref="D465:D466"/>
    <mergeCell ref="C403:C405"/>
    <mergeCell ref="D403:D405"/>
    <mergeCell ref="E403:E405"/>
    <mergeCell ref="F403:F405"/>
    <mergeCell ref="C413:C416"/>
    <mergeCell ref="D413:D416"/>
    <mergeCell ref="E413:E416"/>
    <mergeCell ref="F413:F416"/>
    <mergeCell ref="G458:G459"/>
    <mergeCell ref="G295:G296"/>
    <mergeCell ref="E272:E280"/>
    <mergeCell ref="G234:G236"/>
    <mergeCell ref="F240:F242"/>
    <mergeCell ref="G240:G242"/>
    <mergeCell ref="G254:G256"/>
    <mergeCell ref="E231:E233"/>
    <mergeCell ref="F231:F233"/>
    <mergeCell ref="G270:G271"/>
    <mergeCell ref="G249:G250"/>
    <mergeCell ref="A212:A214"/>
    <mergeCell ref="G200:G202"/>
    <mergeCell ref="C231:C233"/>
    <mergeCell ref="A237:A239"/>
    <mergeCell ref="B237:B239"/>
    <mergeCell ref="C237:C239"/>
    <mergeCell ref="D237:D239"/>
    <mergeCell ref="E237:E239"/>
    <mergeCell ref="F237:F239"/>
    <mergeCell ref="G149:G151"/>
    <mergeCell ref="C152:C154"/>
    <mergeCell ref="D152:D154"/>
    <mergeCell ref="G161:G162"/>
    <mergeCell ref="A133:A151"/>
    <mergeCell ref="B133:B151"/>
    <mergeCell ref="G165:G166"/>
    <mergeCell ref="B78:B84"/>
    <mergeCell ref="C78:C84"/>
    <mergeCell ref="D78:D84"/>
    <mergeCell ref="E78:E84"/>
    <mergeCell ref="F78:F84"/>
    <mergeCell ref="C71:C77"/>
    <mergeCell ref="C85:C93"/>
    <mergeCell ref="F215:F219"/>
    <mergeCell ref="D307:D310"/>
    <mergeCell ref="E307:E310"/>
    <mergeCell ref="F307:F310"/>
    <mergeCell ref="G288:G289"/>
    <mergeCell ref="G290:G291"/>
    <mergeCell ref="G221:G222"/>
    <mergeCell ref="G223:G224"/>
    <mergeCell ref="G225:G226"/>
    <mergeCell ref="G227:G228"/>
    <mergeCell ref="G229:G230"/>
    <mergeCell ref="D246:D250"/>
    <mergeCell ref="E246:E250"/>
    <mergeCell ref="E292:E300"/>
    <mergeCell ref="E281:E282"/>
    <mergeCell ref="G260:G261"/>
    <mergeCell ref="G258:G259"/>
    <mergeCell ref="G293:G294"/>
    <mergeCell ref="B215:B219"/>
    <mergeCell ref="C215:C219"/>
    <mergeCell ref="D215:D219"/>
    <mergeCell ref="E215:E219"/>
    <mergeCell ref="A167:A168"/>
    <mergeCell ref="B167:B168"/>
    <mergeCell ref="C167:C168"/>
    <mergeCell ref="D167:D168"/>
    <mergeCell ref="E167:E168"/>
    <mergeCell ref="F167:F168"/>
    <mergeCell ref="B101:B119"/>
    <mergeCell ref="C101:C119"/>
    <mergeCell ref="E101:E119"/>
    <mergeCell ref="F101:F119"/>
    <mergeCell ref="E94:E95"/>
    <mergeCell ref="F94:F95"/>
    <mergeCell ref="F96:F100"/>
    <mergeCell ref="C2815:C2817"/>
    <mergeCell ref="G2478:G2479"/>
    <mergeCell ref="D2815:D2817"/>
    <mergeCell ref="E2815:E2817"/>
    <mergeCell ref="G196:G198"/>
    <mergeCell ref="A215:A219"/>
    <mergeCell ref="E324:E336"/>
    <mergeCell ref="F324:F336"/>
    <mergeCell ref="F263:F271"/>
    <mergeCell ref="F272:F280"/>
    <mergeCell ref="G273:G274"/>
    <mergeCell ref="G275:G276"/>
    <mergeCell ref="G277:G278"/>
    <mergeCell ref="G279:G280"/>
    <mergeCell ref="F257:F261"/>
    <mergeCell ref="F292:F300"/>
    <mergeCell ref="A231:A233"/>
    <mergeCell ref="B231:B233"/>
    <mergeCell ref="A272:A280"/>
    <mergeCell ref="C272:C280"/>
    <mergeCell ref="D272:D280"/>
    <mergeCell ref="D231:D233"/>
    <mergeCell ref="A209:A211"/>
    <mergeCell ref="B209:B211"/>
    <mergeCell ref="G231:G233"/>
    <mergeCell ref="D212:D214"/>
    <mergeCell ref="E212:E214"/>
    <mergeCell ref="A246:A250"/>
    <mergeCell ref="B246:B250"/>
    <mergeCell ref="C246:C250"/>
    <mergeCell ref="B220:B230"/>
    <mergeCell ref="C220:C230"/>
    <mergeCell ref="A2575:A2579"/>
    <mergeCell ref="G2566:G2567"/>
    <mergeCell ref="G2513:G2514"/>
    <mergeCell ref="G2591:G2592"/>
    <mergeCell ref="C2769:C2771"/>
    <mergeCell ref="D2769:D2771"/>
    <mergeCell ref="E2769:E2771"/>
    <mergeCell ref="G2704:G2706"/>
    <mergeCell ref="A2707:A2709"/>
    <mergeCell ref="G2589:G2590"/>
    <mergeCell ref="A2704:A2706"/>
    <mergeCell ref="G2471:G2472"/>
    <mergeCell ref="B2473:B2479"/>
    <mergeCell ref="C2473:C2479"/>
    <mergeCell ref="D2473:D2479"/>
    <mergeCell ref="E2473:E2479"/>
    <mergeCell ref="F2473:F2479"/>
    <mergeCell ref="D2630:D2632"/>
    <mergeCell ref="E2630:E2632"/>
    <mergeCell ref="F2630:F2632"/>
    <mergeCell ref="G2630:G2632"/>
    <mergeCell ref="A2627:A2629"/>
    <mergeCell ref="B2627:B2629"/>
    <mergeCell ref="C2615:C2617"/>
    <mergeCell ref="D2615:D2617"/>
    <mergeCell ref="E2615:E2617"/>
    <mergeCell ref="F2615:F2617"/>
    <mergeCell ref="G2615:G2617"/>
    <mergeCell ref="A2633:A2635"/>
    <mergeCell ref="B2633:B2635"/>
    <mergeCell ref="C2633:C2635"/>
    <mergeCell ref="D2633:D2635"/>
    <mergeCell ref="G2173:G2174"/>
    <mergeCell ref="C2158:C2159"/>
    <mergeCell ref="D2158:D2159"/>
    <mergeCell ref="E2158:E2159"/>
    <mergeCell ref="F2158:F2159"/>
    <mergeCell ref="A2160:A2162"/>
    <mergeCell ref="B2160:B2162"/>
    <mergeCell ref="C2160:C2162"/>
    <mergeCell ref="D2160:D2162"/>
    <mergeCell ref="E2160:E2162"/>
    <mergeCell ref="F2160:F2162"/>
    <mergeCell ref="G2161:G2162"/>
    <mergeCell ref="A2166:A2168"/>
    <mergeCell ref="B2166:B2168"/>
    <mergeCell ref="C2166:C2168"/>
    <mergeCell ref="D2166:D2168"/>
    <mergeCell ref="E2166:E2168"/>
    <mergeCell ref="F2166:F2168"/>
    <mergeCell ref="G2166:G2168"/>
    <mergeCell ref="A2169:A2170"/>
    <mergeCell ref="B2169:B2170"/>
    <mergeCell ref="C2169:C2170"/>
    <mergeCell ref="D2169:D2170"/>
    <mergeCell ref="E2169:E2170"/>
    <mergeCell ref="A2158:A2159"/>
    <mergeCell ref="B2158:B2159"/>
    <mergeCell ref="A2133:A2135"/>
    <mergeCell ref="B2133:B2135"/>
    <mergeCell ref="C2133:C2135"/>
    <mergeCell ref="D2133:D2135"/>
    <mergeCell ref="E2133:E2135"/>
    <mergeCell ref="F2133:F2135"/>
    <mergeCell ref="G2136:G2138"/>
    <mergeCell ref="B2155:B2157"/>
    <mergeCell ref="A2155:A2157"/>
    <mergeCell ref="C2155:C2157"/>
    <mergeCell ref="D2155:D2157"/>
    <mergeCell ref="E2155:E2157"/>
    <mergeCell ref="F2155:F2157"/>
    <mergeCell ref="G2145:G2147"/>
    <mergeCell ref="A2148:A2150"/>
    <mergeCell ref="B2148:B2150"/>
    <mergeCell ref="C2148:C2150"/>
    <mergeCell ref="D2148:D2150"/>
    <mergeCell ref="E2148:E2150"/>
    <mergeCell ref="F2148:F2150"/>
    <mergeCell ref="G2148:G2150"/>
    <mergeCell ref="A2153:A2154"/>
    <mergeCell ref="B2153:B2154"/>
    <mergeCell ref="C2153:C2154"/>
    <mergeCell ref="D2153:D2154"/>
    <mergeCell ref="E2153:E2154"/>
    <mergeCell ref="F2153:F2154"/>
    <mergeCell ref="G2155:G2157"/>
    <mergeCell ref="B2094:B2098"/>
    <mergeCell ref="C2094:C2098"/>
    <mergeCell ref="F2111:F2112"/>
    <mergeCell ref="D2113:D2115"/>
    <mergeCell ref="E2113:E2115"/>
    <mergeCell ref="G2118:G2120"/>
    <mergeCell ref="F2126:F2127"/>
    <mergeCell ref="A2128:A2132"/>
    <mergeCell ref="B2128:B2132"/>
    <mergeCell ref="C2128:C2132"/>
    <mergeCell ref="D2128:D2132"/>
    <mergeCell ref="E2128:E2132"/>
    <mergeCell ref="F2128:F2132"/>
    <mergeCell ref="G2128:G2132"/>
    <mergeCell ref="C2123:C2125"/>
    <mergeCell ref="D2123:D2125"/>
    <mergeCell ref="E2123:E2125"/>
    <mergeCell ref="A2094:A2098"/>
    <mergeCell ref="B2126:B2127"/>
    <mergeCell ref="C2126:C2127"/>
    <mergeCell ref="D2126:D2127"/>
    <mergeCell ref="A2111:A2112"/>
    <mergeCell ref="A2113:A2115"/>
    <mergeCell ref="B2113:B2115"/>
    <mergeCell ref="C2113:C2115"/>
    <mergeCell ref="G1341:G1342"/>
    <mergeCell ref="G1482:G1483"/>
    <mergeCell ref="G1484:G1485"/>
    <mergeCell ref="G1486:G1487"/>
    <mergeCell ref="C1813:C1821"/>
    <mergeCell ref="D1813:D1821"/>
    <mergeCell ref="E1813:E1821"/>
    <mergeCell ref="A1810:A1812"/>
    <mergeCell ref="B1810:B1812"/>
    <mergeCell ref="C1788:C1790"/>
    <mergeCell ref="D1788:D1790"/>
    <mergeCell ref="E1788:E1790"/>
    <mergeCell ref="F1788:F1790"/>
    <mergeCell ref="A1805:A1809"/>
    <mergeCell ref="D1912:D1916"/>
    <mergeCell ref="F1880:F1882"/>
    <mergeCell ref="C1929:C1935"/>
    <mergeCell ref="G1403:G1404"/>
    <mergeCell ref="G1694:G1696"/>
    <mergeCell ref="G1440:G1441"/>
    <mergeCell ref="G1705:G1706"/>
    <mergeCell ref="A1707:A1708"/>
    <mergeCell ref="B1707:B1708"/>
    <mergeCell ref="C1707:C1708"/>
    <mergeCell ref="D1707:D1708"/>
    <mergeCell ref="E1707:E1708"/>
    <mergeCell ref="F1707:F1708"/>
    <mergeCell ref="G1707:G1708"/>
    <mergeCell ref="A1727:A1731"/>
    <mergeCell ref="B1727:B1731"/>
    <mergeCell ref="C1727:C1731"/>
    <mergeCell ref="D1727:D1731"/>
    <mergeCell ref="G1416:G1417"/>
    <mergeCell ref="G1388:G1390"/>
    <mergeCell ref="G1563:G1564"/>
    <mergeCell ref="B1900:B1903"/>
    <mergeCell ref="C1900:C1903"/>
    <mergeCell ref="B1796:B1798"/>
    <mergeCell ref="C1796:C1798"/>
    <mergeCell ref="D1796:D1798"/>
    <mergeCell ref="E1796:E1798"/>
    <mergeCell ref="F1796:F1798"/>
    <mergeCell ref="B1830:B1833"/>
    <mergeCell ref="C1830:C1833"/>
    <mergeCell ref="D1830:D1833"/>
    <mergeCell ref="E1830:E1833"/>
    <mergeCell ref="F1830:F1833"/>
    <mergeCell ref="D1481:D1487"/>
    <mergeCell ref="C1691:C1693"/>
    <mergeCell ref="D1691:D1693"/>
    <mergeCell ref="G1765:G1767"/>
    <mergeCell ref="G1814:G1815"/>
    <mergeCell ref="G1691:G1693"/>
    <mergeCell ref="E1727:E1731"/>
    <mergeCell ref="F1727:F1731"/>
    <mergeCell ref="B1721:B1723"/>
    <mergeCell ref="C1721:C1723"/>
    <mergeCell ref="F1721:F1723"/>
    <mergeCell ref="G1744:G1745"/>
    <mergeCell ref="G1746:G1747"/>
    <mergeCell ref="G1748:G1749"/>
    <mergeCell ref="G1750:G1751"/>
    <mergeCell ref="G1728:G1729"/>
    <mergeCell ref="G1730:G1731"/>
    <mergeCell ref="A2062:A2064"/>
    <mergeCell ref="B2062:B2064"/>
    <mergeCell ref="C2062:C2064"/>
    <mergeCell ref="D2062:D2064"/>
    <mergeCell ref="E2062:E2064"/>
    <mergeCell ref="G1912:G1916"/>
    <mergeCell ref="C2068:C2072"/>
    <mergeCell ref="G2087:G2088"/>
    <mergeCell ref="C1912:C1916"/>
    <mergeCell ref="C2065:C2067"/>
    <mergeCell ref="A1883:A1885"/>
    <mergeCell ref="B1883:B1885"/>
    <mergeCell ref="B1892:B1894"/>
    <mergeCell ref="C1892:C1894"/>
    <mergeCell ref="G1651:G1652"/>
    <mergeCell ref="G1777:G1779"/>
    <mergeCell ref="G1429:G1430"/>
    <mergeCell ref="B2068:B2072"/>
    <mergeCell ref="A2086:A2088"/>
    <mergeCell ref="B2086:B2088"/>
    <mergeCell ref="G2065:G2067"/>
    <mergeCell ref="G2073:G2074"/>
    <mergeCell ref="F2065:F2067"/>
    <mergeCell ref="D2068:D2072"/>
    <mergeCell ref="A2068:A2072"/>
    <mergeCell ref="A1732:A1735"/>
    <mergeCell ref="B1732:B1735"/>
    <mergeCell ref="C1732:C1735"/>
    <mergeCell ref="D1732:D1735"/>
    <mergeCell ref="E1732:E1735"/>
    <mergeCell ref="F1732:F1735"/>
    <mergeCell ref="A1739:A1742"/>
    <mergeCell ref="A1880:A1882"/>
    <mergeCell ref="B1880:B1882"/>
    <mergeCell ref="A2056:A2058"/>
    <mergeCell ref="B2056:B2058"/>
    <mergeCell ref="C2056:C2058"/>
    <mergeCell ref="D2056:D2058"/>
    <mergeCell ref="E2056:E2058"/>
    <mergeCell ref="F2056:F2058"/>
    <mergeCell ref="B2053:B2055"/>
    <mergeCell ref="C2053:C2055"/>
    <mergeCell ref="D2053:D2055"/>
    <mergeCell ref="E2053:E2055"/>
    <mergeCell ref="F2053:F2055"/>
    <mergeCell ref="D1976:D1978"/>
    <mergeCell ref="E1976:E1978"/>
    <mergeCell ref="F1976:F1978"/>
    <mergeCell ref="A2053:A2055"/>
    <mergeCell ref="D1900:D1903"/>
    <mergeCell ref="E1900:E1903"/>
    <mergeCell ref="F1900:F1903"/>
    <mergeCell ref="B2041:B2043"/>
    <mergeCell ref="C2041:C2043"/>
    <mergeCell ref="D2041:D2043"/>
    <mergeCell ref="E2041:E2043"/>
    <mergeCell ref="F2041:F2043"/>
    <mergeCell ref="A1997:A2007"/>
    <mergeCell ref="B1997:B2007"/>
    <mergeCell ref="C1997:C2007"/>
    <mergeCell ref="D1997:D2007"/>
    <mergeCell ref="E1997:E2007"/>
    <mergeCell ref="F1997:F2007"/>
    <mergeCell ref="D2008:D2030"/>
    <mergeCell ref="E2106:E2110"/>
    <mergeCell ref="F2106:F2110"/>
    <mergeCell ref="D2103:D2105"/>
    <mergeCell ref="E2103:E2105"/>
    <mergeCell ref="F2103:F2105"/>
    <mergeCell ref="G2109:G2110"/>
    <mergeCell ref="G2084:G2085"/>
    <mergeCell ref="G2095:G2096"/>
    <mergeCell ref="E1936:E1938"/>
    <mergeCell ref="F1936:F1938"/>
    <mergeCell ref="G1936:G1938"/>
    <mergeCell ref="D2094:D2098"/>
    <mergeCell ref="D2075:D2079"/>
    <mergeCell ref="D2086:D2088"/>
    <mergeCell ref="D2106:D2110"/>
    <mergeCell ref="D2065:D2067"/>
    <mergeCell ref="G2054:G2055"/>
    <mergeCell ref="G2057:G2058"/>
    <mergeCell ref="G2090:G2091"/>
    <mergeCell ref="G1949:G1950"/>
    <mergeCell ref="G1951:G1952"/>
    <mergeCell ref="G1998:G1999"/>
    <mergeCell ref="G2019:G2020"/>
    <mergeCell ref="G2021:G2022"/>
    <mergeCell ref="G2023:G2024"/>
    <mergeCell ref="G2025:G2026"/>
    <mergeCell ref="G2027:G2028"/>
    <mergeCell ref="G2029:G2030"/>
    <mergeCell ref="E2008:E2030"/>
    <mergeCell ref="F2008:F2030"/>
    <mergeCell ref="G2009:G2010"/>
    <mergeCell ref="G2011:G2012"/>
    <mergeCell ref="C2100:C2102"/>
    <mergeCell ref="D2100:D2102"/>
    <mergeCell ref="E2100:E2102"/>
    <mergeCell ref="F2100:F2102"/>
    <mergeCell ref="B1805:B1809"/>
    <mergeCell ref="C1805:C1809"/>
    <mergeCell ref="D1805:D1809"/>
    <mergeCell ref="E1805:E1809"/>
    <mergeCell ref="F1805:F1809"/>
    <mergeCell ref="A1830:A1833"/>
    <mergeCell ref="E2075:E2079"/>
    <mergeCell ref="F2075:F2079"/>
    <mergeCell ref="G2075:G2079"/>
    <mergeCell ref="C2086:C2088"/>
    <mergeCell ref="G1883:G1885"/>
    <mergeCell ref="A1979:A1981"/>
    <mergeCell ref="B1979:B1981"/>
    <mergeCell ref="C1979:C1981"/>
    <mergeCell ref="D1979:D1981"/>
    <mergeCell ref="E1979:E1981"/>
    <mergeCell ref="F1979:F1981"/>
    <mergeCell ref="G1979:G1981"/>
    <mergeCell ref="E1958:E1964"/>
    <mergeCell ref="F1958:F1964"/>
    <mergeCell ref="D1936:D1938"/>
    <mergeCell ref="F2062:F2064"/>
    <mergeCell ref="A2065:A2067"/>
    <mergeCell ref="B2065:B2067"/>
    <mergeCell ref="B1958:B1964"/>
    <mergeCell ref="C1958:C1964"/>
    <mergeCell ref="G2092:G2093"/>
    <mergeCell ref="E2081:E2085"/>
    <mergeCell ref="A2887:A2891"/>
    <mergeCell ref="B2887:B2891"/>
    <mergeCell ref="C2887:C2891"/>
    <mergeCell ref="G2888:G2891"/>
    <mergeCell ref="A2892:A2894"/>
    <mergeCell ref="A2904:A2906"/>
    <mergeCell ref="G2899:G2900"/>
    <mergeCell ref="A2895:A2897"/>
    <mergeCell ref="B2895:B2897"/>
    <mergeCell ref="C2895:C2897"/>
    <mergeCell ref="D2895:D2897"/>
    <mergeCell ref="E2895:E2897"/>
    <mergeCell ref="A2868:C2868"/>
    <mergeCell ref="G2382:G2384"/>
    <mergeCell ref="A2106:A2110"/>
    <mergeCell ref="B2106:B2110"/>
    <mergeCell ref="C2106:C2110"/>
    <mergeCell ref="D2707:D2709"/>
    <mergeCell ref="E2707:E2709"/>
    <mergeCell ref="G2114:G2115"/>
    <mergeCell ref="A2116:A2117"/>
    <mergeCell ref="C2116:C2117"/>
    <mergeCell ref="D2116:D2117"/>
    <mergeCell ref="E2116:E2117"/>
    <mergeCell ref="B2111:B2112"/>
    <mergeCell ref="C2111:C2112"/>
    <mergeCell ref="D2111:D2112"/>
    <mergeCell ref="G2107:G2108"/>
    <mergeCell ref="G2124:G2125"/>
    <mergeCell ref="G2133:G2135"/>
    <mergeCell ref="E2126:E2127"/>
    <mergeCell ref="E2111:E2112"/>
    <mergeCell ref="A2118:A2120"/>
    <mergeCell ref="A14:A15"/>
    <mergeCell ref="B14:B15"/>
    <mergeCell ref="C14:C15"/>
    <mergeCell ref="D14:D15"/>
    <mergeCell ref="E14:E15"/>
    <mergeCell ref="F14:F15"/>
    <mergeCell ref="G14:G15"/>
    <mergeCell ref="A16:A18"/>
    <mergeCell ref="B16:B18"/>
    <mergeCell ref="C16:C18"/>
    <mergeCell ref="D16:D18"/>
    <mergeCell ref="E16:E18"/>
    <mergeCell ref="F16:F18"/>
    <mergeCell ref="G16:G18"/>
    <mergeCell ref="E1016:E1017"/>
    <mergeCell ref="A1021:A1022"/>
    <mergeCell ref="B1021:B1022"/>
    <mergeCell ref="A990:A991"/>
    <mergeCell ref="A972:A974"/>
    <mergeCell ref="B972:B974"/>
    <mergeCell ref="C972:C974"/>
    <mergeCell ref="D972:D974"/>
    <mergeCell ref="E972:E974"/>
    <mergeCell ref="F972:F974"/>
    <mergeCell ref="G988:G989"/>
    <mergeCell ref="F988:F989"/>
    <mergeCell ref="B990:B991"/>
    <mergeCell ref="A467:A475"/>
    <mergeCell ref="B467:B475"/>
    <mergeCell ref="A2100:A2102"/>
    <mergeCell ref="B2100:B2102"/>
    <mergeCell ref="C932:C933"/>
    <mergeCell ref="A1014:A1015"/>
    <mergeCell ref="B1014:B1015"/>
    <mergeCell ref="C1014:C1015"/>
    <mergeCell ref="D1014:D1015"/>
    <mergeCell ref="E1014:E1015"/>
    <mergeCell ref="F1014:F1015"/>
    <mergeCell ref="G1008:G1009"/>
    <mergeCell ref="G1016:G1017"/>
    <mergeCell ref="F1016:F1017"/>
    <mergeCell ref="G1010:G1011"/>
    <mergeCell ref="A1000:A1001"/>
    <mergeCell ref="A998:A999"/>
    <mergeCell ref="B998:B999"/>
    <mergeCell ref="C998:C999"/>
    <mergeCell ref="A1004:A1005"/>
    <mergeCell ref="B1004:B1005"/>
    <mergeCell ref="C1004:C1005"/>
    <mergeCell ref="D1004:D1005"/>
    <mergeCell ref="E1004:E1005"/>
    <mergeCell ref="F1004:F1005"/>
    <mergeCell ref="G1004:G1005"/>
    <mergeCell ref="F1000:F1001"/>
    <mergeCell ref="B1012:B1013"/>
    <mergeCell ref="B1039:B1041"/>
    <mergeCell ref="A1016:A1017"/>
    <mergeCell ref="B1016:B1017"/>
    <mergeCell ref="C1016:C1017"/>
    <mergeCell ref="A1012:A1013"/>
    <mergeCell ref="F995:F997"/>
    <mergeCell ref="B1000:B1001"/>
    <mergeCell ref="D476:D480"/>
    <mergeCell ref="E1056:E1058"/>
    <mergeCell ref="F1056:F1058"/>
    <mergeCell ref="G1032:G1033"/>
    <mergeCell ref="A1052:A1054"/>
    <mergeCell ref="B1056:B1058"/>
    <mergeCell ref="A1029:A1033"/>
    <mergeCell ref="G1043:G1044"/>
    <mergeCell ref="G1049:G1051"/>
    <mergeCell ref="D1016:D1017"/>
    <mergeCell ref="F1010:F1011"/>
    <mergeCell ref="D1046:D1048"/>
    <mergeCell ref="E1046:E1048"/>
    <mergeCell ref="E1029:E1033"/>
    <mergeCell ref="F1029:F1033"/>
    <mergeCell ref="A862:A864"/>
    <mergeCell ref="B862:B864"/>
    <mergeCell ref="C862:C864"/>
    <mergeCell ref="D862:D864"/>
    <mergeCell ref="E862:E864"/>
    <mergeCell ref="F862:F864"/>
    <mergeCell ref="A877:A886"/>
    <mergeCell ref="B877:B886"/>
    <mergeCell ref="C877:C886"/>
    <mergeCell ref="D877:D886"/>
    <mergeCell ref="A992:A994"/>
    <mergeCell ref="B992:B994"/>
    <mergeCell ref="C992:C994"/>
    <mergeCell ref="D992:D994"/>
    <mergeCell ref="A995:A997"/>
    <mergeCell ref="B995:B997"/>
    <mergeCell ref="E992:E994"/>
    <mergeCell ref="F992:F994"/>
    <mergeCell ref="D998:D999"/>
    <mergeCell ref="C1000:C1001"/>
    <mergeCell ref="D1002:D1003"/>
    <mergeCell ref="G995:G997"/>
    <mergeCell ref="G998:G999"/>
    <mergeCell ref="G1000:G1001"/>
    <mergeCell ref="G1002:G1003"/>
    <mergeCell ref="A1042:A1044"/>
    <mergeCell ref="B1042:B1044"/>
    <mergeCell ref="C1042:C1044"/>
    <mergeCell ref="D1042:D1044"/>
    <mergeCell ref="E1042:E1044"/>
    <mergeCell ref="F1042:F1044"/>
    <mergeCell ref="A1006:A1007"/>
    <mergeCell ref="B1006:B1007"/>
    <mergeCell ref="C1006:C1007"/>
    <mergeCell ref="D1006:D1007"/>
    <mergeCell ref="E1006:E1007"/>
    <mergeCell ref="F1006:F1007"/>
    <mergeCell ref="G1006:G1007"/>
    <mergeCell ref="G1035:G1036"/>
    <mergeCell ref="G1037:G1038"/>
    <mergeCell ref="E1034:E1038"/>
    <mergeCell ref="A1039:A1041"/>
    <mergeCell ref="A976:A977"/>
    <mergeCell ref="B976:B977"/>
    <mergeCell ref="C976:C977"/>
    <mergeCell ref="D976:D977"/>
    <mergeCell ref="E976:E977"/>
    <mergeCell ref="F976:F977"/>
    <mergeCell ref="A978:A980"/>
    <mergeCell ref="B978:B980"/>
    <mergeCell ref="C978:C980"/>
    <mergeCell ref="D978:D980"/>
    <mergeCell ref="E978:E980"/>
    <mergeCell ref="F978:F980"/>
    <mergeCell ref="A988:A989"/>
    <mergeCell ref="B988:B989"/>
    <mergeCell ref="C988:C989"/>
    <mergeCell ref="D988:D989"/>
    <mergeCell ref="E988:E989"/>
    <mergeCell ref="A981:A987"/>
    <mergeCell ref="B981:B987"/>
    <mergeCell ref="C981:C987"/>
    <mergeCell ref="F981:F987"/>
    <mergeCell ref="A969:A971"/>
    <mergeCell ref="B969:B971"/>
    <mergeCell ref="C969:C971"/>
    <mergeCell ref="D969:D971"/>
    <mergeCell ref="E969:E971"/>
    <mergeCell ref="F969:F971"/>
    <mergeCell ref="D964:D965"/>
    <mergeCell ref="E964:E965"/>
    <mergeCell ref="F964:F965"/>
    <mergeCell ref="A966:A968"/>
    <mergeCell ref="B966:B968"/>
    <mergeCell ref="C966:C968"/>
    <mergeCell ref="D966:D968"/>
    <mergeCell ref="E966:E968"/>
    <mergeCell ref="F966:F968"/>
    <mergeCell ref="A964:A965"/>
    <mergeCell ref="B964:B965"/>
    <mergeCell ref="A954:A956"/>
    <mergeCell ref="B954:B956"/>
    <mergeCell ref="C954:C956"/>
    <mergeCell ref="D954:D956"/>
    <mergeCell ref="E954:E956"/>
    <mergeCell ref="F954:F956"/>
    <mergeCell ref="G954:G956"/>
    <mergeCell ref="C949:C953"/>
    <mergeCell ref="D949:D953"/>
    <mergeCell ref="E949:E953"/>
    <mergeCell ref="F949:F953"/>
    <mergeCell ref="G949:G953"/>
    <mergeCell ref="A949:A953"/>
    <mergeCell ref="B949:B953"/>
    <mergeCell ref="B947:B948"/>
    <mergeCell ref="C947:C948"/>
    <mergeCell ref="G962:G963"/>
    <mergeCell ref="E961:E963"/>
    <mergeCell ref="F961:F963"/>
    <mergeCell ref="A940:A941"/>
    <mergeCell ref="B940:B941"/>
    <mergeCell ref="C940:C941"/>
    <mergeCell ref="D940:D941"/>
    <mergeCell ref="E940:E941"/>
    <mergeCell ref="F940:F941"/>
    <mergeCell ref="G940:G941"/>
    <mergeCell ref="D936:D938"/>
    <mergeCell ref="E936:E938"/>
    <mergeCell ref="F936:F938"/>
    <mergeCell ref="G936:G938"/>
    <mergeCell ref="C936:C938"/>
    <mergeCell ref="D942:D943"/>
    <mergeCell ref="E942:E943"/>
    <mergeCell ref="B942:B943"/>
    <mergeCell ref="C942:C943"/>
    <mergeCell ref="G944:G946"/>
    <mergeCell ref="B944:B946"/>
    <mergeCell ref="C944:C946"/>
    <mergeCell ref="D944:D946"/>
    <mergeCell ref="E944:E946"/>
    <mergeCell ref="F944:F946"/>
    <mergeCell ref="C858:C861"/>
    <mergeCell ref="D858:D861"/>
    <mergeCell ref="G858:G861"/>
    <mergeCell ref="A854:A857"/>
    <mergeCell ref="B854:B857"/>
    <mergeCell ref="C854:C857"/>
    <mergeCell ref="D854:D857"/>
    <mergeCell ref="E854:E857"/>
    <mergeCell ref="A858:A861"/>
    <mergeCell ref="B858:B861"/>
    <mergeCell ref="E858:E861"/>
    <mergeCell ref="G668:G669"/>
    <mergeCell ref="F858:F861"/>
    <mergeCell ref="B842:B843"/>
    <mergeCell ref="C842:C843"/>
    <mergeCell ref="C832:C834"/>
    <mergeCell ref="D832:D834"/>
    <mergeCell ref="A790:A792"/>
    <mergeCell ref="G797:G798"/>
    <mergeCell ref="G764:G766"/>
    <mergeCell ref="C783:C784"/>
    <mergeCell ref="D783:D784"/>
    <mergeCell ref="E783:E784"/>
    <mergeCell ref="F783:F784"/>
    <mergeCell ref="G783:G784"/>
    <mergeCell ref="A795:A796"/>
    <mergeCell ref="B795:B796"/>
    <mergeCell ref="C795:C796"/>
    <mergeCell ref="D795:D796"/>
    <mergeCell ref="E795:E796"/>
    <mergeCell ref="A672:A681"/>
    <mergeCell ref="B672:B681"/>
    <mergeCell ref="A608:A610"/>
    <mergeCell ref="B608:B610"/>
    <mergeCell ref="C608:C610"/>
    <mergeCell ref="D608:D610"/>
    <mergeCell ref="E608:E610"/>
    <mergeCell ref="G580:G582"/>
    <mergeCell ref="A585:A589"/>
    <mergeCell ref="B585:B589"/>
    <mergeCell ref="C585:C589"/>
    <mergeCell ref="D585:D589"/>
    <mergeCell ref="E585:E589"/>
    <mergeCell ref="F585:F589"/>
    <mergeCell ref="G586:G587"/>
    <mergeCell ref="G588:G589"/>
    <mergeCell ref="F602:F604"/>
    <mergeCell ref="F542:F551"/>
    <mergeCell ref="C590:C592"/>
    <mergeCell ref="D590:D592"/>
    <mergeCell ref="E590:E592"/>
    <mergeCell ref="F590:F592"/>
    <mergeCell ref="G590:G592"/>
    <mergeCell ref="A571:A573"/>
    <mergeCell ref="B571:B573"/>
    <mergeCell ref="C571:C573"/>
    <mergeCell ref="A593:A595"/>
    <mergeCell ref="B593:B595"/>
    <mergeCell ref="D596:D598"/>
    <mergeCell ref="E596:E598"/>
    <mergeCell ref="G602:G604"/>
    <mergeCell ref="D602:D604"/>
    <mergeCell ref="C566:C570"/>
    <mergeCell ref="D566:D570"/>
    <mergeCell ref="F304:F306"/>
    <mergeCell ref="G304:G306"/>
    <mergeCell ref="B324:B336"/>
    <mergeCell ref="C324:C336"/>
    <mergeCell ref="C321:C323"/>
    <mergeCell ref="A315:A317"/>
    <mergeCell ref="E315:E317"/>
    <mergeCell ref="E493:E494"/>
    <mergeCell ref="F493:F494"/>
    <mergeCell ref="F430:F436"/>
    <mergeCell ref="A446:A454"/>
    <mergeCell ref="D446:D454"/>
    <mergeCell ref="E417:E420"/>
    <mergeCell ref="G413:G416"/>
    <mergeCell ref="E446:E454"/>
    <mergeCell ref="F446:F454"/>
    <mergeCell ref="G438:G439"/>
    <mergeCell ref="D425:D429"/>
    <mergeCell ref="E425:E429"/>
    <mergeCell ref="C421:C424"/>
    <mergeCell ref="D421:D424"/>
    <mergeCell ref="F437:F445"/>
    <mergeCell ref="G426:G427"/>
    <mergeCell ref="A455:A461"/>
    <mergeCell ref="B455:B461"/>
    <mergeCell ref="G431:G433"/>
    <mergeCell ref="E462:E464"/>
    <mergeCell ref="F462:F464"/>
    <mergeCell ref="A481:A483"/>
    <mergeCell ref="A484:A492"/>
    <mergeCell ref="G485:G486"/>
    <mergeCell ref="G487:G488"/>
    <mergeCell ref="A240:A242"/>
    <mergeCell ref="B240:B242"/>
    <mergeCell ref="C240:C242"/>
    <mergeCell ref="D240:D242"/>
    <mergeCell ref="A189:A190"/>
    <mergeCell ref="B189:B190"/>
    <mergeCell ref="C189:C190"/>
    <mergeCell ref="D189:D190"/>
    <mergeCell ref="E189:E190"/>
    <mergeCell ref="F189:F190"/>
    <mergeCell ref="D220:D230"/>
    <mergeCell ref="E220:E230"/>
    <mergeCell ref="F220:F230"/>
    <mergeCell ref="A220:A230"/>
    <mergeCell ref="G325:G327"/>
    <mergeCell ref="G328:G330"/>
    <mergeCell ref="G331:G333"/>
    <mergeCell ref="A301:A303"/>
    <mergeCell ref="B301:B303"/>
    <mergeCell ref="C301:C303"/>
    <mergeCell ref="D301:D303"/>
    <mergeCell ref="E301:E303"/>
    <mergeCell ref="F301:F303"/>
    <mergeCell ref="G301:G303"/>
    <mergeCell ref="D321:D323"/>
    <mergeCell ref="E321:E323"/>
    <mergeCell ref="F311:F314"/>
    <mergeCell ref="F321:F323"/>
    <mergeCell ref="B318:B320"/>
    <mergeCell ref="C318:C320"/>
    <mergeCell ref="D318:D320"/>
    <mergeCell ref="E318:E320"/>
    <mergeCell ref="A196:A198"/>
    <mergeCell ref="A199:A208"/>
    <mergeCell ref="B199:B208"/>
    <mergeCell ref="C199:C208"/>
    <mergeCell ref="G178:G180"/>
    <mergeCell ref="G163:G164"/>
    <mergeCell ref="G187:G188"/>
    <mergeCell ref="A155:A157"/>
    <mergeCell ref="B155:B157"/>
    <mergeCell ref="C155:C157"/>
    <mergeCell ref="D155:D157"/>
    <mergeCell ref="G159:G160"/>
    <mergeCell ref="E158:E166"/>
    <mergeCell ref="F158:F166"/>
    <mergeCell ref="A187:A188"/>
    <mergeCell ref="D178:D180"/>
    <mergeCell ref="E178:E180"/>
    <mergeCell ref="F178:F180"/>
    <mergeCell ref="D169:D172"/>
    <mergeCell ref="G203:G205"/>
    <mergeCell ref="G206:G208"/>
    <mergeCell ref="C196:C198"/>
    <mergeCell ref="D196:D198"/>
    <mergeCell ref="E196:E198"/>
    <mergeCell ref="F196:F198"/>
    <mergeCell ref="E187:E188"/>
    <mergeCell ref="A173:A177"/>
    <mergeCell ref="B173:B177"/>
    <mergeCell ref="C173:C177"/>
    <mergeCell ref="D173:D177"/>
    <mergeCell ref="E173:E177"/>
    <mergeCell ref="F173:F177"/>
    <mergeCell ref="C133:C151"/>
    <mergeCell ref="D133:D151"/>
    <mergeCell ref="E133:E151"/>
    <mergeCell ref="F133:F151"/>
    <mergeCell ref="G143:G145"/>
    <mergeCell ref="G146:G148"/>
    <mergeCell ref="G134:G136"/>
    <mergeCell ref="D47:D51"/>
    <mergeCell ref="E47:E51"/>
    <mergeCell ref="A120:A132"/>
    <mergeCell ref="B120:B132"/>
    <mergeCell ref="C120:C132"/>
    <mergeCell ref="D120:D132"/>
    <mergeCell ref="E120:E132"/>
    <mergeCell ref="F120:F132"/>
    <mergeCell ref="G121:G123"/>
    <mergeCell ref="G124:G126"/>
    <mergeCell ref="G127:G129"/>
    <mergeCell ref="G130:G132"/>
    <mergeCell ref="A69:A70"/>
    <mergeCell ref="B69:B70"/>
    <mergeCell ref="C69:C70"/>
    <mergeCell ref="D69:D70"/>
    <mergeCell ref="E69:E70"/>
    <mergeCell ref="F69:F70"/>
    <mergeCell ref="D52:D54"/>
    <mergeCell ref="C52:C54"/>
    <mergeCell ref="F52:F54"/>
    <mergeCell ref="B60:B62"/>
    <mergeCell ref="A64:A66"/>
    <mergeCell ref="A101:A119"/>
    <mergeCell ref="G72:G74"/>
    <mergeCell ref="C26:C28"/>
    <mergeCell ref="D26:D28"/>
    <mergeCell ref="E26:E28"/>
    <mergeCell ref="F26:F28"/>
    <mergeCell ref="G26:G28"/>
    <mergeCell ref="A32:A33"/>
    <mergeCell ref="B32:B33"/>
    <mergeCell ref="C32:C33"/>
    <mergeCell ref="D32:D33"/>
    <mergeCell ref="E32:E33"/>
    <mergeCell ref="F32:F33"/>
    <mergeCell ref="A34:A35"/>
    <mergeCell ref="B34:B35"/>
    <mergeCell ref="C34:C35"/>
    <mergeCell ref="A55:A59"/>
    <mergeCell ref="B55:B59"/>
    <mergeCell ref="C55:C59"/>
    <mergeCell ref="D55:D59"/>
    <mergeCell ref="E55:E59"/>
    <mergeCell ref="F55:F59"/>
    <mergeCell ref="G56:G57"/>
    <mergeCell ref="G58:G59"/>
    <mergeCell ref="A44:A45"/>
    <mergeCell ref="B44:B45"/>
    <mergeCell ref="C44:C45"/>
    <mergeCell ref="D44:D45"/>
    <mergeCell ref="E44:E45"/>
    <mergeCell ref="F44:F45"/>
    <mergeCell ref="G44:G45"/>
    <mergeCell ref="B52:B54"/>
    <mergeCell ref="B47:B51"/>
    <mergeCell ref="C47:C51"/>
    <mergeCell ref="A3025:A3027"/>
    <mergeCell ref="B3025:B3027"/>
    <mergeCell ref="C3025:C3027"/>
    <mergeCell ref="D3025:D3027"/>
    <mergeCell ref="G2701:G2703"/>
    <mergeCell ref="E2561:E2567"/>
    <mergeCell ref="F2654:F2656"/>
    <mergeCell ref="A2695:A2697"/>
    <mergeCell ref="B2754:B2756"/>
    <mergeCell ref="C2754:C2756"/>
    <mergeCell ref="D2754:D2756"/>
    <mergeCell ref="B2707:B2709"/>
    <mergeCell ref="C2707:C2709"/>
    <mergeCell ref="D721:D723"/>
    <mergeCell ref="E721:E723"/>
    <mergeCell ref="C724:C726"/>
    <mergeCell ref="D2932:D2938"/>
    <mergeCell ref="E2932:E2938"/>
    <mergeCell ref="F2932:F2938"/>
    <mergeCell ref="D1029:D1033"/>
    <mergeCell ref="G2606:G2608"/>
    <mergeCell ref="A2612:A2614"/>
    <mergeCell ref="B2612:B2614"/>
    <mergeCell ref="G2612:G2614"/>
    <mergeCell ref="B2615:B2617"/>
    <mergeCell ref="G2754:G2756"/>
    <mergeCell ref="A2737:A2739"/>
    <mergeCell ref="B2737:B2739"/>
    <mergeCell ref="C2737:C2739"/>
    <mergeCell ref="D2737:D2739"/>
    <mergeCell ref="D2809:D2811"/>
    <mergeCell ref="E2809:E2811"/>
    <mergeCell ref="E2928:E2930"/>
    <mergeCell ref="F2928:F2930"/>
    <mergeCell ref="A2841:A2843"/>
    <mergeCell ref="B2841:B2843"/>
    <mergeCell ref="C2841:C2843"/>
    <mergeCell ref="D2841:D2843"/>
    <mergeCell ref="E2841:E2843"/>
    <mergeCell ref="A2772:A2778"/>
    <mergeCell ref="B2772:B2778"/>
    <mergeCell ref="C2772:C2778"/>
    <mergeCell ref="D2772:D2778"/>
    <mergeCell ref="E2772:E2778"/>
    <mergeCell ref="F2841:F2843"/>
    <mergeCell ref="G2841:G2843"/>
    <mergeCell ref="A2754:A2756"/>
    <mergeCell ref="A2815:A2817"/>
    <mergeCell ref="B2815:B2817"/>
    <mergeCell ref="E2884:E2886"/>
    <mergeCell ref="F2884:F2886"/>
    <mergeCell ref="G2884:G2886"/>
    <mergeCell ref="F2910:F2912"/>
    <mergeCell ref="G2910:G2912"/>
    <mergeCell ref="A2913:A2915"/>
    <mergeCell ref="B2913:B2915"/>
    <mergeCell ref="C2913:C2915"/>
    <mergeCell ref="G48:G49"/>
    <mergeCell ref="G50:G51"/>
    <mergeCell ref="G2386:G2388"/>
    <mergeCell ref="G447:G448"/>
    <mergeCell ref="G449:G450"/>
    <mergeCell ref="F2707:F2709"/>
    <mergeCell ref="G2707:G2709"/>
    <mergeCell ref="A2710:A2712"/>
    <mergeCell ref="G2424:G2425"/>
    <mergeCell ref="A2580:A2594"/>
    <mergeCell ref="B2580:B2594"/>
    <mergeCell ref="C2580:C2594"/>
    <mergeCell ref="D2580:D2594"/>
    <mergeCell ref="E2580:E2594"/>
    <mergeCell ref="F2580:F2594"/>
    <mergeCell ref="G2581:G2582"/>
    <mergeCell ref="G2583:G2584"/>
    <mergeCell ref="G2585:G2586"/>
    <mergeCell ref="G2587:G2588"/>
    <mergeCell ref="C96:C100"/>
    <mergeCell ref="D96:D100"/>
    <mergeCell ref="B2654:B2656"/>
    <mergeCell ref="C2654:C2656"/>
    <mergeCell ref="D2654:D2656"/>
    <mergeCell ref="B2695:B2697"/>
    <mergeCell ref="C2695:C2697"/>
    <mergeCell ref="B2704:B2706"/>
    <mergeCell ref="C2627:C2629"/>
    <mergeCell ref="C2648:C2650"/>
    <mergeCell ref="G2684:G2685"/>
    <mergeCell ref="G75:G77"/>
    <mergeCell ref="G79:G81"/>
    <mergeCell ref="G297:G298"/>
    <mergeCell ref="G299:G300"/>
    <mergeCell ref="G624:G626"/>
    <mergeCell ref="G627:G629"/>
    <mergeCell ref="G982:G987"/>
    <mergeCell ref="G1179:G1180"/>
    <mergeCell ref="G2394:G2395"/>
    <mergeCell ref="G1250:G1251"/>
    <mergeCell ref="G1253:G1254"/>
    <mergeCell ref="G1255:G1256"/>
    <mergeCell ref="G835:G837"/>
    <mergeCell ref="G1672:G1673"/>
    <mergeCell ref="G639:G641"/>
    <mergeCell ref="G137:G139"/>
    <mergeCell ref="G140:G142"/>
    <mergeCell ref="G1512:G1515"/>
    <mergeCell ref="G1554:G1555"/>
    <mergeCell ref="G1598:G1600"/>
    <mergeCell ref="G1816:G1817"/>
    <mergeCell ref="G170:G172"/>
    <mergeCell ref="G152:G154"/>
    <mergeCell ref="G174:G175"/>
    <mergeCell ref="G176:G177"/>
    <mergeCell ref="G334:G336"/>
    <mergeCell ref="G489:G490"/>
    <mergeCell ref="G456:G457"/>
    <mergeCell ref="G664:G665"/>
    <mergeCell ref="G942:G943"/>
    <mergeCell ref="G993:G994"/>
    <mergeCell ref="G2082:G2083"/>
    <mergeCell ref="G1412:G1413"/>
    <mergeCell ref="G1414:G1415"/>
    <mergeCell ref="G2618:G2620"/>
    <mergeCell ref="E2612:E2614"/>
    <mergeCell ref="F2612:F2614"/>
    <mergeCell ref="A2621:A2623"/>
    <mergeCell ref="B2621:B2623"/>
    <mergeCell ref="C2621:C2623"/>
    <mergeCell ref="D2621:D2623"/>
    <mergeCell ref="E2621:E2623"/>
    <mergeCell ref="F2621:F2623"/>
    <mergeCell ref="B2248:B2251"/>
    <mergeCell ref="C2248:C2251"/>
    <mergeCell ref="E2596:E2600"/>
    <mergeCell ref="D2180:D2182"/>
    <mergeCell ref="E2180:E2182"/>
    <mergeCell ref="F2180:F2182"/>
    <mergeCell ref="A2220:A2222"/>
    <mergeCell ref="A2230:A2236"/>
    <mergeCell ref="B2230:B2236"/>
    <mergeCell ref="C2230:C2236"/>
    <mergeCell ref="D2230:D2236"/>
    <mergeCell ref="E2230:E2236"/>
    <mergeCell ref="A2228:A2229"/>
    <mergeCell ref="A2195:A2199"/>
    <mergeCell ref="F2195:F2199"/>
    <mergeCell ref="C2195:C2199"/>
    <mergeCell ref="A2606:A2608"/>
    <mergeCell ref="B2606:B2608"/>
    <mergeCell ref="C2606:C2608"/>
    <mergeCell ref="D2606:D2608"/>
    <mergeCell ref="E2606:E2608"/>
    <mergeCell ref="F2606:F2608"/>
    <mergeCell ref="F2187:F2191"/>
    <mergeCell ref="D2195:D2199"/>
    <mergeCell ref="G2201:G2202"/>
    <mergeCell ref="A2237:A2243"/>
    <mergeCell ref="B2180:B2182"/>
    <mergeCell ref="A2173:A2174"/>
    <mergeCell ref="B2173:B2174"/>
    <mergeCell ref="C2173:C2174"/>
    <mergeCell ref="D2173:D2174"/>
    <mergeCell ref="E2173:E2174"/>
    <mergeCell ref="F2173:F2174"/>
    <mergeCell ref="A2184:A2186"/>
    <mergeCell ref="B2184:B2186"/>
    <mergeCell ref="C2184:C2186"/>
    <mergeCell ref="D2184:D2186"/>
    <mergeCell ref="F2116:F2117"/>
    <mergeCell ref="C2118:C2120"/>
    <mergeCell ref="D2118:D2120"/>
    <mergeCell ref="E2118:E2120"/>
    <mergeCell ref="F2118:F2120"/>
    <mergeCell ref="B2118:B2120"/>
    <mergeCell ref="F2169:F2170"/>
    <mergeCell ref="D2177:D2179"/>
    <mergeCell ref="E2177:E2179"/>
    <mergeCell ref="F2177:F2179"/>
    <mergeCell ref="B2145:B2147"/>
    <mergeCell ref="C2145:C2147"/>
    <mergeCell ref="D2145:D2147"/>
    <mergeCell ref="E2145:E2147"/>
    <mergeCell ref="F2145:F2147"/>
    <mergeCell ref="A2139:A2141"/>
    <mergeCell ref="B2139:B2141"/>
    <mergeCell ref="C2139:C2141"/>
    <mergeCell ref="A1523:A1529"/>
    <mergeCell ref="A1554:A1555"/>
    <mergeCell ref="A1509:A1515"/>
    <mergeCell ref="B1509:B1515"/>
    <mergeCell ref="G1556:G1558"/>
    <mergeCell ref="G1719:G1720"/>
    <mergeCell ref="A1712:A1720"/>
    <mergeCell ref="A2273:A2276"/>
    <mergeCell ref="B2273:B2276"/>
    <mergeCell ref="C2273:C2276"/>
    <mergeCell ref="G2329:G2330"/>
    <mergeCell ref="G2331:G2332"/>
    <mergeCell ref="G2240:G2241"/>
    <mergeCell ref="A2248:A2251"/>
    <mergeCell ref="F2224:F2225"/>
    <mergeCell ref="D2224:D2225"/>
    <mergeCell ref="A2163:A2165"/>
    <mergeCell ref="A2192:A2193"/>
    <mergeCell ref="F2163:F2165"/>
    <mergeCell ref="A2171:A2172"/>
    <mergeCell ref="B2171:B2172"/>
    <mergeCell ref="C2171:C2172"/>
    <mergeCell ref="D2171:D2172"/>
    <mergeCell ref="G2238:G2239"/>
    <mergeCell ref="E2269:E2272"/>
    <mergeCell ref="D2259:D2268"/>
    <mergeCell ref="G2211:G2215"/>
    <mergeCell ref="G2235:G2236"/>
    <mergeCell ref="G2231:G2232"/>
    <mergeCell ref="G2198:G2199"/>
    <mergeCell ref="G2196:G2197"/>
    <mergeCell ref="D2281:D2287"/>
    <mergeCell ref="G1717:G1718"/>
    <mergeCell ref="A1743:A1751"/>
    <mergeCell ref="B1743:B1751"/>
    <mergeCell ref="C1743:C1751"/>
    <mergeCell ref="D1743:D1751"/>
    <mergeCell ref="E1743:E1751"/>
    <mergeCell ref="B1551:B1553"/>
    <mergeCell ref="C1551:C1553"/>
    <mergeCell ref="D1551:D1553"/>
    <mergeCell ref="E1551:E1553"/>
    <mergeCell ref="F1551:F1553"/>
    <mergeCell ref="G1551:G1553"/>
    <mergeCell ref="A1736:A1738"/>
    <mergeCell ref="A1721:A1723"/>
    <mergeCell ref="A1724:A1726"/>
    <mergeCell ref="B1736:B1738"/>
    <mergeCell ref="C1736:C1738"/>
    <mergeCell ref="B1567:B1569"/>
    <mergeCell ref="B1739:B1742"/>
    <mergeCell ref="C1739:C1742"/>
    <mergeCell ref="D1739:D1742"/>
    <mergeCell ref="E1739:E1742"/>
    <mergeCell ref="F1739:F1742"/>
    <mergeCell ref="B835:B837"/>
    <mergeCell ref="D932:D933"/>
    <mergeCell ref="A874:A876"/>
    <mergeCell ref="B887:B888"/>
    <mergeCell ref="C887:C888"/>
    <mergeCell ref="A932:A933"/>
    <mergeCell ref="B932:B933"/>
    <mergeCell ref="B1724:B1726"/>
    <mergeCell ref="C1724:C1726"/>
    <mergeCell ref="B1034:B1038"/>
    <mergeCell ref="C1034:C1038"/>
    <mergeCell ref="A1046:A1048"/>
    <mergeCell ref="B1046:B1048"/>
    <mergeCell ref="C1046:C1048"/>
    <mergeCell ref="A871:A873"/>
    <mergeCell ref="B871:B873"/>
    <mergeCell ref="B1688:B1690"/>
    <mergeCell ref="A1674:A1676"/>
    <mergeCell ref="B1674:B1676"/>
    <mergeCell ref="A1691:A1693"/>
    <mergeCell ref="B1691:B1693"/>
    <mergeCell ref="A1064:A1066"/>
    <mergeCell ref="B1064:B1066"/>
    <mergeCell ref="A1340:A1348"/>
    <mergeCell ref="A1481:A1487"/>
    <mergeCell ref="B1481:B1487"/>
    <mergeCell ref="C1481:C1487"/>
    <mergeCell ref="A1464:A1467"/>
    <mergeCell ref="A1704:A1706"/>
    <mergeCell ref="B1704:B1706"/>
    <mergeCell ref="C1704:C1706"/>
    <mergeCell ref="D1704:D1706"/>
    <mergeCell ref="A1309:A1312"/>
    <mergeCell ref="B1309:B1312"/>
    <mergeCell ref="C1309:C1312"/>
    <mergeCell ref="D1309:D1312"/>
    <mergeCell ref="E1309:E1312"/>
    <mergeCell ref="A1313:A1320"/>
    <mergeCell ref="B1313:B1320"/>
    <mergeCell ref="C1313:C1320"/>
    <mergeCell ref="E1674:E1676"/>
    <mergeCell ref="E1554:E1555"/>
    <mergeCell ref="A1556:A1558"/>
    <mergeCell ref="B1556:B1558"/>
    <mergeCell ref="C1556:C1558"/>
    <mergeCell ref="D1556:D1558"/>
    <mergeCell ref="E1556:E1558"/>
    <mergeCell ref="A1502:A1508"/>
    <mergeCell ref="B1502:B1508"/>
    <mergeCell ref="E1577:E1583"/>
    <mergeCell ref="D1530:D1531"/>
    <mergeCell ref="E1530:E1531"/>
    <mergeCell ref="A1627:A1629"/>
    <mergeCell ref="E1588:E1594"/>
    <mergeCell ref="C1340:C1348"/>
    <mergeCell ref="D1471:D1474"/>
    <mergeCell ref="D1468:D1470"/>
    <mergeCell ref="E1468:E1470"/>
    <mergeCell ref="A1468:A1470"/>
    <mergeCell ref="A1567:A1569"/>
    <mergeCell ref="A1538:A1540"/>
    <mergeCell ref="D1313:D1320"/>
    <mergeCell ref="A1478:A1480"/>
    <mergeCell ref="B1478:B1480"/>
    <mergeCell ref="A1059:A1063"/>
    <mergeCell ref="B1059:B1063"/>
    <mergeCell ref="C1059:C1063"/>
    <mergeCell ref="D1059:D1063"/>
    <mergeCell ref="E1059:E1063"/>
    <mergeCell ref="G1067:G1069"/>
    <mergeCell ref="A1148:A1150"/>
    <mergeCell ref="B1148:B1150"/>
    <mergeCell ref="C1148:C1150"/>
    <mergeCell ref="D1148:D1150"/>
    <mergeCell ref="G1257:G1258"/>
    <mergeCell ref="G1343:G1344"/>
    <mergeCell ref="G1345:G1346"/>
    <mergeCell ref="G1347:G1348"/>
    <mergeCell ref="F1309:F1312"/>
    <mergeCell ref="F932:F933"/>
    <mergeCell ref="A1233:A1235"/>
    <mergeCell ref="B1233:B1235"/>
    <mergeCell ref="C1233:C1235"/>
    <mergeCell ref="C958:C960"/>
    <mergeCell ref="D958:D960"/>
    <mergeCell ref="E958:E960"/>
    <mergeCell ref="F958:F960"/>
    <mergeCell ref="F1223:F1225"/>
    <mergeCell ref="D1223:D1225"/>
    <mergeCell ref="D1269:D1271"/>
    <mergeCell ref="E1269:E1271"/>
    <mergeCell ref="A1287:A1288"/>
    <mergeCell ref="B1287:B1288"/>
    <mergeCell ref="A1282:A1284"/>
    <mergeCell ref="E1292:E1295"/>
    <mergeCell ref="B1340:B1348"/>
    <mergeCell ref="D630:D632"/>
    <mergeCell ref="G630:G632"/>
    <mergeCell ref="F730:F732"/>
    <mergeCell ref="A787:A789"/>
    <mergeCell ref="A825:A828"/>
    <mergeCell ref="B825:B828"/>
    <mergeCell ref="D724:D726"/>
    <mergeCell ref="F721:F723"/>
    <mergeCell ref="A755:A757"/>
    <mergeCell ref="B755:B757"/>
    <mergeCell ref="C755:C757"/>
    <mergeCell ref="D755:D757"/>
    <mergeCell ref="E755:E757"/>
    <mergeCell ref="F755:F757"/>
    <mergeCell ref="A783:A784"/>
    <mergeCell ref="B783:B784"/>
    <mergeCell ref="A730:A732"/>
    <mergeCell ref="F799:F817"/>
    <mergeCell ref="E825:E828"/>
    <mergeCell ref="E733:E741"/>
    <mergeCell ref="F733:F741"/>
    <mergeCell ref="F790:F792"/>
    <mergeCell ref="A821:A824"/>
    <mergeCell ref="B821:B824"/>
    <mergeCell ref="A636:A638"/>
    <mergeCell ref="B636:B638"/>
    <mergeCell ref="C636:C638"/>
    <mergeCell ref="D636:D638"/>
    <mergeCell ref="E636:E638"/>
    <mergeCell ref="F636:F638"/>
    <mergeCell ref="F663:F671"/>
    <mergeCell ref="G682:G685"/>
    <mergeCell ref="B614:B629"/>
    <mergeCell ref="C614:C629"/>
    <mergeCell ref="D614:D629"/>
    <mergeCell ref="E614:E629"/>
    <mergeCell ref="F614:F629"/>
    <mergeCell ref="G615:G617"/>
    <mergeCell ref="G618:G620"/>
    <mergeCell ref="G621:G623"/>
    <mergeCell ref="E835:E837"/>
    <mergeCell ref="F835:F837"/>
    <mergeCell ref="F745:F749"/>
    <mergeCell ref="E698:E700"/>
    <mergeCell ref="F698:F700"/>
    <mergeCell ref="G698:G700"/>
    <mergeCell ref="A701:A703"/>
    <mergeCell ref="B701:B703"/>
    <mergeCell ref="C701:C703"/>
    <mergeCell ref="D701:D703"/>
    <mergeCell ref="E701:E703"/>
    <mergeCell ref="F701:F703"/>
    <mergeCell ref="G701:G703"/>
    <mergeCell ref="G825:G828"/>
    <mergeCell ref="C825:C828"/>
    <mergeCell ref="A835:A837"/>
    <mergeCell ref="C835:C837"/>
    <mergeCell ref="D825:D828"/>
    <mergeCell ref="A630:A632"/>
    <mergeCell ref="B630:B632"/>
    <mergeCell ref="A658:A662"/>
    <mergeCell ref="A832:A834"/>
    <mergeCell ref="B733:B741"/>
    <mergeCell ref="C630:C632"/>
    <mergeCell ref="C593:C595"/>
    <mergeCell ref="D593:D595"/>
    <mergeCell ref="E593:E595"/>
    <mergeCell ref="F593:F595"/>
    <mergeCell ref="A465:A466"/>
    <mergeCell ref="D362:D363"/>
    <mergeCell ref="E362:E363"/>
    <mergeCell ref="F362:F363"/>
    <mergeCell ref="A403:A405"/>
    <mergeCell ref="A417:A420"/>
    <mergeCell ref="B417:B420"/>
    <mergeCell ref="C455:C461"/>
    <mergeCell ref="D455:D461"/>
    <mergeCell ref="A493:A494"/>
    <mergeCell ref="B493:B494"/>
    <mergeCell ref="C493:C494"/>
    <mergeCell ref="E527:E531"/>
    <mergeCell ref="A364:A365"/>
    <mergeCell ref="E364:E365"/>
    <mergeCell ref="F364:F365"/>
    <mergeCell ref="B527:B531"/>
    <mergeCell ref="C527:C531"/>
    <mergeCell ref="D527:D531"/>
    <mergeCell ref="F498:F507"/>
    <mergeCell ref="D571:D573"/>
    <mergeCell ref="E571:E573"/>
    <mergeCell ref="F571:F573"/>
    <mergeCell ref="A566:A570"/>
    <mergeCell ref="B566:B570"/>
    <mergeCell ref="F337:F358"/>
    <mergeCell ref="A520:A526"/>
    <mergeCell ref="B520:B526"/>
    <mergeCell ref="C520:C526"/>
    <mergeCell ref="D520:D526"/>
    <mergeCell ref="E520:E526"/>
    <mergeCell ref="F520:F526"/>
    <mergeCell ref="A388:A390"/>
    <mergeCell ref="B388:B390"/>
    <mergeCell ref="C388:C390"/>
    <mergeCell ref="E366:E369"/>
    <mergeCell ref="F366:F369"/>
    <mergeCell ref="A372:A374"/>
    <mergeCell ref="B372:B374"/>
    <mergeCell ref="C372:C374"/>
    <mergeCell ref="A360:A361"/>
    <mergeCell ref="B360:B361"/>
    <mergeCell ref="C360:C361"/>
    <mergeCell ref="D360:D361"/>
    <mergeCell ref="E360:E361"/>
    <mergeCell ref="F360:F361"/>
    <mergeCell ref="C400:C402"/>
    <mergeCell ref="A498:A507"/>
    <mergeCell ref="B498:B507"/>
    <mergeCell ref="C498:C507"/>
    <mergeCell ref="D498:D507"/>
    <mergeCell ref="E498:E507"/>
    <mergeCell ref="G521:G522"/>
    <mergeCell ref="G523:G526"/>
    <mergeCell ref="A560:A562"/>
    <mergeCell ref="B560:B562"/>
    <mergeCell ref="C560:C562"/>
    <mergeCell ref="D560:D562"/>
    <mergeCell ref="E560:E562"/>
    <mergeCell ref="F560:F562"/>
    <mergeCell ref="G560:G562"/>
    <mergeCell ref="A557:A559"/>
    <mergeCell ref="C557:C559"/>
    <mergeCell ref="D557:D559"/>
    <mergeCell ref="G557:G559"/>
    <mergeCell ref="A552:A556"/>
    <mergeCell ref="B552:B556"/>
    <mergeCell ref="C552:C556"/>
    <mergeCell ref="D552:D556"/>
    <mergeCell ref="E552:E556"/>
    <mergeCell ref="G553:G554"/>
    <mergeCell ref="D493:D494"/>
    <mergeCell ref="A437:A445"/>
    <mergeCell ref="B437:B445"/>
    <mergeCell ref="F527:F531"/>
    <mergeCell ref="C517:C519"/>
    <mergeCell ref="G543:G545"/>
    <mergeCell ref="G546:G548"/>
    <mergeCell ref="C60:C62"/>
    <mergeCell ref="B169:B172"/>
    <mergeCell ref="C169:C172"/>
    <mergeCell ref="G184:G186"/>
    <mergeCell ref="A78:A84"/>
    <mergeCell ref="A60:A62"/>
    <mergeCell ref="G97:G98"/>
    <mergeCell ref="G99:G100"/>
    <mergeCell ref="G102:G104"/>
    <mergeCell ref="D101:D119"/>
    <mergeCell ref="D181:D183"/>
    <mergeCell ref="E181:E183"/>
    <mergeCell ref="F181:F183"/>
    <mergeCell ref="G181:G183"/>
    <mergeCell ref="E169:E172"/>
    <mergeCell ref="F169:F172"/>
    <mergeCell ref="E96:E100"/>
    <mergeCell ref="G155:G157"/>
    <mergeCell ref="G91:G93"/>
    <mergeCell ref="A152:A154"/>
    <mergeCell ref="B152:B154"/>
    <mergeCell ref="A158:A166"/>
    <mergeCell ref="B158:B166"/>
    <mergeCell ref="C158:C166"/>
    <mergeCell ref="D158:D166"/>
    <mergeCell ref="A96:A100"/>
    <mergeCell ref="B96:B100"/>
    <mergeCell ref="G105:G107"/>
    <mergeCell ref="G108:G110"/>
    <mergeCell ref="G111:G113"/>
    <mergeCell ref="G114:G116"/>
    <mergeCell ref="G117:G119"/>
    <mergeCell ref="A1:K1"/>
    <mergeCell ref="C3029:K3029"/>
    <mergeCell ref="G3025:G3027"/>
    <mergeCell ref="G52:G54"/>
    <mergeCell ref="E52:E54"/>
    <mergeCell ref="A52:A54"/>
    <mergeCell ref="A366:A369"/>
    <mergeCell ref="B366:B369"/>
    <mergeCell ref="C366:C369"/>
    <mergeCell ref="F1114:F1116"/>
    <mergeCell ref="G1088:G1090"/>
    <mergeCell ref="E1088:E1090"/>
    <mergeCell ref="G1114:G1116"/>
    <mergeCell ref="E1039:E1041"/>
    <mergeCell ref="F1039:F1041"/>
    <mergeCell ref="G1040:G1041"/>
    <mergeCell ref="G1081:G1083"/>
    <mergeCell ref="F1088:F1090"/>
    <mergeCell ref="E1052:E1054"/>
    <mergeCell ref="D1052:D1054"/>
    <mergeCell ref="G1724:G1726"/>
    <mergeCell ref="B1570:B1576"/>
    <mergeCell ref="A1651:A1652"/>
    <mergeCell ref="A391:A394"/>
    <mergeCell ref="G266:G267"/>
    <mergeCell ref="G268:G269"/>
    <mergeCell ref="F60:F62"/>
    <mergeCell ref="A184:A186"/>
    <mergeCell ref="B184:B186"/>
    <mergeCell ref="C184:C186"/>
    <mergeCell ref="A1456:A1459"/>
    <mergeCell ref="A1460:A1463"/>
    <mergeCell ref="B1262:B1268"/>
    <mergeCell ref="C3030:K3030"/>
    <mergeCell ref="B2224:B2225"/>
    <mergeCell ref="E2390:E2391"/>
    <mergeCell ref="F2390:F2391"/>
    <mergeCell ref="G2390:G2391"/>
    <mergeCell ref="B2349:B2351"/>
    <mergeCell ref="C2349:C2351"/>
    <mergeCell ref="A2390:A2391"/>
    <mergeCell ref="B2390:B2391"/>
    <mergeCell ref="B2195:B2199"/>
    <mergeCell ref="A2349:A2351"/>
    <mergeCell ref="C2390:C2391"/>
    <mergeCell ref="D2390:D2391"/>
    <mergeCell ref="G2203:G2204"/>
    <mergeCell ref="F2349:F2351"/>
    <mergeCell ref="A2601:A2605"/>
    <mergeCell ref="B2601:B2605"/>
    <mergeCell ref="C2601:C2605"/>
    <mergeCell ref="D2601:D2605"/>
    <mergeCell ref="E2601:E2605"/>
    <mergeCell ref="F2601:F2605"/>
    <mergeCell ref="G2601:G2605"/>
    <mergeCell ref="A2624:A2626"/>
    <mergeCell ref="B1488:B1495"/>
    <mergeCell ref="C1488:C1495"/>
    <mergeCell ref="C2226:C2227"/>
    <mergeCell ref="F2226:F2227"/>
    <mergeCell ref="D1488:D1495"/>
    <mergeCell ref="E1488:E1495"/>
    <mergeCell ref="E1478:E1480"/>
    <mergeCell ref="D1464:D1467"/>
    <mergeCell ref="F1437:F1445"/>
    <mergeCell ref="B1456:B1459"/>
    <mergeCell ref="B1424:B1427"/>
    <mergeCell ref="E1437:E1445"/>
    <mergeCell ref="F1478:F1480"/>
    <mergeCell ref="G1239:G1240"/>
    <mergeCell ref="E1481:E1487"/>
    <mergeCell ref="F1481:F1487"/>
    <mergeCell ref="A1488:A1495"/>
    <mergeCell ref="A1114:A1116"/>
    <mergeCell ref="A1056:A1058"/>
    <mergeCell ref="G1084:G1086"/>
    <mergeCell ref="C1073:C1077"/>
    <mergeCell ref="F1106:F1109"/>
    <mergeCell ref="B1464:B1467"/>
    <mergeCell ref="C1464:C1467"/>
    <mergeCell ref="E1071:E1072"/>
    <mergeCell ref="D1132:D1134"/>
    <mergeCell ref="F1132:F1134"/>
    <mergeCell ref="F1064:F1066"/>
    <mergeCell ref="G1064:G1066"/>
    <mergeCell ref="G1174:G1175"/>
    <mergeCell ref="G1193:G1195"/>
    <mergeCell ref="G1196:G1197"/>
    <mergeCell ref="G1199:G1200"/>
    <mergeCell ref="G1201:G1202"/>
    <mergeCell ref="F1243:F1258"/>
    <mergeCell ref="A1081:A1083"/>
    <mergeCell ref="E1464:E1467"/>
    <mergeCell ref="F1464:F1467"/>
    <mergeCell ref="F1456:F1459"/>
    <mergeCell ref="G1438:G1439"/>
    <mergeCell ref="F1468:F1470"/>
    <mergeCell ref="C1460:C1463"/>
    <mergeCell ref="D1460:D1463"/>
    <mergeCell ref="B1078:B1080"/>
    <mergeCell ref="E1117:E1119"/>
    <mergeCell ref="E1471:E1474"/>
    <mergeCell ref="F1471:F1474"/>
    <mergeCell ref="D1475:D1477"/>
    <mergeCell ref="E1475:E1477"/>
    <mergeCell ref="F1475:F1477"/>
    <mergeCell ref="F1460:F1463"/>
    <mergeCell ref="C3031:K3031"/>
    <mergeCell ref="B1538:B1540"/>
    <mergeCell ref="C1538:C1540"/>
    <mergeCell ref="D1538:D1540"/>
    <mergeCell ref="E1538:E1540"/>
    <mergeCell ref="G1736:G1738"/>
    <mergeCell ref="F1743:F1751"/>
    <mergeCell ref="B1788:B1790"/>
    <mergeCell ref="G1647:G1648"/>
    <mergeCell ref="F1773:F1774"/>
    <mergeCell ref="G1645:G1646"/>
    <mergeCell ref="G1608:G1609"/>
    <mergeCell ref="F1502:F1508"/>
    <mergeCell ref="C1509:C1515"/>
    <mergeCell ref="D1509:D1515"/>
    <mergeCell ref="B1460:B1463"/>
    <mergeCell ref="G1759:G1760"/>
    <mergeCell ref="G1761:G1762"/>
    <mergeCell ref="B1468:B1470"/>
    <mergeCell ref="C1468:C1470"/>
    <mergeCell ref="G1468:G1470"/>
    <mergeCell ref="C3032:K3032"/>
    <mergeCell ref="A1210:A1214"/>
    <mergeCell ref="G1132:G1134"/>
    <mergeCell ref="E1210:E1214"/>
    <mergeCell ref="D1210:D1214"/>
    <mergeCell ref="C1210:C1214"/>
    <mergeCell ref="E1145:E1147"/>
    <mergeCell ref="F1210:F1214"/>
    <mergeCell ref="F1145:F1147"/>
    <mergeCell ref="A1145:A1147"/>
    <mergeCell ref="B1145:B1147"/>
    <mergeCell ref="C2224:C2225"/>
    <mergeCell ref="A1475:A1477"/>
    <mergeCell ref="B1475:B1477"/>
    <mergeCell ref="C1475:C1477"/>
    <mergeCell ref="D1516:D1522"/>
    <mergeCell ref="E1516:E1522"/>
    <mergeCell ref="F1516:F1522"/>
    <mergeCell ref="A1448:A1451"/>
    <mergeCell ref="B1448:B1451"/>
    <mergeCell ref="D1736:D1738"/>
    <mergeCell ref="G1519:G1522"/>
    <mergeCell ref="E1736:E1738"/>
    <mergeCell ref="A1516:A1522"/>
    <mergeCell ref="B1516:B1522"/>
    <mergeCell ref="G1446:G1447"/>
    <mergeCell ref="C1567:C1569"/>
    <mergeCell ref="D1567:D1569"/>
    <mergeCell ref="E1567:E1569"/>
    <mergeCell ref="A1672:A1673"/>
    <mergeCell ref="F2627:F2629"/>
    <mergeCell ref="C1516:C1522"/>
    <mergeCell ref="G1505:G1508"/>
    <mergeCell ref="E1509:E1515"/>
    <mergeCell ref="F1509:F1515"/>
    <mergeCell ref="G1510:G1511"/>
    <mergeCell ref="F1523:F1529"/>
    <mergeCell ref="G1524:G1525"/>
    <mergeCell ref="F1556:F1558"/>
    <mergeCell ref="G1475:G1477"/>
    <mergeCell ref="C1502:C1508"/>
    <mergeCell ref="C1570:C1576"/>
    <mergeCell ref="D1570:D1576"/>
    <mergeCell ref="F1554:F1555"/>
    <mergeCell ref="B1523:B1529"/>
    <mergeCell ref="C1523:C1529"/>
    <mergeCell ref="D1523:D1529"/>
    <mergeCell ref="E1523:E1529"/>
    <mergeCell ref="F1570:F1576"/>
    <mergeCell ref="D1502:D1508"/>
    <mergeCell ref="E1502:E1508"/>
    <mergeCell ref="G1526:G1529"/>
    <mergeCell ref="B1530:B1531"/>
    <mergeCell ref="C1530:C1531"/>
    <mergeCell ref="F1497:F1501"/>
    <mergeCell ref="G1567:G1569"/>
    <mergeCell ref="F1488:F1495"/>
    <mergeCell ref="C1478:C1480"/>
    <mergeCell ref="D1478:D1480"/>
    <mergeCell ref="G1820:G1821"/>
    <mergeCell ref="A1608:A1609"/>
    <mergeCell ref="B1608:B1609"/>
    <mergeCell ref="A1765:A1767"/>
    <mergeCell ref="F1736:F1738"/>
    <mergeCell ref="A1530:A1531"/>
    <mergeCell ref="F1538:F1540"/>
    <mergeCell ref="G1538:G1540"/>
    <mergeCell ref="A1541:A1542"/>
    <mergeCell ref="B1541:B1542"/>
    <mergeCell ref="C1541:C1542"/>
    <mergeCell ref="D1541:D1542"/>
    <mergeCell ref="E1541:E1542"/>
    <mergeCell ref="C1577:C1583"/>
    <mergeCell ref="D1577:D1583"/>
    <mergeCell ref="A1570:A1576"/>
    <mergeCell ref="G1578:G1579"/>
    <mergeCell ref="G1580:G1581"/>
    <mergeCell ref="G1582:G1583"/>
    <mergeCell ref="G1571:G1572"/>
    <mergeCell ref="G1573:G1574"/>
    <mergeCell ref="E1543:E1544"/>
    <mergeCell ref="F1543:F1544"/>
    <mergeCell ref="G1543:G1544"/>
    <mergeCell ref="A1549:A1550"/>
    <mergeCell ref="B1549:B1550"/>
    <mergeCell ref="C1549:C1550"/>
    <mergeCell ref="D1549:D1550"/>
    <mergeCell ref="E1549:E1550"/>
    <mergeCell ref="F1549:F1550"/>
    <mergeCell ref="F1577:F1583"/>
    <mergeCell ref="B1554:B1555"/>
    <mergeCell ref="G1818:G1819"/>
    <mergeCell ref="E1497:E1501"/>
    <mergeCell ref="G1497:G1501"/>
    <mergeCell ref="F1670:F1671"/>
    <mergeCell ref="G1670:G1671"/>
    <mergeCell ref="A1598:A1600"/>
    <mergeCell ref="C1822:C1824"/>
    <mergeCell ref="D1822:D1824"/>
    <mergeCell ref="G1822:G1824"/>
    <mergeCell ref="A1623:A1626"/>
    <mergeCell ref="C1802:C1804"/>
    <mergeCell ref="D1802:D1804"/>
    <mergeCell ref="E1802:E1804"/>
    <mergeCell ref="F1802:F1804"/>
    <mergeCell ref="G1802:G1804"/>
    <mergeCell ref="C1799:C1801"/>
    <mergeCell ref="G1575:G1576"/>
    <mergeCell ref="B1623:B1626"/>
    <mergeCell ref="A1677:A1678"/>
    <mergeCell ref="B1677:B1678"/>
    <mergeCell ref="D1677:D1678"/>
    <mergeCell ref="E1677:E1678"/>
    <mergeCell ref="F1677:F1678"/>
    <mergeCell ref="G1677:G1678"/>
    <mergeCell ref="F1799:F1801"/>
    <mergeCell ref="F1709:F1711"/>
    <mergeCell ref="G1773:G1774"/>
    <mergeCell ref="F1651:F1652"/>
    <mergeCell ref="F1644:F1650"/>
    <mergeCell ref="F1691:F1693"/>
    <mergeCell ref="E1691:E1693"/>
    <mergeCell ref="C1598:C1600"/>
    <mergeCell ref="E1460:E1463"/>
    <mergeCell ref="E1448:E1451"/>
    <mergeCell ref="F1448:F1451"/>
    <mergeCell ref="F1598:F1600"/>
    <mergeCell ref="E1799:E1801"/>
    <mergeCell ref="C1448:C1451"/>
    <mergeCell ref="D1448:D1451"/>
    <mergeCell ref="C1667:C1669"/>
    <mergeCell ref="D1667:D1669"/>
    <mergeCell ref="E1667:E1669"/>
    <mergeCell ref="F1667:F1669"/>
    <mergeCell ref="F1541:F1542"/>
    <mergeCell ref="G1541:G1542"/>
    <mergeCell ref="A1543:A1544"/>
    <mergeCell ref="B1543:B1544"/>
    <mergeCell ref="C1543:C1544"/>
    <mergeCell ref="D1543:D1544"/>
    <mergeCell ref="B1547:B1548"/>
    <mergeCell ref="C1547:C1548"/>
    <mergeCell ref="D1547:D1548"/>
    <mergeCell ref="E1547:E1548"/>
    <mergeCell ref="A1615:A1616"/>
    <mergeCell ref="B1615:B1616"/>
    <mergeCell ref="C1615:C1616"/>
    <mergeCell ref="D1615:D1616"/>
    <mergeCell ref="D1598:D1600"/>
    <mergeCell ref="G1709:G1711"/>
    <mergeCell ref="A1577:A1583"/>
    <mergeCell ref="B1712:B1720"/>
    <mergeCell ref="G1517:G1518"/>
    <mergeCell ref="E1570:E1576"/>
    <mergeCell ref="G1503:G1504"/>
    <mergeCell ref="D34:D35"/>
    <mergeCell ref="E34:E35"/>
    <mergeCell ref="B1929:B1935"/>
    <mergeCell ref="D1958:D1964"/>
    <mergeCell ref="A1958:A1964"/>
    <mergeCell ref="F1965:F1967"/>
    <mergeCell ref="A1973:A1975"/>
    <mergeCell ref="F2094:F2098"/>
    <mergeCell ref="D1926:D1928"/>
    <mergeCell ref="E1926:E1928"/>
    <mergeCell ref="A1917:A1919"/>
    <mergeCell ref="B1917:B1919"/>
    <mergeCell ref="C1917:C1919"/>
    <mergeCell ref="D1917:D1919"/>
    <mergeCell ref="E1917:E1919"/>
    <mergeCell ref="G1888:G1889"/>
    <mergeCell ref="F1929:F1935"/>
    <mergeCell ref="A1912:A1916"/>
    <mergeCell ref="C1456:C1459"/>
    <mergeCell ref="D1456:D1459"/>
    <mergeCell ref="E1456:E1459"/>
    <mergeCell ref="G1973:G1975"/>
    <mergeCell ref="G1799:G1801"/>
    <mergeCell ref="G1712:G1716"/>
    <mergeCell ref="E1223:E1225"/>
    <mergeCell ref="F1973:F1975"/>
    <mergeCell ref="D60:D62"/>
    <mergeCell ref="E60:E62"/>
    <mergeCell ref="A47:A51"/>
    <mergeCell ref="F385:F387"/>
    <mergeCell ref="E1073:E1077"/>
    <mergeCell ref="F1073:F1077"/>
    <mergeCell ref="G12:G13"/>
    <mergeCell ref="A7:A11"/>
    <mergeCell ref="B7:B11"/>
    <mergeCell ref="C7:C11"/>
    <mergeCell ref="D7:D11"/>
    <mergeCell ref="E7:E11"/>
    <mergeCell ref="F7:F11"/>
    <mergeCell ref="G8:G9"/>
    <mergeCell ref="G10:G11"/>
    <mergeCell ref="A12:A13"/>
    <mergeCell ref="B12:B13"/>
    <mergeCell ref="C12:C13"/>
    <mergeCell ref="D12:D13"/>
    <mergeCell ref="E12:E13"/>
    <mergeCell ref="F12:F13"/>
    <mergeCell ref="B272:B280"/>
    <mergeCell ref="G281:G282"/>
    <mergeCell ref="F47:F51"/>
    <mergeCell ref="G264:G265"/>
    <mergeCell ref="A234:A236"/>
    <mergeCell ref="B234:B236"/>
    <mergeCell ref="C234:C236"/>
    <mergeCell ref="D234:D236"/>
    <mergeCell ref="E234:E236"/>
    <mergeCell ref="F234:F236"/>
    <mergeCell ref="C254:C256"/>
    <mergeCell ref="D254:D256"/>
    <mergeCell ref="E254:E256"/>
    <mergeCell ref="G192:G193"/>
    <mergeCell ref="G194:G195"/>
    <mergeCell ref="B196:B198"/>
    <mergeCell ref="A169:A172"/>
    <mergeCell ref="G1721:G1723"/>
    <mergeCell ref="A517:A519"/>
    <mergeCell ref="E1411:E1419"/>
    <mergeCell ref="F1059:F1063"/>
    <mergeCell ref="E1329:E1332"/>
    <mergeCell ref="A1223:A1225"/>
    <mergeCell ref="B1223:B1225"/>
    <mergeCell ref="C1223:C1225"/>
    <mergeCell ref="A425:A429"/>
    <mergeCell ref="C1420:C1423"/>
    <mergeCell ref="D1420:D1423"/>
    <mergeCell ref="E1420:E1423"/>
    <mergeCell ref="B1405:B1409"/>
    <mergeCell ref="F1374:F1380"/>
    <mergeCell ref="A1151:A1155"/>
    <mergeCell ref="A1243:A1258"/>
    <mergeCell ref="B1243:B1258"/>
    <mergeCell ref="C1243:C1258"/>
    <mergeCell ref="D1243:D1258"/>
    <mergeCell ref="E1243:E1258"/>
    <mergeCell ref="A1279:A1281"/>
    <mergeCell ref="B1279:B1281"/>
    <mergeCell ref="A1285:A1286"/>
    <mergeCell ref="E1259:E1261"/>
    <mergeCell ref="A1292:A1295"/>
    <mergeCell ref="B1292:B1295"/>
    <mergeCell ref="A1262:A1268"/>
    <mergeCell ref="F1694:F1696"/>
    <mergeCell ref="G1698:G1699"/>
    <mergeCell ref="A1424:A1427"/>
    <mergeCell ref="C1644:C1650"/>
    <mergeCell ref="D1644:D1650"/>
    <mergeCell ref="G2349:G2351"/>
    <mergeCell ref="B2226:B2227"/>
    <mergeCell ref="B2217:B2219"/>
    <mergeCell ref="C2217:C2219"/>
    <mergeCell ref="D2217:D2219"/>
    <mergeCell ref="E2217:E2219"/>
    <mergeCell ref="G2476:G2477"/>
    <mergeCell ref="E2412:E2414"/>
    <mergeCell ref="G2242:G2243"/>
    <mergeCell ref="G2282:G2283"/>
    <mergeCell ref="D2326:D2332"/>
    <mergeCell ref="E2326:E2332"/>
    <mergeCell ref="F2326:F2332"/>
    <mergeCell ref="E2313:E2315"/>
    <mergeCell ref="F2313:F2315"/>
    <mergeCell ref="E2340:E2343"/>
    <mergeCell ref="F2340:F2343"/>
    <mergeCell ref="F2269:F2272"/>
    <mergeCell ref="C2244:C2247"/>
    <mergeCell ref="E2281:E2287"/>
    <mergeCell ref="F2230:F2236"/>
    <mergeCell ref="D2277:D2280"/>
    <mergeCell ref="D2226:D2227"/>
    <mergeCell ref="E2226:E2227"/>
    <mergeCell ref="B2237:B2243"/>
    <mergeCell ref="C2237:C2243"/>
    <mergeCell ref="D2349:D2351"/>
    <mergeCell ref="E2224:E2225"/>
    <mergeCell ref="D2316:D2320"/>
    <mergeCell ref="C2277:C2280"/>
    <mergeCell ref="D2303:D2304"/>
    <mergeCell ref="D2301:D2302"/>
    <mergeCell ref="C1926:C1928"/>
    <mergeCell ref="D1721:D1723"/>
    <mergeCell ref="E1721:E1723"/>
    <mergeCell ref="F1679:F1687"/>
    <mergeCell ref="B1765:B1767"/>
    <mergeCell ref="C1765:C1767"/>
    <mergeCell ref="D1765:D1767"/>
    <mergeCell ref="E1765:E1767"/>
    <mergeCell ref="F1765:F1767"/>
    <mergeCell ref="A2081:A2085"/>
    <mergeCell ref="A2089:A2093"/>
    <mergeCell ref="B2081:B2085"/>
    <mergeCell ref="C2081:C2085"/>
    <mergeCell ref="D2081:D2085"/>
    <mergeCell ref="B2089:B2093"/>
    <mergeCell ref="C2089:C2093"/>
    <mergeCell ref="D2089:D2093"/>
    <mergeCell ref="E2089:E2093"/>
    <mergeCell ref="F2089:F2093"/>
    <mergeCell ref="A1799:A1801"/>
    <mergeCell ref="B1799:B1801"/>
    <mergeCell ref="F1813:F1821"/>
    <mergeCell ref="B1912:B1916"/>
    <mergeCell ref="E2086:E2088"/>
    <mergeCell ref="F2086:F2088"/>
    <mergeCell ref="A1813:A1821"/>
    <mergeCell ref="B1813:B1821"/>
    <mergeCell ref="C1688:C1690"/>
    <mergeCell ref="D1688:D1690"/>
    <mergeCell ref="E1704:E1706"/>
    <mergeCell ref="F1704:F1706"/>
    <mergeCell ref="F2081:F2085"/>
    <mergeCell ref="A2269:A2272"/>
    <mergeCell ref="B2269:B2272"/>
    <mergeCell ref="C2269:C2272"/>
    <mergeCell ref="D2269:D2272"/>
    <mergeCell ref="A1976:A1978"/>
    <mergeCell ref="A2073:A2074"/>
    <mergeCell ref="B2073:B2074"/>
    <mergeCell ref="C2073:C2074"/>
    <mergeCell ref="D2073:D2074"/>
    <mergeCell ref="E2073:E2074"/>
    <mergeCell ref="F2073:F2074"/>
    <mergeCell ref="E2171:E2172"/>
    <mergeCell ref="F2171:F2172"/>
    <mergeCell ref="A2177:A2179"/>
    <mergeCell ref="B2177:B2179"/>
    <mergeCell ref="C2177:C2179"/>
    <mergeCell ref="A2200:A2204"/>
    <mergeCell ref="A2224:A2225"/>
    <mergeCell ref="A2217:A2219"/>
    <mergeCell ref="F2217:F2219"/>
    <mergeCell ref="C2206:C2210"/>
    <mergeCell ref="D2206:D2210"/>
    <mergeCell ref="E2206:E2210"/>
    <mergeCell ref="E2136:E2138"/>
    <mergeCell ref="F2136:F2138"/>
    <mergeCell ref="A2145:A2147"/>
    <mergeCell ref="A2126:A2127"/>
    <mergeCell ref="E2259:E2268"/>
    <mergeCell ref="F2259:F2268"/>
    <mergeCell ref="A2075:A2079"/>
    <mergeCell ref="B2075:B2079"/>
    <mergeCell ref="C2075:C2079"/>
    <mergeCell ref="A2252:A2258"/>
    <mergeCell ref="A2259:A2268"/>
    <mergeCell ref="B2228:B2229"/>
    <mergeCell ref="C2228:C2229"/>
    <mergeCell ref="D2228:D2229"/>
    <mergeCell ref="E2228:E2229"/>
    <mergeCell ref="F2228:F2229"/>
    <mergeCell ref="E2200:E2204"/>
    <mergeCell ref="F2200:F2204"/>
    <mergeCell ref="A2206:A2210"/>
    <mergeCell ref="B2206:B2210"/>
    <mergeCell ref="B2200:B2204"/>
    <mergeCell ref="C2200:C2204"/>
    <mergeCell ref="D2200:D2204"/>
    <mergeCell ref="A2226:A2227"/>
    <mergeCell ref="A2103:A2105"/>
    <mergeCell ref="B2103:B2105"/>
    <mergeCell ref="C2103:C2105"/>
    <mergeCell ref="E2211:E2215"/>
    <mergeCell ref="B2192:B2193"/>
    <mergeCell ref="C2192:C2193"/>
    <mergeCell ref="D2192:D2193"/>
    <mergeCell ref="E2192:E2193"/>
    <mergeCell ref="F2192:F2193"/>
    <mergeCell ref="F2113:F2115"/>
    <mergeCell ref="A2123:A2125"/>
    <mergeCell ref="B2123:B2125"/>
    <mergeCell ref="C2187:C2191"/>
    <mergeCell ref="D2187:D2191"/>
    <mergeCell ref="B2116:B2117"/>
    <mergeCell ref="C2180:C2182"/>
    <mergeCell ref="D2252:D2258"/>
    <mergeCell ref="F2809:F2811"/>
    <mergeCell ref="E2301:E2302"/>
    <mergeCell ref="B2252:B2258"/>
    <mergeCell ref="C2252:C2258"/>
    <mergeCell ref="E2252:E2258"/>
    <mergeCell ref="F2252:F2258"/>
    <mergeCell ref="D2297:D2300"/>
    <mergeCell ref="D2244:D2247"/>
    <mergeCell ref="E2244:E2247"/>
    <mergeCell ref="F2244:F2247"/>
    <mergeCell ref="B2297:B2300"/>
    <mergeCell ref="C2297:C2300"/>
    <mergeCell ref="F2303:F2304"/>
    <mergeCell ref="D2237:D2243"/>
    <mergeCell ref="E2237:E2243"/>
    <mergeCell ref="B2277:B2280"/>
    <mergeCell ref="F2301:F2302"/>
    <mergeCell ref="C2281:C2287"/>
    <mergeCell ref="E2277:E2280"/>
    <mergeCell ref="B2301:B2302"/>
    <mergeCell ref="C2301:C2302"/>
    <mergeCell ref="B2259:B2268"/>
    <mergeCell ref="C2259:C2268"/>
    <mergeCell ref="C2303:C2304"/>
    <mergeCell ref="E2303:E2304"/>
    <mergeCell ref="F2277:F2280"/>
    <mergeCell ref="F2248:F2251"/>
    <mergeCell ref="F2281:F2287"/>
    <mergeCell ref="F2273:F2276"/>
    <mergeCell ref="F2754:F2756"/>
    <mergeCell ref="E2633:E2635"/>
    <mergeCell ref="F2633:F2635"/>
    <mergeCell ref="C2624:C2626"/>
    <mergeCell ref="B2211:B2215"/>
    <mergeCell ref="C2211:C2215"/>
    <mergeCell ref="D2211:D2215"/>
    <mergeCell ref="F2815:F2817"/>
    <mergeCell ref="G2815:G2817"/>
    <mergeCell ref="A2769:A2771"/>
    <mergeCell ref="B2769:B2771"/>
    <mergeCell ref="F2523:F2529"/>
    <mergeCell ref="C2406:C2408"/>
    <mergeCell ref="D2406:D2408"/>
    <mergeCell ref="G2517:G2518"/>
    <mergeCell ref="G2562:G2563"/>
    <mergeCell ref="G2564:G2565"/>
    <mergeCell ref="A2648:A2650"/>
    <mergeCell ref="B2648:B2650"/>
    <mergeCell ref="B2561:B2567"/>
    <mergeCell ref="G2775:G2778"/>
    <mergeCell ref="A2701:A2703"/>
    <mergeCell ref="F2730:F2732"/>
    <mergeCell ref="G2730:G2732"/>
    <mergeCell ref="A2733:A2736"/>
    <mergeCell ref="B2733:B2736"/>
    <mergeCell ref="C2733:C2736"/>
    <mergeCell ref="D2733:D2736"/>
    <mergeCell ref="E2733:E2736"/>
    <mergeCell ref="B2624:B2626"/>
    <mergeCell ref="D2627:D2629"/>
    <mergeCell ref="F2412:F2414"/>
    <mergeCell ref="G2624:G2626"/>
    <mergeCell ref="A2654:A2656"/>
    <mergeCell ref="E2654:E2656"/>
    <mergeCell ref="D2554:D2560"/>
    <mergeCell ref="G2809:G2811"/>
    <mergeCell ref="A2523:A2529"/>
    <mergeCell ref="A2516:A2522"/>
    <mergeCell ref="A2561:A2567"/>
    <mergeCell ref="G2593:G2594"/>
    <mergeCell ref="B2710:B2712"/>
    <mergeCell ref="C2710:C2712"/>
    <mergeCell ref="D2710:D2712"/>
    <mergeCell ref="E2710:E2712"/>
    <mergeCell ref="F2710:F2712"/>
    <mergeCell ref="A2530:A2532"/>
    <mergeCell ref="B2530:B2532"/>
    <mergeCell ref="B2523:B2529"/>
    <mergeCell ref="C2523:C2529"/>
    <mergeCell ref="D2523:D2529"/>
    <mergeCell ref="E2695:E2697"/>
    <mergeCell ref="F2695:F2697"/>
    <mergeCell ref="G2710:G2712"/>
    <mergeCell ref="D2575:D2579"/>
    <mergeCell ref="E2575:E2579"/>
    <mergeCell ref="F2575:F2579"/>
    <mergeCell ref="B2575:B2579"/>
    <mergeCell ref="C2575:C2579"/>
    <mergeCell ref="G2548:G2549"/>
    <mergeCell ref="G2550:G2551"/>
    <mergeCell ref="G2552:G2553"/>
    <mergeCell ref="A2554:A2560"/>
    <mergeCell ref="C2561:C2567"/>
    <mergeCell ref="E2627:E2629"/>
    <mergeCell ref="G2596:G2600"/>
    <mergeCell ref="A2596:A2600"/>
    <mergeCell ref="E2356:E2357"/>
    <mergeCell ref="F2356:F2357"/>
    <mergeCell ref="F2400:F2402"/>
    <mergeCell ref="D2624:D2626"/>
    <mergeCell ref="C2612:C2614"/>
    <mergeCell ref="D2612:D2614"/>
    <mergeCell ref="E3025:E3027"/>
    <mergeCell ref="F3025:F3027"/>
    <mergeCell ref="F2403:F2405"/>
    <mergeCell ref="A2679:A2685"/>
    <mergeCell ref="B2679:B2685"/>
    <mergeCell ref="C2679:C2685"/>
    <mergeCell ref="D2679:D2685"/>
    <mergeCell ref="E2679:E2685"/>
    <mergeCell ref="F2679:F2685"/>
    <mergeCell ref="A2884:A2886"/>
    <mergeCell ref="B2884:B2886"/>
    <mergeCell ref="C2884:C2886"/>
    <mergeCell ref="D2884:D2886"/>
    <mergeCell ref="F2648:F2650"/>
    <mergeCell ref="B2701:B2703"/>
    <mergeCell ref="C2701:C2703"/>
    <mergeCell ref="D2701:D2703"/>
    <mergeCell ref="E2701:E2703"/>
    <mergeCell ref="B2409:B2411"/>
    <mergeCell ref="C2409:C2411"/>
    <mergeCell ref="D2409:D2411"/>
    <mergeCell ref="E2409:E2411"/>
    <mergeCell ref="F2409:F2411"/>
    <mergeCell ref="B2406:B2408"/>
    <mergeCell ref="A2540:A2546"/>
    <mergeCell ref="A2451:A2452"/>
    <mergeCell ref="C2356:C2357"/>
    <mergeCell ref="E2349:E2351"/>
    <mergeCell ref="D2386:D2388"/>
    <mergeCell ref="E2554:E2560"/>
    <mergeCell ref="F2554:F2560"/>
    <mergeCell ref="B2540:B2546"/>
    <mergeCell ref="E2308:E2310"/>
    <mergeCell ref="A2297:A2300"/>
    <mergeCell ref="A2316:A2320"/>
    <mergeCell ref="E2523:E2529"/>
    <mergeCell ref="D2400:D2402"/>
    <mergeCell ref="B2356:B2357"/>
    <mergeCell ref="B2415:B2425"/>
    <mergeCell ref="C2415:C2425"/>
    <mergeCell ref="D2415:D2425"/>
    <mergeCell ref="E2415:E2425"/>
    <mergeCell ref="F2415:F2425"/>
    <mergeCell ref="D2466:D2472"/>
    <mergeCell ref="E2466:E2472"/>
    <mergeCell ref="A2473:A2479"/>
    <mergeCell ref="D2412:D2414"/>
    <mergeCell ref="A2313:A2315"/>
    <mergeCell ref="A2403:A2405"/>
    <mergeCell ref="A2360:A2364"/>
    <mergeCell ref="B2340:B2343"/>
    <mergeCell ref="B2373:B2375"/>
    <mergeCell ref="C2373:C2375"/>
    <mergeCell ref="A2365:A2367"/>
    <mergeCell ref="B2365:B2367"/>
    <mergeCell ref="F2344:F2347"/>
    <mergeCell ref="A2344:A2347"/>
    <mergeCell ref="B2344:B2347"/>
    <mergeCell ref="C2516:C2522"/>
    <mergeCell ref="F2429:F2435"/>
    <mergeCell ref="G2576:G2577"/>
    <mergeCell ref="D2516:D2522"/>
    <mergeCell ref="E2516:E2522"/>
    <mergeCell ref="F2516:F2522"/>
    <mergeCell ref="B2360:B2364"/>
    <mergeCell ref="C2340:C2343"/>
    <mergeCell ref="D2373:D2375"/>
    <mergeCell ref="E2373:E2375"/>
    <mergeCell ref="F2373:F2375"/>
    <mergeCell ref="E2353:E2355"/>
    <mergeCell ref="D2356:D2357"/>
    <mergeCell ref="A2406:A2408"/>
    <mergeCell ref="E2406:E2408"/>
    <mergeCell ref="A2368:A2372"/>
    <mergeCell ref="A2373:A2375"/>
    <mergeCell ref="D2340:D2343"/>
    <mergeCell ref="E2400:E2402"/>
    <mergeCell ref="C2344:C2347"/>
    <mergeCell ref="D2393:D2399"/>
    <mergeCell ref="A2379:A2381"/>
    <mergeCell ref="B2379:B2381"/>
    <mergeCell ref="C2379:C2381"/>
    <mergeCell ref="D2379:D2381"/>
    <mergeCell ref="E2379:E2381"/>
    <mergeCell ref="F2379:F2381"/>
    <mergeCell ref="B2403:B2405"/>
    <mergeCell ref="C2403:C2405"/>
    <mergeCell ref="F2360:F2364"/>
    <mergeCell ref="C2360:C2364"/>
    <mergeCell ref="D2360:D2364"/>
    <mergeCell ref="G2361:G2362"/>
    <mergeCell ref="G2363:G2364"/>
    <mergeCell ref="B2554:B2560"/>
    <mergeCell ref="C2554:C2560"/>
    <mergeCell ref="C2530:C2532"/>
    <mergeCell ref="D2530:D2532"/>
    <mergeCell ref="E2530:E2532"/>
    <mergeCell ref="F2530:F2532"/>
    <mergeCell ref="G2530:G2532"/>
    <mergeCell ref="E2360:E2364"/>
    <mergeCell ref="G2369:G2370"/>
    <mergeCell ref="G2536:G2537"/>
    <mergeCell ref="E2624:E2626"/>
    <mergeCell ref="G2432:G2433"/>
    <mergeCell ref="G2651:G2653"/>
    <mergeCell ref="E2540:E2546"/>
    <mergeCell ref="F2540:F2546"/>
    <mergeCell ref="B2568:B2574"/>
    <mergeCell ref="C2568:C2574"/>
    <mergeCell ref="D2568:D2574"/>
    <mergeCell ref="E2568:E2574"/>
    <mergeCell ref="F2568:F2574"/>
    <mergeCell ref="G2569:G2570"/>
    <mergeCell ref="B2547:B2553"/>
    <mergeCell ref="F2596:F2600"/>
    <mergeCell ref="D2648:D2650"/>
    <mergeCell ref="F2624:F2626"/>
    <mergeCell ref="F2561:F2567"/>
    <mergeCell ref="G2524:G2525"/>
    <mergeCell ref="G2526:G2527"/>
    <mergeCell ref="D2561:D2567"/>
    <mergeCell ref="G2573:G2574"/>
    <mergeCell ref="G2371:G2372"/>
    <mergeCell ref="C2365:C2367"/>
    <mergeCell ref="D2365:D2367"/>
    <mergeCell ref="G2538:G2539"/>
    <mergeCell ref="C2540:C2546"/>
    <mergeCell ref="D2540:D2546"/>
    <mergeCell ref="B2376:B2378"/>
    <mergeCell ref="B2368:B2372"/>
    <mergeCell ref="G2420:G2421"/>
    <mergeCell ref="G2422:G2423"/>
    <mergeCell ref="G2557:G2558"/>
    <mergeCell ref="G2559:G2560"/>
    <mergeCell ref="C2547:C2553"/>
    <mergeCell ref="G2543:G2544"/>
    <mergeCell ref="G2545:G2546"/>
    <mergeCell ref="G2434:G2435"/>
    <mergeCell ref="G2555:G2556"/>
    <mergeCell ref="E2365:E2367"/>
    <mergeCell ref="E2376:E2378"/>
    <mergeCell ref="F2376:F2378"/>
    <mergeCell ref="D2368:D2372"/>
    <mergeCell ref="A2385:C2385"/>
    <mergeCell ref="G2534:G2535"/>
    <mergeCell ref="D2376:D2378"/>
    <mergeCell ref="C2386:C2388"/>
    <mergeCell ref="B2412:B2414"/>
    <mergeCell ref="E2368:E2372"/>
    <mergeCell ref="F2368:F2372"/>
    <mergeCell ref="D2547:D2553"/>
    <mergeCell ref="E2547:E2553"/>
    <mergeCell ref="F2547:F2553"/>
    <mergeCell ref="A2376:A2378"/>
    <mergeCell ref="B1428:B1436"/>
    <mergeCell ref="F2059:F2060"/>
    <mergeCell ref="G1392:G1393"/>
    <mergeCell ref="G1394:G1395"/>
    <mergeCell ref="C1424:C1427"/>
    <mergeCell ref="D1424:D1427"/>
    <mergeCell ref="G2217:G2219"/>
    <mergeCell ref="F1411:F1419"/>
    <mergeCell ref="G2233:G2234"/>
    <mergeCell ref="C1452:C1455"/>
    <mergeCell ref="D1452:D1455"/>
    <mergeCell ref="E1452:E1455"/>
    <mergeCell ref="F1452:F1455"/>
    <mergeCell ref="A1452:A1455"/>
    <mergeCell ref="A1588:A1594"/>
    <mergeCell ref="B1588:B1594"/>
    <mergeCell ref="C1588:C1594"/>
    <mergeCell ref="G1702:G1703"/>
    <mergeCell ref="A1667:A1669"/>
    <mergeCell ref="B1667:B1669"/>
    <mergeCell ref="A1411:A1419"/>
    <mergeCell ref="B1411:B1419"/>
    <mergeCell ref="C1411:C1419"/>
    <mergeCell ref="D1411:D1419"/>
    <mergeCell ref="G1444:G1445"/>
    <mergeCell ref="D1437:D1445"/>
    <mergeCell ref="D1405:D1409"/>
    <mergeCell ref="E1405:E1409"/>
    <mergeCell ref="E2195:E2199"/>
    <mergeCell ref="E1651:E1652"/>
    <mergeCell ref="E2094:E2098"/>
    <mergeCell ref="F1888:F1889"/>
    <mergeCell ref="G2284:G2285"/>
    <mergeCell ref="G2286:G2287"/>
    <mergeCell ref="B2281:B2287"/>
    <mergeCell ref="G2340:G2343"/>
    <mergeCell ref="A2295:A2296"/>
    <mergeCell ref="A2301:A2302"/>
    <mergeCell ref="A2059:A2060"/>
    <mergeCell ref="B1773:B1774"/>
    <mergeCell ref="A2353:A2355"/>
    <mergeCell ref="B2353:B2355"/>
    <mergeCell ref="C2353:C2355"/>
    <mergeCell ref="D2353:D2355"/>
    <mergeCell ref="G2344:G2347"/>
    <mergeCell ref="A2326:A2332"/>
    <mergeCell ref="B2326:B2332"/>
    <mergeCell ref="C2326:C2332"/>
    <mergeCell ref="F2353:F2355"/>
    <mergeCell ref="B2244:B2247"/>
    <mergeCell ref="A2340:A2343"/>
    <mergeCell ref="G2260:G2262"/>
    <mergeCell ref="G2263:G2265"/>
    <mergeCell ref="G2266:G2268"/>
    <mergeCell ref="A2244:A2247"/>
    <mergeCell ref="G2253:G2254"/>
    <mergeCell ref="G2255:G2256"/>
    <mergeCell ref="G2257:G2258"/>
    <mergeCell ref="A2308:A2310"/>
    <mergeCell ref="B2308:B2310"/>
    <mergeCell ref="C2308:C2310"/>
    <mergeCell ref="B2313:B2315"/>
    <mergeCell ref="C2313:C2315"/>
    <mergeCell ref="G2353:G2355"/>
    <mergeCell ref="A2356:A2357"/>
    <mergeCell ref="F2365:F2367"/>
    <mergeCell ref="C2368:C2372"/>
    <mergeCell ref="F2316:F2320"/>
    <mergeCell ref="D2344:D2347"/>
    <mergeCell ref="E2344:E2347"/>
    <mergeCell ref="C2311:C2312"/>
    <mergeCell ref="A1802:A1804"/>
    <mergeCell ref="B1802:B1804"/>
    <mergeCell ref="E1965:E1967"/>
    <mergeCell ref="A1965:A1967"/>
    <mergeCell ref="G1930:G1931"/>
    <mergeCell ref="G1932:G1935"/>
    <mergeCell ref="A1936:A1938"/>
    <mergeCell ref="B1936:B1938"/>
    <mergeCell ref="C1936:C1938"/>
    <mergeCell ref="E1883:E1885"/>
    <mergeCell ref="F1883:F1885"/>
    <mergeCell ref="G1810:G1812"/>
    <mergeCell ref="E2297:E2300"/>
    <mergeCell ref="F2297:F2300"/>
    <mergeCell ref="B2295:B2296"/>
    <mergeCell ref="C2295:C2296"/>
    <mergeCell ref="D2295:D2296"/>
    <mergeCell ref="E2295:E2296"/>
    <mergeCell ref="F2295:F2296"/>
    <mergeCell ref="D2273:D2276"/>
    <mergeCell ref="E2273:E2276"/>
    <mergeCell ref="F2237:F2243"/>
    <mergeCell ref="D2248:D2251"/>
    <mergeCell ref="E2248:E2251"/>
    <mergeCell ref="A2277:A2280"/>
    <mergeCell ref="A2211:A2215"/>
    <mergeCell ref="A1446:A1447"/>
    <mergeCell ref="B1446:B1447"/>
    <mergeCell ref="C1446:C1447"/>
    <mergeCell ref="D1446:D1447"/>
    <mergeCell ref="E1446:E1447"/>
    <mergeCell ref="F1446:F1447"/>
    <mergeCell ref="A1471:A1474"/>
    <mergeCell ref="B1471:B1474"/>
    <mergeCell ref="C1471:C1474"/>
    <mergeCell ref="E1644:E1650"/>
    <mergeCell ref="C1627:C1629"/>
    <mergeCell ref="D1627:D1629"/>
    <mergeCell ref="E1627:E1629"/>
    <mergeCell ref="F1627:F1629"/>
    <mergeCell ref="G1627:G1629"/>
    <mergeCell ref="E1598:E1600"/>
    <mergeCell ref="B1577:B1583"/>
    <mergeCell ref="A1497:A1501"/>
    <mergeCell ref="B1497:B1501"/>
    <mergeCell ref="C1497:C1501"/>
    <mergeCell ref="D1497:D1501"/>
    <mergeCell ref="E1615:E1616"/>
    <mergeCell ref="C1563:C1564"/>
    <mergeCell ref="D1563:D1564"/>
    <mergeCell ref="E1563:E1564"/>
    <mergeCell ref="F1563:F1564"/>
    <mergeCell ref="C1773:C1774"/>
    <mergeCell ref="B1452:B1455"/>
    <mergeCell ref="D1799:D1801"/>
    <mergeCell ref="A1926:A1928"/>
    <mergeCell ref="B1926:B1928"/>
    <mergeCell ref="A1388:A1390"/>
    <mergeCell ref="B1388:B1390"/>
    <mergeCell ref="C1388:C1390"/>
    <mergeCell ref="G1375:G1376"/>
    <mergeCell ref="G1377:G1378"/>
    <mergeCell ref="G1379:G1380"/>
    <mergeCell ref="A1386:A1387"/>
    <mergeCell ref="A1391:A1397"/>
    <mergeCell ref="A1367:A1373"/>
    <mergeCell ref="E1391:E1397"/>
    <mergeCell ref="F1391:F1397"/>
    <mergeCell ref="A1398:A1399"/>
    <mergeCell ref="B1398:B1399"/>
    <mergeCell ref="E1398:E1399"/>
    <mergeCell ref="F1398:F1399"/>
    <mergeCell ref="A1381:A1385"/>
    <mergeCell ref="B1381:B1385"/>
    <mergeCell ref="C1381:C1385"/>
    <mergeCell ref="B1391:B1397"/>
    <mergeCell ref="C1391:C1397"/>
    <mergeCell ref="E1386:E1387"/>
    <mergeCell ref="B1367:B1373"/>
    <mergeCell ref="D1391:D1397"/>
    <mergeCell ref="G1396:G1397"/>
    <mergeCell ref="F1367:F1373"/>
    <mergeCell ref="G1368:G1369"/>
    <mergeCell ref="G1370:G1371"/>
    <mergeCell ref="G1372:G1373"/>
    <mergeCell ref="E1367:E1373"/>
    <mergeCell ref="F1388:F1390"/>
    <mergeCell ref="B1298:B1300"/>
    <mergeCell ref="D1298:D1300"/>
    <mergeCell ref="C1325:C1328"/>
    <mergeCell ref="E1424:E1427"/>
    <mergeCell ref="F1424:F1427"/>
    <mergeCell ref="A1325:A1328"/>
    <mergeCell ref="B1325:B1328"/>
    <mergeCell ref="E1313:E1320"/>
    <mergeCell ref="F1313:F1320"/>
    <mergeCell ref="G1307:G1308"/>
    <mergeCell ref="F1321:F1324"/>
    <mergeCell ref="A1333:A1335"/>
    <mergeCell ref="A1307:A1308"/>
    <mergeCell ref="B1307:B1308"/>
    <mergeCell ref="C1307:C1308"/>
    <mergeCell ref="D1307:D1308"/>
    <mergeCell ref="E1307:E1308"/>
    <mergeCell ref="F1307:F1308"/>
    <mergeCell ref="A1329:A1332"/>
    <mergeCell ref="B1329:B1332"/>
    <mergeCell ref="C1329:C1332"/>
    <mergeCell ref="C1363:C1366"/>
    <mergeCell ref="D1363:D1366"/>
    <mergeCell ref="E1363:E1366"/>
    <mergeCell ref="F1386:F1387"/>
    <mergeCell ref="A1363:A1366"/>
    <mergeCell ref="D1374:D1380"/>
    <mergeCell ref="E1374:E1380"/>
    <mergeCell ref="A1321:A1324"/>
    <mergeCell ref="B1321:B1324"/>
    <mergeCell ref="D1325:D1328"/>
    <mergeCell ref="E1325:E1328"/>
    <mergeCell ref="B1269:B1271"/>
    <mergeCell ref="C1269:C1271"/>
    <mergeCell ref="F1298:F1300"/>
    <mergeCell ref="D1296:D1297"/>
    <mergeCell ref="E1282:E1284"/>
    <mergeCell ref="F1282:F1284"/>
    <mergeCell ref="B1296:B1297"/>
    <mergeCell ref="E1296:E1297"/>
    <mergeCell ref="F1296:F1297"/>
    <mergeCell ref="B1301:B1303"/>
    <mergeCell ref="C1301:C1303"/>
    <mergeCell ref="D1301:D1303"/>
    <mergeCell ref="F1301:F1303"/>
    <mergeCell ref="F1262:F1268"/>
    <mergeCell ref="A1301:A1303"/>
    <mergeCell ref="A1269:A1271"/>
    <mergeCell ref="C1292:C1295"/>
    <mergeCell ref="D1292:D1295"/>
    <mergeCell ref="B1285:B1286"/>
    <mergeCell ref="C1285:C1286"/>
    <mergeCell ref="D1285:D1286"/>
    <mergeCell ref="F1285:F1286"/>
    <mergeCell ref="F1292:F1295"/>
    <mergeCell ref="F1279:F1281"/>
    <mergeCell ref="A1275:A1278"/>
    <mergeCell ref="D1275:D1278"/>
    <mergeCell ref="E1275:E1278"/>
    <mergeCell ref="F1275:F1278"/>
    <mergeCell ref="F1272:F1274"/>
    <mergeCell ref="F1269:F1271"/>
    <mergeCell ref="A1272:A1274"/>
    <mergeCell ref="A1296:A1297"/>
    <mergeCell ref="A1204:A1206"/>
    <mergeCell ref="B1204:B1206"/>
    <mergeCell ref="C1204:C1206"/>
    <mergeCell ref="E1181:E1183"/>
    <mergeCell ref="E1172:E1173"/>
    <mergeCell ref="B1169:B1171"/>
    <mergeCell ref="D1198:D1202"/>
    <mergeCell ref="E1198:E1202"/>
    <mergeCell ref="B1193:B1195"/>
    <mergeCell ref="C1181:C1183"/>
    <mergeCell ref="B1184:B1188"/>
    <mergeCell ref="C1321:C1324"/>
    <mergeCell ref="D1321:D1324"/>
    <mergeCell ref="E1321:E1324"/>
    <mergeCell ref="B1230:B1232"/>
    <mergeCell ref="C1230:C1232"/>
    <mergeCell ref="B1282:B1284"/>
    <mergeCell ref="C1282:C1284"/>
    <mergeCell ref="D1282:D1284"/>
    <mergeCell ref="D1272:D1274"/>
    <mergeCell ref="E1272:E1274"/>
    <mergeCell ref="B1272:B1274"/>
    <mergeCell ref="C1272:C1274"/>
    <mergeCell ref="C1296:C1297"/>
    <mergeCell ref="E1298:E1300"/>
    <mergeCell ref="C1241:C1242"/>
    <mergeCell ref="D1241:D1242"/>
    <mergeCell ref="E1241:E1242"/>
    <mergeCell ref="E1279:E1281"/>
    <mergeCell ref="B1275:B1278"/>
    <mergeCell ref="C1275:C1278"/>
    <mergeCell ref="D1262:D1268"/>
    <mergeCell ref="A1084:A1086"/>
    <mergeCell ref="A1018:A1020"/>
    <mergeCell ref="A1138:A1140"/>
    <mergeCell ref="D1340:D1348"/>
    <mergeCell ref="E1340:E1348"/>
    <mergeCell ref="D1329:D1332"/>
    <mergeCell ref="A1230:A1232"/>
    <mergeCell ref="A1216:A1222"/>
    <mergeCell ref="A1259:A1261"/>
    <mergeCell ref="D1233:D1235"/>
    <mergeCell ref="E1233:E1235"/>
    <mergeCell ref="E1226:E1227"/>
    <mergeCell ref="E1301:E1303"/>
    <mergeCell ref="E1333:E1335"/>
    <mergeCell ref="A1304:A1306"/>
    <mergeCell ref="B1304:B1306"/>
    <mergeCell ref="C1304:C1306"/>
    <mergeCell ref="D1304:D1306"/>
    <mergeCell ref="E1304:E1306"/>
    <mergeCell ref="E1216:E1222"/>
    <mergeCell ref="A1049:A1051"/>
    <mergeCell ref="A1078:A1080"/>
    <mergeCell ref="D1024:D1025"/>
    <mergeCell ref="C1207:C1208"/>
    <mergeCell ref="D1207:D1208"/>
    <mergeCell ref="C1196:C1197"/>
    <mergeCell ref="D1196:D1197"/>
    <mergeCell ref="A1184:A1188"/>
    <mergeCell ref="B1151:B1155"/>
    <mergeCell ref="C1151:C1155"/>
    <mergeCell ref="D1151:D1155"/>
    <mergeCell ref="E1151:E1155"/>
    <mergeCell ref="A1088:A1090"/>
    <mergeCell ref="E1094:E1097"/>
    <mergeCell ref="A1120:A1122"/>
    <mergeCell ref="A1135:A1137"/>
    <mergeCell ref="A1127:A1130"/>
    <mergeCell ref="D1135:D1137"/>
    <mergeCell ref="C1138:C1140"/>
    <mergeCell ref="D1117:D1119"/>
    <mergeCell ref="F1340:F1348"/>
    <mergeCell ref="F1325:F1328"/>
    <mergeCell ref="B1363:B1366"/>
    <mergeCell ref="A1360:A1362"/>
    <mergeCell ref="F1333:F1335"/>
    <mergeCell ref="F1304:F1306"/>
    <mergeCell ref="A1336:A1339"/>
    <mergeCell ref="A1236:A1237"/>
    <mergeCell ref="A1132:A1134"/>
    <mergeCell ref="C1088:C1090"/>
    <mergeCell ref="B1088:B1090"/>
    <mergeCell ref="A1181:A1183"/>
    <mergeCell ref="A1179:A1180"/>
    <mergeCell ref="A1193:A1195"/>
    <mergeCell ref="B1210:B1214"/>
    <mergeCell ref="D1181:D1183"/>
    <mergeCell ref="D1179:D1180"/>
    <mergeCell ref="E1228:E1229"/>
    <mergeCell ref="A1117:A1119"/>
    <mergeCell ref="F1174:F1175"/>
    <mergeCell ref="A1196:A1197"/>
    <mergeCell ref="B1196:B1197"/>
    <mergeCell ref="A1207:A1208"/>
    <mergeCell ref="B1207:B1208"/>
    <mergeCell ref="B1386:B1387"/>
    <mergeCell ref="C1386:C1387"/>
    <mergeCell ref="D1386:D1387"/>
    <mergeCell ref="B1067:B1069"/>
    <mergeCell ref="D1081:D1083"/>
    <mergeCell ref="F1094:F1097"/>
    <mergeCell ref="D1067:D1069"/>
    <mergeCell ref="E1067:E1069"/>
    <mergeCell ref="D1049:D1051"/>
    <mergeCell ref="C1106:C1109"/>
    <mergeCell ref="B1106:B1109"/>
    <mergeCell ref="C1114:C1116"/>
    <mergeCell ref="D1114:D1116"/>
    <mergeCell ref="B1049:B1051"/>
    <mergeCell ref="C1049:C1051"/>
    <mergeCell ref="E1114:E1116"/>
    <mergeCell ref="E1132:E1134"/>
    <mergeCell ref="F1117:F1119"/>
    <mergeCell ref="D1123:D1126"/>
    <mergeCell ref="B1117:B1119"/>
    <mergeCell ref="C1117:C1119"/>
    <mergeCell ref="B1120:B1122"/>
    <mergeCell ref="B1102:B1105"/>
    <mergeCell ref="C1102:C1105"/>
    <mergeCell ref="C1098:C1101"/>
    <mergeCell ref="B1073:B1077"/>
    <mergeCell ref="C1287:C1288"/>
    <mergeCell ref="D1287:D1288"/>
    <mergeCell ref="F1226:F1227"/>
    <mergeCell ref="B1216:B1222"/>
    <mergeCell ref="C1216:C1222"/>
    <mergeCell ref="D1216:D1222"/>
    <mergeCell ref="B1236:B1237"/>
    <mergeCell ref="C1259:C1261"/>
    <mergeCell ref="F1259:F1261"/>
    <mergeCell ref="B1226:B1227"/>
    <mergeCell ref="C1226:C1227"/>
    <mergeCell ref="C1279:C1281"/>
    <mergeCell ref="C1262:C1268"/>
    <mergeCell ref="B1176:B1178"/>
    <mergeCell ref="A1374:A1380"/>
    <mergeCell ref="B1374:B1380"/>
    <mergeCell ref="C1374:C1380"/>
    <mergeCell ref="E1162:E1168"/>
    <mergeCell ref="D1174:D1175"/>
    <mergeCell ref="C1135:C1137"/>
    <mergeCell ref="A1176:A1178"/>
    <mergeCell ref="E1135:E1137"/>
    <mergeCell ref="B698:B700"/>
    <mergeCell ref="C698:C700"/>
    <mergeCell ref="D698:D700"/>
    <mergeCell ref="B1174:B1175"/>
    <mergeCell ref="C1145:C1147"/>
    <mergeCell ref="E1148:E1150"/>
    <mergeCell ref="B1094:B1097"/>
    <mergeCell ref="C1094:C1097"/>
    <mergeCell ref="C995:C997"/>
    <mergeCell ref="B1081:B1083"/>
    <mergeCell ref="F1216:F1222"/>
    <mergeCell ref="F1172:F1173"/>
    <mergeCell ref="F1228:F1229"/>
    <mergeCell ref="E1160:E1161"/>
    <mergeCell ref="F1160:F1161"/>
    <mergeCell ref="B1179:B1180"/>
    <mergeCell ref="B64:B66"/>
    <mergeCell ref="C64:C66"/>
    <mergeCell ref="D64:D66"/>
    <mergeCell ref="E64:E66"/>
    <mergeCell ref="F64:F66"/>
    <mergeCell ref="G64:G66"/>
    <mergeCell ref="A67:A68"/>
    <mergeCell ref="B67:B68"/>
    <mergeCell ref="C67:C68"/>
    <mergeCell ref="D67:D68"/>
    <mergeCell ref="E67:E68"/>
    <mergeCell ref="F67:F68"/>
    <mergeCell ref="G67:G68"/>
    <mergeCell ref="A94:A95"/>
    <mergeCell ref="B94:B95"/>
    <mergeCell ref="C94:C95"/>
    <mergeCell ref="D94:D95"/>
    <mergeCell ref="G94:G95"/>
    <mergeCell ref="A71:A77"/>
    <mergeCell ref="B71:B77"/>
    <mergeCell ref="D85:D93"/>
    <mergeCell ref="E85:E93"/>
    <mergeCell ref="F85:F93"/>
    <mergeCell ref="D71:D77"/>
    <mergeCell ref="E71:E77"/>
    <mergeCell ref="F71:F77"/>
    <mergeCell ref="G82:G84"/>
    <mergeCell ref="A85:A93"/>
    <mergeCell ref="B85:B93"/>
    <mergeCell ref="B212:B214"/>
    <mergeCell ref="C212:C214"/>
    <mergeCell ref="D199:D208"/>
    <mergeCell ref="E199:E208"/>
    <mergeCell ref="F199:F208"/>
    <mergeCell ref="C1021:C1022"/>
    <mergeCell ref="E1084:E1086"/>
    <mergeCell ref="C1067:C1069"/>
    <mergeCell ref="B1138:B1140"/>
    <mergeCell ref="B1135:B1137"/>
    <mergeCell ref="B517:B519"/>
    <mergeCell ref="B1132:B1134"/>
    <mergeCell ref="B1114:B1116"/>
    <mergeCell ref="B1084:B1086"/>
    <mergeCell ref="C1084:C1086"/>
    <mergeCell ref="C1132:C1134"/>
    <mergeCell ref="D1138:D1140"/>
    <mergeCell ref="E1138:E1140"/>
    <mergeCell ref="B1071:B1072"/>
    <mergeCell ref="D292:D300"/>
    <mergeCell ref="E240:E242"/>
    <mergeCell ref="C209:C211"/>
    <mergeCell ref="D209:D211"/>
    <mergeCell ref="E209:E211"/>
    <mergeCell ref="F209:F211"/>
    <mergeCell ref="C542:C551"/>
    <mergeCell ref="E542:E551"/>
    <mergeCell ref="E995:E997"/>
    <mergeCell ref="B958:B960"/>
    <mergeCell ref="E630:E632"/>
    <mergeCell ref="E790:E792"/>
    <mergeCell ref="D745:D749"/>
    <mergeCell ref="A191:A195"/>
    <mergeCell ref="B191:B195"/>
    <mergeCell ref="B181:B183"/>
    <mergeCell ref="C181:C183"/>
    <mergeCell ref="C191:C195"/>
    <mergeCell ref="D191:D195"/>
    <mergeCell ref="E191:E195"/>
    <mergeCell ref="F191:F195"/>
    <mergeCell ref="B187:B188"/>
    <mergeCell ref="C187:C188"/>
    <mergeCell ref="D187:D188"/>
    <mergeCell ref="E155:E157"/>
    <mergeCell ref="F155:F157"/>
    <mergeCell ref="B178:B180"/>
    <mergeCell ref="C178:C180"/>
    <mergeCell ref="E152:E154"/>
    <mergeCell ref="A178:A180"/>
    <mergeCell ref="D184:D186"/>
    <mergeCell ref="E184:E186"/>
    <mergeCell ref="F184:F186"/>
    <mergeCell ref="A181:A183"/>
    <mergeCell ref="F187:F188"/>
    <mergeCell ref="F152:F154"/>
    <mergeCell ref="E263:E271"/>
    <mergeCell ref="B1181:B1183"/>
    <mergeCell ref="A251:A253"/>
    <mergeCell ref="B251:B253"/>
    <mergeCell ref="C251:C253"/>
    <mergeCell ref="D251:D253"/>
    <mergeCell ref="E251:E253"/>
    <mergeCell ref="F251:F253"/>
    <mergeCell ref="G251:G253"/>
    <mergeCell ref="A321:A323"/>
    <mergeCell ref="B321:B323"/>
    <mergeCell ref="E517:E519"/>
    <mergeCell ref="A563:A565"/>
    <mergeCell ref="B563:B565"/>
    <mergeCell ref="C263:C271"/>
    <mergeCell ref="E557:E559"/>
    <mergeCell ref="F557:F559"/>
    <mergeCell ref="C425:C429"/>
    <mergeCell ref="A542:A551"/>
    <mergeCell ref="B542:B551"/>
    <mergeCell ref="A413:A416"/>
    <mergeCell ref="B413:B416"/>
    <mergeCell ref="A508:A516"/>
    <mergeCell ref="B508:B516"/>
    <mergeCell ref="C508:C516"/>
    <mergeCell ref="D462:D464"/>
    <mergeCell ref="D375:D377"/>
    <mergeCell ref="E375:E377"/>
    <mergeCell ref="D542:D551"/>
    <mergeCell ref="D1034:D1038"/>
    <mergeCell ref="B1052:B1054"/>
    <mergeCell ref="C1052:C1054"/>
    <mergeCell ref="A1400:A1404"/>
    <mergeCell ref="B1400:B1404"/>
    <mergeCell ref="C1400:C1404"/>
    <mergeCell ref="A1405:A1409"/>
    <mergeCell ref="F1917:F1919"/>
    <mergeCell ref="G1917:G1919"/>
    <mergeCell ref="G1401:G1402"/>
    <mergeCell ref="G2188:G2189"/>
    <mergeCell ref="G2190:G2191"/>
    <mergeCell ref="G1435:G1436"/>
    <mergeCell ref="A1437:A1445"/>
    <mergeCell ref="B1437:B1445"/>
    <mergeCell ref="C1437:C1445"/>
    <mergeCell ref="B2059:B2060"/>
    <mergeCell ref="C2059:C2060"/>
    <mergeCell ref="D2059:D2060"/>
    <mergeCell ref="E2059:E2060"/>
    <mergeCell ref="G1920:G1922"/>
    <mergeCell ref="F1567:F1569"/>
    <mergeCell ref="C1694:C1696"/>
    <mergeCell ref="D1694:D1696"/>
    <mergeCell ref="E1694:E1696"/>
    <mergeCell ref="C1883:C1885"/>
    <mergeCell ref="D1883:D1885"/>
    <mergeCell ref="A1773:A1774"/>
    <mergeCell ref="A1547:A1548"/>
    <mergeCell ref="A1420:A1423"/>
    <mergeCell ref="B1420:B1423"/>
    <mergeCell ref="F1420:F1423"/>
    <mergeCell ref="G1431:G1432"/>
    <mergeCell ref="G1433:G1434"/>
    <mergeCell ref="A1428:A1436"/>
    <mergeCell ref="A2382:A2384"/>
    <mergeCell ref="B2382:B2384"/>
    <mergeCell ref="C2382:C2384"/>
    <mergeCell ref="D2382:D2384"/>
    <mergeCell ref="E2382:E2384"/>
    <mergeCell ref="F2382:F2384"/>
    <mergeCell ref="G2401:G2402"/>
    <mergeCell ref="G2396:G2397"/>
    <mergeCell ref="D2403:D2405"/>
    <mergeCell ref="E2403:E2405"/>
    <mergeCell ref="F2406:F2408"/>
    <mergeCell ref="G2406:G2408"/>
    <mergeCell ref="G2398:G2399"/>
    <mergeCell ref="A2400:A2402"/>
    <mergeCell ref="B2400:B2402"/>
    <mergeCell ref="C2400:C2402"/>
    <mergeCell ref="E2305:E2307"/>
    <mergeCell ref="A2311:A2312"/>
    <mergeCell ref="G2317:G2318"/>
    <mergeCell ref="G2319:G2320"/>
    <mergeCell ref="D2313:D2315"/>
    <mergeCell ref="D2333:D2339"/>
    <mergeCell ref="E2333:E2339"/>
    <mergeCell ref="F2333:F2339"/>
    <mergeCell ref="G2334:G2335"/>
    <mergeCell ref="G2336:G2337"/>
    <mergeCell ref="G2338:G2339"/>
    <mergeCell ref="F2308:F2310"/>
    <mergeCell ref="B2311:B2312"/>
    <mergeCell ref="E2393:E2399"/>
    <mergeCell ref="F2393:F2399"/>
    <mergeCell ref="E2316:E2320"/>
    <mergeCell ref="E2386:E2388"/>
    <mergeCell ref="F2386:F2388"/>
    <mergeCell ref="G2409:G2411"/>
    <mergeCell ref="A2429:A2435"/>
    <mergeCell ref="B2429:B2435"/>
    <mergeCell ref="C2412:C2414"/>
    <mergeCell ref="A2393:A2399"/>
    <mergeCell ref="B2393:B2399"/>
    <mergeCell ref="C2393:C2399"/>
    <mergeCell ref="A2436:A2438"/>
    <mergeCell ref="B2436:B2438"/>
    <mergeCell ref="C2436:C2438"/>
    <mergeCell ref="D2436:D2438"/>
    <mergeCell ref="E2436:E2438"/>
    <mergeCell ref="F2436:F2438"/>
    <mergeCell ref="G2436:G2438"/>
    <mergeCell ref="A2386:A2388"/>
    <mergeCell ref="B2386:B2388"/>
    <mergeCell ref="E2426:E2428"/>
    <mergeCell ref="F2426:F2428"/>
    <mergeCell ref="A2409:A2411"/>
    <mergeCell ref="A2415:A2425"/>
    <mergeCell ref="A2412:A2414"/>
    <mergeCell ref="G2416:G2417"/>
    <mergeCell ref="G2418:G2419"/>
    <mergeCell ref="G2427:G2428"/>
    <mergeCell ref="G2430:G2431"/>
    <mergeCell ref="A2439:A2441"/>
    <mergeCell ref="B2439:B2441"/>
    <mergeCell ref="C2439:C2441"/>
    <mergeCell ref="D2439:D2441"/>
    <mergeCell ref="E2439:E2441"/>
    <mergeCell ref="F2439:F2441"/>
    <mergeCell ref="G2439:G2441"/>
    <mergeCell ref="G2404:G2405"/>
    <mergeCell ref="A2442:A2444"/>
    <mergeCell ref="B2442:B2444"/>
    <mergeCell ref="C2442:C2444"/>
    <mergeCell ref="D2442:D2444"/>
    <mergeCell ref="E2442:E2444"/>
    <mergeCell ref="F2442:F2444"/>
    <mergeCell ref="G2442:G2444"/>
    <mergeCell ref="B2445:B2447"/>
    <mergeCell ref="D2460:D2462"/>
    <mergeCell ref="E2460:E2462"/>
    <mergeCell ref="F2460:F2462"/>
    <mergeCell ref="G2461:G2462"/>
    <mergeCell ref="A2426:A2428"/>
    <mergeCell ref="B2426:B2428"/>
    <mergeCell ref="C2426:C2428"/>
    <mergeCell ref="D2426:D2428"/>
    <mergeCell ref="G2446:G2447"/>
    <mergeCell ref="A2460:A2462"/>
    <mergeCell ref="B2448:B2450"/>
    <mergeCell ref="C2448:C2450"/>
    <mergeCell ref="D2448:D2450"/>
    <mergeCell ref="E2448:E2450"/>
    <mergeCell ref="F2448:F2450"/>
    <mergeCell ref="D2445:D2447"/>
    <mergeCell ref="G2497:G2499"/>
    <mergeCell ref="F2463:F2465"/>
    <mergeCell ref="G2448:G2450"/>
    <mergeCell ref="A2445:A2447"/>
    <mergeCell ref="C2445:C2447"/>
    <mergeCell ref="D2451:D2452"/>
    <mergeCell ref="E2451:E2452"/>
    <mergeCell ref="F2451:F2452"/>
    <mergeCell ref="G2451:G2452"/>
    <mergeCell ref="A2453:A2459"/>
    <mergeCell ref="F2466:F2472"/>
    <mergeCell ref="C2460:C2462"/>
    <mergeCell ref="B2453:B2459"/>
    <mergeCell ref="C2453:C2459"/>
    <mergeCell ref="D2453:D2459"/>
    <mergeCell ref="E2453:E2459"/>
    <mergeCell ref="F2453:F2459"/>
    <mergeCell ref="G2454:G2455"/>
    <mergeCell ref="G2456:G2457"/>
    <mergeCell ref="G2458:G2459"/>
    <mergeCell ref="E2445:E2447"/>
    <mergeCell ref="F2445:F2447"/>
    <mergeCell ref="B2466:B2472"/>
    <mergeCell ref="C2466:C2472"/>
    <mergeCell ref="B2451:B2452"/>
    <mergeCell ref="C2451:C2452"/>
    <mergeCell ref="G2467:G2468"/>
    <mergeCell ref="G2469:G2470"/>
    <mergeCell ref="E2494:E2496"/>
    <mergeCell ref="F2494:F2496"/>
    <mergeCell ref="B2500:B2506"/>
    <mergeCell ref="D2507:D2509"/>
    <mergeCell ref="E2507:E2509"/>
    <mergeCell ref="F2507:F2509"/>
    <mergeCell ref="A2500:A2506"/>
    <mergeCell ref="A2463:A2465"/>
    <mergeCell ref="B2463:B2465"/>
    <mergeCell ref="C2463:C2465"/>
    <mergeCell ref="D2463:D2465"/>
    <mergeCell ref="E2463:E2465"/>
    <mergeCell ref="A2466:A2472"/>
    <mergeCell ref="B2507:B2509"/>
    <mergeCell ref="C2507:C2509"/>
    <mergeCell ref="C2497:C2499"/>
    <mergeCell ref="D2497:D2499"/>
    <mergeCell ref="E2497:E2499"/>
    <mergeCell ref="F2497:F2499"/>
    <mergeCell ref="G23:G25"/>
    <mergeCell ref="E36:E38"/>
    <mergeCell ref="F36:F38"/>
    <mergeCell ref="F34:F35"/>
    <mergeCell ref="A36:A38"/>
    <mergeCell ref="C2500:C2506"/>
    <mergeCell ref="D2500:D2506"/>
    <mergeCell ref="E2500:E2506"/>
    <mergeCell ref="F2500:F2506"/>
    <mergeCell ref="G2505:G2506"/>
    <mergeCell ref="A2480:A2486"/>
    <mergeCell ref="B2480:B2486"/>
    <mergeCell ref="C2480:C2486"/>
    <mergeCell ref="A2487:A2493"/>
    <mergeCell ref="B2487:B2493"/>
    <mergeCell ref="C2487:C2493"/>
    <mergeCell ref="D2487:D2493"/>
    <mergeCell ref="E2487:E2493"/>
    <mergeCell ref="F2487:F2493"/>
    <mergeCell ref="G2488:G2489"/>
    <mergeCell ref="G2490:G2491"/>
    <mergeCell ref="G2492:G2493"/>
    <mergeCell ref="D2480:D2486"/>
    <mergeCell ref="E2480:E2486"/>
    <mergeCell ref="A2497:A2499"/>
    <mergeCell ref="B2497:B2499"/>
    <mergeCell ref="G2463:G2465"/>
    <mergeCell ref="B2460:B2462"/>
    <mergeCell ref="C1157:C1159"/>
    <mergeCell ref="A1162:A1168"/>
    <mergeCell ref="B1162:B1168"/>
    <mergeCell ref="A2448:A2450"/>
    <mergeCell ref="A20:A22"/>
    <mergeCell ref="B20:B22"/>
    <mergeCell ref="C20:C22"/>
    <mergeCell ref="D20:D22"/>
    <mergeCell ref="E20:E22"/>
    <mergeCell ref="F20:F22"/>
    <mergeCell ref="G20:G22"/>
    <mergeCell ref="A29:A31"/>
    <mergeCell ref="B29:B31"/>
    <mergeCell ref="C29:C31"/>
    <mergeCell ref="D29:D31"/>
    <mergeCell ref="E29:E31"/>
    <mergeCell ref="F29:F31"/>
    <mergeCell ref="G29:G31"/>
    <mergeCell ref="A39:A42"/>
    <mergeCell ref="B39:B42"/>
    <mergeCell ref="C39:C42"/>
    <mergeCell ref="D39:D42"/>
    <mergeCell ref="E39:E42"/>
    <mergeCell ref="F39:F42"/>
    <mergeCell ref="G39:G42"/>
    <mergeCell ref="A23:A25"/>
    <mergeCell ref="B23:B25"/>
    <mergeCell ref="C23:C25"/>
    <mergeCell ref="D23:D25"/>
    <mergeCell ref="E23:E25"/>
    <mergeCell ref="F23:F25"/>
    <mergeCell ref="B36:B38"/>
    <mergeCell ref="C36:C38"/>
    <mergeCell ref="D36:D38"/>
    <mergeCell ref="A26:A28"/>
    <mergeCell ref="B26:B28"/>
    <mergeCell ref="A1067:A1069"/>
    <mergeCell ref="A1071:A1072"/>
    <mergeCell ref="C1071:C1072"/>
    <mergeCell ref="D1071:D1072"/>
    <mergeCell ref="A1141:A1142"/>
    <mergeCell ref="B1141:B1142"/>
    <mergeCell ref="A1198:A1202"/>
    <mergeCell ref="B1228:B1229"/>
    <mergeCell ref="C1228:C1229"/>
    <mergeCell ref="D1228:D1229"/>
    <mergeCell ref="A1241:A1242"/>
    <mergeCell ref="B1241:B1242"/>
    <mergeCell ref="C1174:C1175"/>
    <mergeCell ref="C1172:C1173"/>
    <mergeCell ref="A1160:A1161"/>
    <mergeCell ref="C1160:C1161"/>
    <mergeCell ref="D1160:D1161"/>
    <mergeCell ref="A1157:A1159"/>
    <mergeCell ref="B1157:B1159"/>
    <mergeCell ref="A1189:A1192"/>
    <mergeCell ref="A1169:A1171"/>
    <mergeCell ref="A1174:A1175"/>
    <mergeCell ref="A1172:A1173"/>
    <mergeCell ref="B1172:B1173"/>
    <mergeCell ref="D1172:D1173"/>
    <mergeCell ref="C1179:C1180"/>
    <mergeCell ref="C1184:C1188"/>
    <mergeCell ref="D1184:D1188"/>
    <mergeCell ref="A1226:A1227"/>
    <mergeCell ref="D1226:D1227"/>
    <mergeCell ref="D1204:D1206"/>
    <mergeCell ref="B1198:B1202"/>
    <mergeCell ref="A1298:A1300"/>
    <mergeCell ref="B1259:B1261"/>
    <mergeCell ref="D1162:D1168"/>
    <mergeCell ref="B1160:B1161"/>
    <mergeCell ref="D1145:D1147"/>
    <mergeCell ref="A1228:A1229"/>
    <mergeCell ref="A1098:A1101"/>
    <mergeCell ref="B1098:B1101"/>
    <mergeCell ref="E1081:E1083"/>
    <mergeCell ref="F1081:F1083"/>
    <mergeCell ref="E1010:E1011"/>
    <mergeCell ref="C1078:C1080"/>
    <mergeCell ref="A1010:A1011"/>
    <mergeCell ref="B1010:B1011"/>
    <mergeCell ref="E1018:E1020"/>
    <mergeCell ref="E1078:E1080"/>
    <mergeCell ref="A1073:A1077"/>
    <mergeCell ref="B1029:B1033"/>
    <mergeCell ref="C1029:C1033"/>
    <mergeCell ref="D1073:D1077"/>
    <mergeCell ref="C1018:C1020"/>
    <mergeCell ref="A1094:A1097"/>
    <mergeCell ref="F1071:F1072"/>
    <mergeCell ref="C1012:C1013"/>
    <mergeCell ref="E1021:E1022"/>
    <mergeCell ref="F1021:F1022"/>
    <mergeCell ref="C1081:C1083"/>
    <mergeCell ref="F1049:F1051"/>
    <mergeCell ref="D1098:D1101"/>
    <mergeCell ref="A1091:A1093"/>
    <mergeCell ref="B1091:B1093"/>
    <mergeCell ref="A1102:A1105"/>
    <mergeCell ref="A1024:A1025"/>
    <mergeCell ref="B1024:B1025"/>
    <mergeCell ref="C1024:C1025"/>
    <mergeCell ref="A934:A935"/>
    <mergeCell ref="B934:B935"/>
    <mergeCell ref="C934:C935"/>
    <mergeCell ref="C580:C582"/>
    <mergeCell ref="B462:B464"/>
    <mergeCell ref="C462:C464"/>
    <mergeCell ref="A462:A464"/>
    <mergeCell ref="A745:A749"/>
    <mergeCell ref="C733:C741"/>
    <mergeCell ref="A761:A763"/>
    <mergeCell ref="C745:C749"/>
    <mergeCell ref="B832:B834"/>
    <mergeCell ref="A614:A629"/>
    <mergeCell ref="C563:C565"/>
    <mergeCell ref="B590:B592"/>
    <mergeCell ref="A947:A948"/>
    <mergeCell ref="A944:A946"/>
    <mergeCell ref="A936:A938"/>
    <mergeCell ref="B936:B938"/>
    <mergeCell ref="A942:A943"/>
    <mergeCell ref="B1018:B1020"/>
    <mergeCell ref="A733:A741"/>
    <mergeCell ref="C990:C991"/>
    <mergeCell ref="A605:A607"/>
    <mergeCell ref="B605:B607"/>
    <mergeCell ref="C605:C607"/>
    <mergeCell ref="C577:C579"/>
    <mergeCell ref="A599:A601"/>
    <mergeCell ref="B599:B601"/>
    <mergeCell ref="C799:C817"/>
    <mergeCell ref="D797:D798"/>
    <mergeCell ref="B753:B754"/>
    <mergeCell ref="B787:B789"/>
    <mergeCell ref="C787:C789"/>
    <mergeCell ref="D787:D789"/>
    <mergeCell ref="E797:E798"/>
    <mergeCell ref="F797:F798"/>
    <mergeCell ref="A797:A798"/>
    <mergeCell ref="A753:A754"/>
    <mergeCell ref="A476:A480"/>
    <mergeCell ref="B476:B480"/>
    <mergeCell ref="C476:C480"/>
    <mergeCell ref="A406:A409"/>
    <mergeCell ref="B406:B409"/>
    <mergeCell ref="C406:C409"/>
    <mergeCell ref="A1008:A1009"/>
    <mergeCell ref="B1008:B1009"/>
    <mergeCell ref="D574:D576"/>
    <mergeCell ref="E745:E749"/>
    <mergeCell ref="D981:D987"/>
    <mergeCell ref="E981:E987"/>
    <mergeCell ref="D605:D607"/>
    <mergeCell ref="E605:E607"/>
    <mergeCell ref="F605:F607"/>
    <mergeCell ref="D577:D579"/>
    <mergeCell ref="E577:E579"/>
    <mergeCell ref="F577:F579"/>
    <mergeCell ref="E574:E576"/>
    <mergeCell ref="F574:F576"/>
    <mergeCell ref="C599:C601"/>
    <mergeCell ref="D599:D601"/>
    <mergeCell ref="E304:E306"/>
    <mergeCell ref="C304:C306"/>
    <mergeCell ref="A421:A424"/>
    <mergeCell ref="B430:B436"/>
    <mergeCell ref="C430:C436"/>
    <mergeCell ref="D430:D436"/>
    <mergeCell ref="B446:B454"/>
    <mergeCell ref="C446:C454"/>
    <mergeCell ref="C417:C420"/>
    <mergeCell ref="B425:B429"/>
    <mergeCell ref="A375:A377"/>
    <mergeCell ref="B375:B377"/>
    <mergeCell ref="A400:A402"/>
    <mergeCell ref="D406:D409"/>
    <mergeCell ref="C283:C291"/>
    <mergeCell ref="D400:D402"/>
    <mergeCell ref="A430:A436"/>
    <mergeCell ref="C391:C394"/>
    <mergeCell ref="D391:D394"/>
    <mergeCell ref="E391:E394"/>
    <mergeCell ref="A395:A397"/>
    <mergeCell ref="B395:B397"/>
    <mergeCell ref="C395:C397"/>
    <mergeCell ref="E337:E358"/>
    <mergeCell ref="E283:E291"/>
    <mergeCell ref="D304:D306"/>
    <mergeCell ref="A292:A300"/>
    <mergeCell ref="B292:B300"/>
    <mergeCell ref="C292:C300"/>
    <mergeCell ref="D372:D374"/>
    <mergeCell ref="E372:E374"/>
    <mergeCell ref="B400:B402"/>
    <mergeCell ref="A257:A261"/>
    <mergeCell ref="B257:B261"/>
    <mergeCell ref="C257:C261"/>
    <mergeCell ref="D257:D261"/>
    <mergeCell ref="A385:A387"/>
    <mergeCell ref="D385:D387"/>
    <mergeCell ref="B385:B387"/>
    <mergeCell ref="C385:C387"/>
    <mergeCell ref="D366:D369"/>
    <mergeCell ref="C375:C377"/>
    <mergeCell ref="A337:A358"/>
    <mergeCell ref="B337:B358"/>
    <mergeCell ref="C337:C358"/>
    <mergeCell ref="D337:D358"/>
    <mergeCell ref="D324:D336"/>
    <mergeCell ref="A263:A271"/>
    <mergeCell ref="B263:B271"/>
    <mergeCell ref="A324:A336"/>
    <mergeCell ref="D283:D291"/>
    <mergeCell ref="A304:A306"/>
    <mergeCell ref="B281:B282"/>
    <mergeCell ref="C281:C282"/>
    <mergeCell ref="D281:D282"/>
    <mergeCell ref="B315:B317"/>
    <mergeCell ref="C315:C317"/>
    <mergeCell ref="B304:B306"/>
    <mergeCell ref="A281:A282"/>
    <mergeCell ref="D263:D271"/>
    <mergeCell ref="A307:A310"/>
    <mergeCell ref="A254:A256"/>
    <mergeCell ref="B254:B256"/>
    <mergeCell ref="A318:A320"/>
    <mergeCell ref="B283:B291"/>
    <mergeCell ref="A283:A291"/>
    <mergeCell ref="A311:A314"/>
    <mergeCell ref="B311:B314"/>
    <mergeCell ref="C311:C314"/>
    <mergeCell ref="D311:D314"/>
    <mergeCell ref="E311:E314"/>
    <mergeCell ref="D315:D317"/>
    <mergeCell ref="E257:E261"/>
    <mergeCell ref="G740:G741"/>
    <mergeCell ref="A774:A782"/>
    <mergeCell ref="B774:B782"/>
    <mergeCell ref="G315:G317"/>
    <mergeCell ref="F417:F420"/>
    <mergeCell ref="G417:G420"/>
    <mergeCell ref="G481:G483"/>
    <mergeCell ref="G636:G638"/>
    <mergeCell ref="G730:G732"/>
    <mergeCell ref="G478:G480"/>
    <mergeCell ref="D517:D519"/>
    <mergeCell ref="G442:G443"/>
    <mergeCell ref="G444:G445"/>
    <mergeCell ref="E421:E424"/>
    <mergeCell ref="F421:F424"/>
    <mergeCell ref="G421:G424"/>
    <mergeCell ref="F410:F412"/>
    <mergeCell ref="D437:D445"/>
    <mergeCell ref="G738:G739"/>
    <mergeCell ref="E388:E390"/>
    <mergeCell ref="A1034:A1038"/>
    <mergeCell ref="F1052:F1054"/>
    <mergeCell ref="F1034:F1038"/>
    <mergeCell ref="D1012:D1013"/>
    <mergeCell ref="E1012:E1013"/>
    <mergeCell ref="F1012:F1013"/>
    <mergeCell ref="A1026:A1028"/>
    <mergeCell ref="A721:A723"/>
    <mergeCell ref="B797:B798"/>
    <mergeCell ref="C797:C798"/>
    <mergeCell ref="A1002:A1003"/>
    <mergeCell ref="B1002:B1003"/>
    <mergeCell ref="C1002:C1003"/>
    <mergeCell ref="E799:E817"/>
    <mergeCell ref="A750:A752"/>
    <mergeCell ref="B750:B752"/>
    <mergeCell ref="C750:C752"/>
    <mergeCell ref="D750:D752"/>
    <mergeCell ref="E750:E752"/>
    <mergeCell ref="F750:F752"/>
    <mergeCell ref="A799:A817"/>
    <mergeCell ref="A958:A960"/>
    <mergeCell ref="F1018:F1020"/>
    <mergeCell ref="D1018:D1020"/>
    <mergeCell ref="E1002:E1003"/>
    <mergeCell ref="F1002:F1003"/>
    <mergeCell ref="A961:A963"/>
    <mergeCell ref="B961:B963"/>
    <mergeCell ref="C961:C963"/>
    <mergeCell ref="D961:D963"/>
    <mergeCell ref="F990:F991"/>
    <mergeCell ref="B799:B817"/>
    <mergeCell ref="F246:F250"/>
    <mergeCell ref="G247:G248"/>
    <mergeCell ref="F552:F556"/>
    <mergeCell ref="F388:F390"/>
    <mergeCell ref="F283:F291"/>
    <mergeCell ref="G212:G214"/>
    <mergeCell ref="G428:G429"/>
    <mergeCell ref="F406:F409"/>
    <mergeCell ref="G406:G409"/>
    <mergeCell ref="G517:G519"/>
    <mergeCell ref="G563:G565"/>
    <mergeCell ref="G645:G647"/>
    <mergeCell ref="F724:F726"/>
    <mergeCell ref="G724:G726"/>
    <mergeCell ref="F315:F317"/>
    <mergeCell ref="G385:G387"/>
    <mergeCell ref="G321:G323"/>
    <mergeCell ref="G312:G314"/>
    <mergeCell ref="F281:F282"/>
    <mergeCell ref="G509:G510"/>
    <mergeCell ref="G511:G512"/>
    <mergeCell ref="G513:G514"/>
    <mergeCell ref="G515:G516"/>
    <mergeCell ref="F563:F565"/>
    <mergeCell ref="F630:F632"/>
    <mergeCell ref="F633:F635"/>
    <mergeCell ref="F212:F214"/>
    <mergeCell ref="F254:F256"/>
    <mergeCell ref="F372:F374"/>
    <mergeCell ref="G577:G579"/>
    <mergeCell ref="G549:G551"/>
    <mergeCell ref="G593:G595"/>
    <mergeCell ref="G284:G285"/>
    <mergeCell ref="G286:G287"/>
    <mergeCell ref="G555:G556"/>
    <mergeCell ref="F318:F320"/>
    <mergeCell ref="G318:G320"/>
    <mergeCell ref="G1207:G1208"/>
    <mergeCell ref="D508:D516"/>
    <mergeCell ref="E508:E516"/>
    <mergeCell ref="F508:F516"/>
    <mergeCell ref="G434:G436"/>
    <mergeCell ref="G388:G390"/>
    <mergeCell ref="E400:E402"/>
    <mergeCell ref="D395:D397"/>
    <mergeCell ref="E395:E397"/>
    <mergeCell ref="G491:G492"/>
    <mergeCell ref="G462:G464"/>
    <mergeCell ref="G440:G441"/>
    <mergeCell ref="E410:E412"/>
    <mergeCell ref="F391:F394"/>
    <mergeCell ref="G391:G394"/>
    <mergeCell ref="F467:F475"/>
    <mergeCell ref="E437:E445"/>
    <mergeCell ref="E430:E436"/>
    <mergeCell ref="G372:G374"/>
    <mergeCell ref="G379:G381"/>
    <mergeCell ref="G382:G384"/>
    <mergeCell ref="D774:D782"/>
    <mergeCell ref="E774:E782"/>
    <mergeCell ref="F774:F782"/>
    <mergeCell ref="G775:G776"/>
    <mergeCell ref="G800:G802"/>
    <mergeCell ref="E406:E409"/>
    <mergeCell ref="F375:F377"/>
    <mergeCell ref="G375:G377"/>
    <mergeCell ref="E385:E387"/>
    <mergeCell ref="F400:F402"/>
    <mergeCell ref="G400:G402"/>
    <mergeCell ref="D388:D390"/>
    <mergeCell ref="G1336:G1339"/>
    <mergeCell ref="F854:F857"/>
    <mergeCell ref="F1141:F1142"/>
    <mergeCell ref="F1287:F1288"/>
    <mergeCell ref="G1287:G1288"/>
    <mergeCell ref="G1275:G1278"/>
    <mergeCell ref="G1279:G1281"/>
    <mergeCell ref="G1269:G1271"/>
    <mergeCell ref="G1272:G1274"/>
    <mergeCell ref="G1211:G1212"/>
    <mergeCell ref="G1213:G1214"/>
    <mergeCell ref="F1067:F1069"/>
    <mergeCell ref="F1102:F1105"/>
    <mergeCell ref="G1282:G1284"/>
    <mergeCell ref="G1263:G1264"/>
    <mergeCell ref="G1230:G1232"/>
    <mergeCell ref="E663:E671"/>
    <mergeCell ref="D633:D635"/>
    <mergeCell ref="E633:E635"/>
    <mergeCell ref="D1259:D1261"/>
    <mergeCell ref="G1219:G1220"/>
    <mergeCell ref="G1221:G1222"/>
    <mergeCell ref="E1262:E1268"/>
    <mergeCell ref="E1285:E1286"/>
    <mergeCell ref="G596:G598"/>
    <mergeCell ref="E599:E601"/>
    <mergeCell ref="G874:G876"/>
    <mergeCell ref="G1135:G1137"/>
    <mergeCell ref="G1076:G1077"/>
    <mergeCell ref="F934:F935"/>
    <mergeCell ref="F1207:F1208"/>
    <mergeCell ref="F517:F519"/>
    <mergeCell ref="F425:F429"/>
    <mergeCell ref="G451:G452"/>
    <mergeCell ref="G453:G454"/>
    <mergeCell ref="F395:F397"/>
    <mergeCell ref="G395:G397"/>
    <mergeCell ref="G1329:G1332"/>
    <mergeCell ref="E1091:E1093"/>
    <mergeCell ref="F1091:F1093"/>
    <mergeCell ref="G1091:G1093"/>
    <mergeCell ref="G1236:G1237"/>
    <mergeCell ref="E1287:E1288"/>
    <mergeCell ref="E1049:E1051"/>
    <mergeCell ref="E1026:E1028"/>
    <mergeCell ref="F1026:F1028"/>
    <mergeCell ref="G777:G780"/>
    <mergeCell ref="F599:F601"/>
    <mergeCell ref="G599:G601"/>
    <mergeCell ref="G1071:G1072"/>
    <mergeCell ref="E932:E933"/>
    <mergeCell ref="F942:F943"/>
    <mergeCell ref="E1000:E1001"/>
    <mergeCell ref="E998:E999"/>
    <mergeCell ref="F998:F999"/>
    <mergeCell ref="E877:E886"/>
    <mergeCell ref="F877:F886"/>
    <mergeCell ref="F903:F914"/>
    <mergeCell ref="C1623:C1626"/>
    <mergeCell ref="D1623:D1626"/>
    <mergeCell ref="E1623:E1626"/>
    <mergeCell ref="F1623:F1626"/>
    <mergeCell ref="C1677:C1678"/>
    <mergeCell ref="F1123:F1126"/>
    <mergeCell ref="G1700:G1701"/>
    <mergeCell ref="C1336:C1339"/>
    <mergeCell ref="D1336:D1339"/>
    <mergeCell ref="E1336:E1339"/>
    <mergeCell ref="F1336:F1339"/>
    <mergeCell ref="C1367:C1373"/>
    <mergeCell ref="D1367:D1373"/>
    <mergeCell ref="G1138:G1140"/>
    <mergeCell ref="G1360:G1362"/>
    <mergeCell ref="G1224:G1225"/>
    <mergeCell ref="G1248:G1249"/>
    <mergeCell ref="E1127:E1130"/>
    <mergeCell ref="F1329:F1332"/>
    <mergeCell ref="D1381:D1385"/>
    <mergeCell ref="E1381:E1385"/>
    <mergeCell ref="F1381:F1385"/>
    <mergeCell ref="C1236:C1237"/>
    <mergeCell ref="D1236:D1237"/>
    <mergeCell ref="E1236:E1237"/>
    <mergeCell ref="F1236:F1237"/>
    <mergeCell ref="G1265:G1266"/>
    <mergeCell ref="C1405:C1409"/>
    <mergeCell ref="C1298:C1300"/>
    <mergeCell ref="G1363:G1366"/>
    <mergeCell ref="D1388:D1390"/>
    <mergeCell ref="E1388:E1390"/>
    <mergeCell ref="E934:E935"/>
    <mergeCell ref="F1098:F1101"/>
    <mergeCell ref="G1019:G1020"/>
    <mergeCell ref="G1189:G1192"/>
    <mergeCell ref="F1135:F1137"/>
    <mergeCell ref="D1157:D1159"/>
    <mergeCell ref="F1169:F1171"/>
    <mergeCell ref="C1169:C1171"/>
    <mergeCell ref="D1169:D1171"/>
    <mergeCell ref="E1169:E1171"/>
    <mergeCell ref="F1151:F1155"/>
    <mergeCell ref="C964:C965"/>
    <mergeCell ref="G1176:G1178"/>
    <mergeCell ref="E1204:E1206"/>
    <mergeCell ref="F1193:F1195"/>
    <mergeCell ref="C1333:C1335"/>
    <mergeCell ref="D1333:D1335"/>
    <mergeCell ref="G1204:G1206"/>
    <mergeCell ref="C1193:C1195"/>
    <mergeCell ref="D1193:D1195"/>
    <mergeCell ref="G1184:G1188"/>
    <mergeCell ref="F1181:F1183"/>
    <mergeCell ref="E1098:E1101"/>
    <mergeCell ref="G1181:G1183"/>
    <mergeCell ref="D1094:D1097"/>
    <mergeCell ref="D1000:D1001"/>
    <mergeCell ref="D995:D997"/>
    <mergeCell ref="D934:D935"/>
    <mergeCell ref="G1333:G1335"/>
    <mergeCell ref="D1189:D1192"/>
    <mergeCell ref="E1189:E1192"/>
    <mergeCell ref="F1189:F1192"/>
    <mergeCell ref="F1078:F1080"/>
    <mergeCell ref="D1078:D1080"/>
    <mergeCell ref="E1106:E1109"/>
    <mergeCell ref="F1196:F1197"/>
    <mergeCell ref="C1176:C1178"/>
    <mergeCell ref="D1176:D1178"/>
    <mergeCell ref="E1176:E1178"/>
    <mergeCell ref="F1176:F1178"/>
    <mergeCell ref="C1064:C1066"/>
    <mergeCell ref="D1064:D1066"/>
    <mergeCell ref="F1046:F1048"/>
    <mergeCell ref="E1196:E1197"/>
    <mergeCell ref="C1091:C1093"/>
    <mergeCell ref="F1360:F1362"/>
    <mergeCell ref="F825:F828"/>
    <mergeCell ref="G832:G834"/>
    <mergeCell ref="G1228:G1229"/>
    <mergeCell ref="F1233:F1235"/>
    <mergeCell ref="G1233:G1235"/>
    <mergeCell ref="G1217:G1218"/>
    <mergeCell ref="D1230:D1232"/>
    <mergeCell ref="E1230:E1232"/>
    <mergeCell ref="D1279:D1281"/>
    <mergeCell ref="G1267:G1268"/>
    <mergeCell ref="D1091:D1093"/>
    <mergeCell ref="E1207:E1208"/>
    <mergeCell ref="E1123:E1126"/>
    <mergeCell ref="D1008:D1009"/>
    <mergeCell ref="E1008:E1009"/>
    <mergeCell ref="F1008:F1009"/>
    <mergeCell ref="C1428:C1436"/>
    <mergeCell ref="D1428:D1436"/>
    <mergeCell ref="E1428:E1436"/>
    <mergeCell ref="F1428:F1436"/>
    <mergeCell ref="C1398:C1399"/>
    <mergeCell ref="D1398:D1399"/>
    <mergeCell ref="E1184:E1188"/>
    <mergeCell ref="F1184:F1188"/>
    <mergeCell ref="F1198:F1202"/>
    <mergeCell ref="F1204:F1206"/>
    <mergeCell ref="C1039:C1041"/>
    <mergeCell ref="D1039:D1041"/>
    <mergeCell ref="D1084:D1086"/>
    <mergeCell ref="D1088:D1090"/>
    <mergeCell ref="C1141:C1142"/>
    <mergeCell ref="D1141:D1142"/>
    <mergeCell ref="G803:G805"/>
    <mergeCell ref="G806:G808"/>
    <mergeCell ref="G809:G811"/>
    <mergeCell ref="E1193:E1195"/>
    <mergeCell ref="D1102:D1105"/>
    <mergeCell ref="E1102:E1105"/>
    <mergeCell ref="D1106:D1109"/>
    <mergeCell ref="E1174:E1175"/>
    <mergeCell ref="F1230:F1232"/>
    <mergeCell ref="F1241:F1242"/>
    <mergeCell ref="G1148:G1150"/>
    <mergeCell ref="E832:E834"/>
    <mergeCell ref="F832:F834"/>
    <mergeCell ref="D887:D888"/>
    <mergeCell ref="F871:F873"/>
    <mergeCell ref="G871:G873"/>
    <mergeCell ref="D947:D948"/>
    <mergeCell ref="E947:E948"/>
    <mergeCell ref="F947:F948"/>
    <mergeCell ref="G947:G948"/>
    <mergeCell ref="D990:D991"/>
    <mergeCell ref="E990:E991"/>
    <mergeCell ref="E821:E824"/>
    <mergeCell ref="F821:F824"/>
    <mergeCell ref="G821:G824"/>
    <mergeCell ref="G1059:G1063"/>
    <mergeCell ref="D835:D837"/>
    <mergeCell ref="E1064:E1066"/>
    <mergeCell ref="F1127:F1130"/>
    <mergeCell ref="D1026:D1028"/>
    <mergeCell ref="D1056:D1058"/>
    <mergeCell ref="D1010:D1011"/>
    <mergeCell ref="B1360:B1362"/>
    <mergeCell ref="C1360:C1362"/>
    <mergeCell ref="D1360:D1362"/>
    <mergeCell ref="E1360:E1362"/>
    <mergeCell ref="G1078:G1080"/>
    <mergeCell ref="G1056:G1058"/>
    <mergeCell ref="C1008:C1009"/>
    <mergeCell ref="B1026:B1028"/>
    <mergeCell ref="C1026:C1028"/>
    <mergeCell ref="C1010:C1011"/>
    <mergeCell ref="B1333:B1335"/>
    <mergeCell ref="D1400:D1404"/>
    <mergeCell ref="E1400:E1404"/>
    <mergeCell ref="F1400:F1404"/>
    <mergeCell ref="B1336:B1339"/>
    <mergeCell ref="C1162:C1168"/>
    <mergeCell ref="G1260:G1261"/>
    <mergeCell ref="E1179:E1180"/>
    <mergeCell ref="F1179:F1180"/>
    <mergeCell ref="C1198:C1202"/>
    <mergeCell ref="F1157:F1159"/>
    <mergeCell ref="F1138:F1140"/>
    <mergeCell ref="G1146:G1147"/>
    <mergeCell ref="G1073:G1075"/>
    <mergeCell ref="F1162:F1168"/>
    <mergeCell ref="B1189:B1192"/>
    <mergeCell ref="C1189:C1192"/>
    <mergeCell ref="B1127:B1130"/>
    <mergeCell ref="C1127:C1130"/>
    <mergeCell ref="D1127:D1130"/>
    <mergeCell ref="D1021:D1022"/>
    <mergeCell ref="C1056:C1058"/>
    <mergeCell ref="E1024:E1025"/>
    <mergeCell ref="F1024:F1025"/>
    <mergeCell ref="G1406:G1407"/>
    <mergeCell ref="G1408:G1409"/>
    <mergeCell ref="F1405:F1409"/>
    <mergeCell ref="F1363:F1366"/>
    <mergeCell ref="D842:D843"/>
    <mergeCell ref="E842:E843"/>
    <mergeCell ref="F842:F843"/>
    <mergeCell ref="G842:G843"/>
    <mergeCell ref="G1321:G1324"/>
    <mergeCell ref="G1325:G1328"/>
    <mergeCell ref="G1305:G1306"/>
    <mergeCell ref="G1350:G1351"/>
    <mergeCell ref="G1352:G1353"/>
    <mergeCell ref="G1354:G1355"/>
    <mergeCell ref="G1356:G1357"/>
    <mergeCell ref="G1358:G1359"/>
    <mergeCell ref="G1382:G1383"/>
    <mergeCell ref="G1384:G1385"/>
    <mergeCell ref="G1030:G1031"/>
    <mergeCell ref="G887:G888"/>
    <mergeCell ref="G1301:G1303"/>
    <mergeCell ref="G1151:G1155"/>
    <mergeCell ref="G1160:G1161"/>
    <mergeCell ref="G1172:G1173"/>
    <mergeCell ref="E1157:E1159"/>
    <mergeCell ref="F1148:F1150"/>
    <mergeCell ref="G1163:G1165"/>
    <mergeCell ref="G1166:G1168"/>
    <mergeCell ref="G854:G857"/>
    <mergeCell ref="E1141:E1142"/>
    <mergeCell ref="D563:D565"/>
    <mergeCell ref="E563:E565"/>
    <mergeCell ref="B557:B559"/>
    <mergeCell ref="D733:D741"/>
    <mergeCell ref="A724:A726"/>
    <mergeCell ref="A698:A700"/>
    <mergeCell ref="A642:A644"/>
    <mergeCell ref="B642:B644"/>
    <mergeCell ref="C642:C644"/>
    <mergeCell ref="D642:D644"/>
    <mergeCell ref="E642:E644"/>
    <mergeCell ref="F642:F644"/>
    <mergeCell ref="G642:G644"/>
    <mergeCell ref="B682:B685"/>
    <mergeCell ref="D580:D582"/>
    <mergeCell ref="E580:E582"/>
    <mergeCell ref="F580:F582"/>
    <mergeCell ref="A596:A598"/>
    <mergeCell ref="A580:A582"/>
    <mergeCell ref="B580:B582"/>
    <mergeCell ref="A663:A671"/>
    <mergeCell ref="B596:B598"/>
    <mergeCell ref="C596:C598"/>
    <mergeCell ref="B663:B671"/>
    <mergeCell ref="C663:C671"/>
    <mergeCell ref="A682:A685"/>
    <mergeCell ref="A633:A635"/>
    <mergeCell ref="B633:B635"/>
    <mergeCell ref="C633:C635"/>
    <mergeCell ref="A602:A604"/>
    <mergeCell ref="B602:B604"/>
    <mergeCell ref="C602:C604"/>
    <mergeCell ref="G673:G674"/>
    <mergeCell ref="G675:G676"/>
    <mergeCell ref="B730:B732"/>
    <mergeCell ref="C730:C732"/>
    <mergeCell ref="D730:D732"/>
    <mergeCell ref="E730:E732"/>
    <mergeCell ref="F787:F789"/>
    <mergeCell ref="G736:G737"/>
    <mergeCell ref="C753:C754"/>
    <mergeCell ref="D753:D754"/>
    <mergeCell ref="E753:E754"/>
    <mergeCell ref="A704:A706"/>
    <mergeCell ref="B704:B706"/>
    <mergeCell ref="B724:B726"/>
    <mergeCell ref="G781:G782"/>
    <mergeCell ref="B695:B697"/>
    <mergeCell ref="C695:C697"/>
    <mergeCell ref="D695:D697"/>
    <mergeCell ref="E695:E697"/>
    <mergeCell ref="F695:F697"/>
    <mergeCell ref="G695:G697"/>
    <mergeCell ref="C682:C685"/>
    <mergeCell ref="D682:D685"/>
    <mergeCell ref="C774:C782"/>
    <mergeCell ref="C672:C681"/>
    <mergeCell ref="D672:D681"/>
    <mergeCell ref="E672:E681"/>
    <mergeCell ref="F672:F681"/>
    <mergeCell ref="A714:A715"/>
    <mergeCell ref="B714:B715"/>
    <mergeCell ref="C714:C715"/>
    <mergeCell ref="D714:D715"/>
    <mergeCell ref="A1106:A1109"/>
    <mergeCell ref="A1110:A1113"/>
    <mergeCell ref="B1110:B1113"/>
    <mergeCell ref="C1110:C1113"/>
    <mergeCell ref="D1110:D1113"/>
    <mergeCell ref="E1110:E1113"/>
    <mergeCell ref="F1110:F1113"/>
    <mergeCell ref="C1120:C1122"/>
    <mergeCell ref="D1120:D1122"/>
    <mergeCell ref="E1120:E1122"/>
    <mergeCell ref="F1120:F1122"/>
    <mergeCell ref="A1123:A1126"/>
    <mergeCell ref="B1123:B1126"/>
    <mergeCell ref="C1123:C1126"/>
    <mergeCell ref="F1084:F1086"/>
    <mergeCell ref="D1724:D1726"/>
    <mergeCell ref="E1724:E1726"/>
    <mergeCell ref="A1694:A1696"/>
    <mergeCell ref="B1644:B1650"/>
    <mergeCell ref="B1694:B1696"/>
    <mergeCell ref="F1724:F1726"/>
    <mergeCell ref="A1697:A1703"/>
    <mergeCell ref="B1697:B1703"/>
    <mergeCell ref="C1697:C1703"/>
    <mergeCell ref="D1697:D1703"/>
    <mergeCell ref="E1697:E1703"/>
    <mergeCell ref="F1697:F1703"/>
    <mergeCell ref="A1709:A1711"/>
    <mergeCell ref="B1709:B1711"/>
    <mergeCell ref="C1709:C1711"/>
    <mergeCell ref="D1709:D1711"/>
    <mergeCell ref="E1709:E1711"/>
    <mergeCell ref="D1892:D1894"/>
    <mergeCell ref="E1892:E1894"/>
    <mergeCell ref="F1892:F1894"/>
    <mergeCell ref="G1892:G1894"/>
    <mergeCell ref="A2321:A2325"/>
    <mergeCell ref="B2321:B2325"/>
    <mergeCell ref="C2321:C2325"/>
    <mergeCell ref="D2321:D2325"/>
    <mergeCell ref="E2321:E2325"/>
    <mergeCell ref="F2321:F2325"/>
    <mergeCell ref="G2322:G2323"/>
    <mergeCell ref="G2324:G2325"/>
    <mergeCell ref="B2288:B2294"/>
    <mergeCell ref="C2288:C2294"/>
    <mergeCell ref="D2288:D2294"/>
    <mergeCell ref="E2288:E2294"/>
    <mergeCell ref="F2288:F2294"/>
    <mergeCell ref="G2289:G2290"/>
    <mergeCell ref="G2291:G2292"/>
    <mergeCell ref="G2293:G2294"/>
    <mergeCell ref="D2305:D2307"/>
    <mergeCell ref="A2303:A2304"/>
    <mergeCell ref="B2303:B2304"/>
    <mergeCell ref="D2308:D2310"/>
    <mergeCell ref="D2311:D2312"/>
    <mergeCell ref="E2311:E2312"/>
    <mergeCell ref="F2311:F2312"/>
    <mergeCell ref="A2305:A2307"/>
    <mergeCell ref="A2281:A2287"/>
    <mergeCell ref="A2288:A2294"/>
    <mergeCell ref="F2211:F2215"/>
    <mergeCell ref="G2206:G2210"/>
    <mergeCell ref="B2305:B2307"/>
    <mergeCell ref="C2305:C2307"/>
    <mergeCell ref="F2305:F2307"/>
    <mergeCell ref="B2316:B2320"/>
    <mergeCell ref="C2316:C2320"/>
    <mergeCell ref="A2946:A2948"/>
    <mergeCell ref="B2946:B2948"/>
    <mergeCell ref="C2946:C2948"/>
    <mergeCell ref="D2946:D2948"/>
    <mergeCell ref="E2946:E2948"/>
    <mergeCell ref="F2946:F2948"/>
    <mergeCell ref="G2946:G2948"/>
    <mergeCell ref="F2733:F2736"/>
    <mergeCell ref="G2733:G2736"/>
    <mergeCell ref="G2511:G2512"/>
    <mergeCell ref="B2510:B2514"/>
    <mergeCell ref="C2510:C2514"/>
    <mergeCell ref="C2376:C2378"/>
    <mergeCell ref="F2510:F2514"/>
    <mergeCell ref="E2510:E2514"/>
    <mergeCell ref="F2866:F2867"/>
    <mergeCell ref="G2508:G2509"/>
    <mergeCell ref="G2495:G2496"/>
    <mergeCell ref="A2507:A2509"/>
    <mergeCell ref="F2480:F2486"/>
    <mergeCell ref="G2481:G2482"/>
    <mergeCell ref="G2483:G2484"/>
    <mergeCell ref="G2485:G2486"/>
    <mergeCell ref="A2494:A2496"/>
    <mergeCell ref="B2494:B2496"/>
    <mergeCell ref="C2494:C2496"/>
    <mergeCell ref="D2494:D2496"/>
    <mergeCell ref="A2863:A2865"/>
    <mergeCell ref="B2863:B2865"/>
    <mergeCell ref="C2863:C2865"/>
    <mergeCell ref="D2863:D2865"/>
    <mergeCell ref="E2863:E2865"/>
    <mergeCell ref="F2863:F2865"/>
    <mergeCell ref="G2864:G2865"/>
    <mergeCell ref="A2866:A2867"/>
    <mergeCell ref="B2866:B2867"/>
    <mergeCell ref="C2866:C2867"/>
    <mergeCell ref="D2866:D2867"/>
    <mergeCell ref="E2866:E2867"/>
    <mergeCell ref="A2510:A2514"/>
    <mergeCell ref="G2501:G2502"/>
    <mergeCell ref="G2503:G2504"/>
    <mergeCell ref="D2510:D2514"/>
    <mergeCell ref="G2528:G2529"/>
    <mergeCell ref="G2578:G2579"/>
    <mergeCell ref="D2596:D2600"/>
    <mergeCell ref="G2627:G2629"/>
    <mergeCell ref="A2533:A2539"/>
    <mergeCell ref="B2533:B2539"/>
    <mergeCell ref="G2571:G2572"/>
    <mergeCell ref="C2596:C2600"/>
    <mergeCell ref="A2568:A2574"/>
    <mergeCell ref="A2547:A2553"/>
    <mergeCell ref="B2596:B2600"/>
    <mergeCell ref="C2533:C2539"/>
    <mergeCell ref="D2533:D2539"/>
    <mergeCell ref="E2533:E2539"/>
    <mergeCell ref="F2533:F2539"/>
    <mergeCell ref="B2516:B2522"/>
    <mergeCell ref="A2928:A2930"/>
    <mergeCell ref="B2928:B2930"/>
    <mergeCell ref="C2928:C2930"/>
    <mergeCell ref="E2913:E2915"/>
    <mergeCell ref="D2928:D2930"/>
    <mergeCell ref="A2873:A2877"/>
    <mergeCell ref="B2873:B2877"/>
    <mergeCell ref="C2873:C2877"/>
    <mergeCell ref="D2873:D2877"/>
    <mergeCell ref="G2916:G2918"/>
    <mergeCell ref="A2869:A2871"/>
    <mergeCell ref="B2869:B2871"/>
    <mergeCell ref="C2869:C2871"/>
    <mergeCell ref="D2869:D2871"/>
    <mergeCell ref="A2879:A2883"/>
    <mergeCell ref="B2879:B2883"/>
    <mergeCell ref="C2879:C2883"/>
    <mergeCell ref="D2879:D2883"/>
    <mergeCell ref="E2879:E2883"/>
    <mergeCell ref="F2879:F2883"/>
    <mergeCell ref="G2880:G2881"/>
    <mergeCell ref="G2882:G2883"/>
    <mergeCell ref="D2913:D2915"/>
    <mergeCell ref="G2914:G2915"/>
    <mergeCell ref="A2901:A2903"/>
    <mergeCell ref="B2901:B2903"/>
    <mergeCell ref="C2901:C2903"/>
    <mergeCell ref="D2901:D2903"/>
    <mergeCell ref="E2901:E2903"/>
    <mergeCell ref="F2901:F2903"/>
    <mergeCell ref="A2910:A2912"/>
    <mergeCell ref="B2910:B2912"/>
    <mergeCell ref="B2892:B2894"/>
    <mergeCell ref="C2892:C2894"/>
    <mergeCell ref="D2892:D2894"/>
    <mergeCell ref="E2892:E2894"/>
    <mergeCell ref="F2892:F2894"/>
    <mergeCell ref="G2893:G2894"/>
    <mergeCell ref="D2887:D2891"/>
    <mergeCell ref="E2887:E2891"/>
    <mergeCell ref="F2887:F2891"/>
    <mergeCell ref="F2895:F2897"/>
    <mergeCell ref="C2949:C2951"/>
    <mergeCell ref="D2949:D2951"/>
    <mergeCell ref="G2905:G2906"/>
    <mergeCell ref="B2932:B2938"/>
    <mergeCell ref="C2932:C2938"/>
    <mergeCell ref="G2936:G2938"/>
    <mergeCell ref="E2873:E2877"/>
    <mergeCell ref="F2873:F2877"/>
    <mergeCell ref="G2874:G2875"/>
    <mergeCell ref="G2876:G2877"/>
    <mergeCell ref="A2952:A2954"/>
    <mergeCell ref="B2952:B2954"/>
    <mergeCell ref="C2952:C2954"/>
    <mergeCell ref="D2952:D2954"/>
    <mergeCell ref="E2952:E2954"/>
    <mergeCell ref="F2952:F2954"/>
    <mergeCell ref="G2953:G2954"/>
    <mergeCell ref="A2955:A2961"/>
    <mergeCell ref="B2955:B2961"/>
    <mergeCell ref="C2955:C2961"/>
    <mergeCell ref="D2955:D2961"/>
    <mergeCell ref="E2955:E2961"/>
    <mergeCell ref="F2955:F2961"/>
    <mergeCell ref="G2956:G2957"/>
    <mergeCell ref="G2958:G2959"/>
    <mergeCell ref="G2960:G2961"/>
    <mergeCell ref="E2949:E2951"/>
    <mergeCell ref="F2949:F2951"/>
    <mergeCell ref="G2950:G2951"/>
    <mergeCell ref="G2979:G2980"/>
    <mergeCell ref="G2981:G2982"/>
    <mergeCell ref="A2976:A2982"/>
    <mergeCell ref="B2976:B2982"/>
    <mergeCell ref="C2976:C2982"/>
    <mergeCell ref="D2976:D2982"/>
    <mergeCell ref="E2976:E2982"/>
    <mergeCell ref="F2976:F2982"/>
    <mergeCell ref="A2969:A2975"/>
    <mergeCell ref="B2969:B2975"/>
    <mergeCell ref="C2969:C2975"/>
    <mergeCell ref="D2969:D2975"/>
    <mergeCell ref="E2969:E2975"/>
    <mergeCell ref="A2962:A2968"/>
    <mergeCell ref="B2962:B2968"/>
    <mergeCell ref="C2962:C2968"/>
    <mergeCell ref="D2962:D2968"/>
    <mergeCell ref="E2962:E2968"/>
    <mergeCell ref="F2962:F2968"/>
    <mergeCell ref="G2963:G2964"/>
    <mergeCell ref="G2965:G2966"/>
    <mergeCell ref="G2967:G2968"/>
    <mergeCell ref="E3003:E3005"/>
    <mergeCell ref="F3003:F3005"/>
    <mergeCell ref="G3003:G3005"/>
    <mergeCell ref="A3000:A3002"/>
    <mergeCell ref="B3011:B3015"/>
    <mergeCell ref="C3011:C3015"/>
    <mergeCell ref="D3011:D3015"/>
    <mergeCell ref="E3011:E3015"/>
    <mergeCell ref="F3011:F3015"/>
    <mergeCell ref="A2990:A2992"/>
    <mergeCell ref="B2990:B2992"/>
    <mergeCell ref="C2990:C2992"/>
    <mergeCell ref="D2990:D2992"/>
    <mergeCell ref="E2990:E2992"/>
    <mergeCell ref="F2990:F2992"/>
    <mergeCell ref="G2990:G2992"/>
    <mergeCell ref="A2993:A2999"/>
    <mergeCell ref="B2993:B2999"/>
    <mergeCell ref="C2993:C2999"/>
    <mergeCell ref="D2993:D2999"/>
    <mergeCell ref="E2993:E2999"/>
    <mergeCell ref="F2993:F2999"/>
    <mergeCell ref="G2994:G2995"/>
    <mergeCell ref="G2996:G2997"/>
    <mergeCell ref="G2998:G2999"/>
    <mergeCell ref="F1912:F1916"/>
    <mergeCell ref="A1920:A1922"/>
    <mergeCell ref="G3020:G3021"/>
    <mergeCell ref="G3022:G3023"/>
    <mergeCell ref="A3006:A3010"/>
    <mergeCell ref="B3006:B3010"/>
    <mergeCell ref="C3006:C3010"/>
    <mergeCell ref="D3006:D3010"/>
    <mergeCell ref="E3006:E3010"/>
    <mergeCell ref="F3006:F3010"/>
    <mergeCell ref="G3007:G3008"/>
    <mergeCell ref="G3009:G3010"/>
    <mergeCell ref="A3016:A3018"/>
    <mergeCell ref="B3016:B3018"/>
    <mergeCell ref="C3016:C3018"/>
    <mergeCell ref="D3016:D3018"/>
    <mergeCell ref="E3016:E3018"/>
    <mergeCell ref="F3016:F3018"/>
    <mergeCell ref="G3012:G3013"/>
    <mergeCell ref="G3014:G3015"/>
    <mergeCell ref="G3017:G3018"/>
    <mergeCell ref="F3019:F3023"/>
    <mergeCell ref="E3019:E3023"/>
    <mergeCell ref="D3019:D3023"/>
    <mergeCell ref="C3019:C3023"/>
    <mergeCell ref="B3019:B3023"/>
    <mergeCell ref="A3019:A3023"/>
    <mergeCell ref="A3011:A3015"/>
    <mergeCell ref="A3003:A3005"/>
    <mergeCell ref="B3003:B3005"/>
    <mergeCell ref="C3003:C3005"/>
    <mergeCell ref="D3003:D3005"/>
    <mergeCell ref="B3000:B3002"/>
    <mergeCell ref="C3000:C3002"/>
    <mergeCell ref="D3000:D3002"/>
    <mergeCell ref="E3000:E3002"/>
    <mergeCell ref="F3000:F3002"/>
    <mergeCell ref="G3000:G3002"/>
    <mergeCell ref="F2969:F2975"/>
    <mergeCell ref="A2949:A2951"/>
    <mergeCell ref="B2949:B2951"/>
    <mergeCell ref="G1965:G1967"/>
    <mergeCell ref="F1920:F1922"/>
    <mergeCell ref="E2184:E2186"/>
    <mergeCell ref="F2184:F2186"/>
    <mergeCell ref="G2327:G2328"/>
    <mergeCell ref="A2333:A2339"/>
    <mergeCell ref="B2333:B2339"/>
    <mergeCell ref="C2333:C2339"/>
    <mergeCell ref="G2929:G2930"/>
    <mergeCell ref="F2206:F2210"/>
    <mergeCell ref="G2970:G2971"/>
    <mergeCell ref="G2972:G2973"/>
    <mergeCell ref="G2974:G2975"/>
    <mergeCell ref="A2983:A2989"/>
    <mergeCell ref="B2983:B2989"/>
    <mergeCell ref="C2983:C2989"/>
    <mergeCell ref="D2983:D2989"/>
    <mergeCell ref="E2983:E2989"/>
    <mergeCell ref="F2983:F2989"/>
    <mergeCell ref="G2984:G2985"/>
    <mergeCell ref="G2986:G2987"/>
    <mergeCell ref="G2988:G2989"/>
    <mergeCell ref="G2977:G2978"/>
    <mergeCell ref="G1649:G1650"/>
    <mergeCell ref="F1674:F1676"/>
    <mergeCell ref="G1674:G1676"/>
    <mergeCell ref="B1672:B1673"/>
    <mergeCell ref="C1672:C1673"/>
    <mergeCell ref="D1672:D1673"/>
    <mergeCell ref="E1672:E1673"/>
    <mergeCell ref="F1672:F1673"/>
    <mergeCell ref="A1644:A1650"/>
    <mergeCell ref="F1688:F1690"/>
    <mergeCell ref="D1674:D1676"/>
    <mergeCell ref="E1688:E1690"/>
    <mergeCell ref="B1651:B1652"/>
    <mergeCell ref="C1651:C1652"/>
    <mergeCell ref="A1688:A1690"/>
    <mergeCell ref="D1651:D1652"/>
    <mergeCell ref="G1880:G1882"/>
    <mergeCell ref="A1679:A1687"/>
    <mergeCell ref="B1679:B1687"/>
    <mergeCell ref="C1679:C1687"/>
    <mergeCell ref="D1679:D1687"/>
    <mergeCell ref="E1679:E1687"/>
    <mergeCell ref="E1670:E1671"/>
    <mergeCell ref="G1668:G1669"/>
    <mergeCell ref="G1680:G1681"/>
    <mergeCell ref="G1682:G1683"/>
    <mergeCell ref="G1684:G1685"/>
    <mergeCell ref="G1686:G1687"/>
    <mergeCell ref="D1773:D1774"/>
    <mergeCell ref="E1773:E1774"/>
    <mergeCell ref="C1674:C1676"/>
    <mergeCell ref="G1688:G1690"/>
    <mergeCell ref="G2151:G2152"/>
    <mergeCell ref="F2123:F2125"/>
    <mergeCell ref="A2136:A2138"/>
    <mergeCell ref="B2136:B2138"/>
    <mergeCell ref="C2136:C2138"/>
    <mergeCell ref="D2136:D2138"/>
    <mergeCell ref="B2163:B2165"/>
    <mergeCell ref="C2163:C2165"/>
    <mergeCell ref="D2163:D2165"/>
    <mergeCell ref="E2163:E2165"/>
    <mergeCell ref="A2187:A2191"/>
    <mergeCell ref="B2187:B2191"/>
    <mergeCell ref="A2175:A2176"/>
    <mergeCell ref="B2175:B2176"/>
    <mergeCell ref="C2175:C2176"/>
    <mergeCell ref="D2175:D2176"/>
    <mergeCell ref="E2175:E2176"/>
    <mergeCell ref="F2175:F2176"/>
    <mergeCell ref="A2180:A2182"/>
    <mergeCell ref="G2185:G2186"/>
    <mergeCell ref="G2169:G2170"/>
    <mergeCell ref="E2187:E2191"/>
    <mergeCell ref="D2139:D2141"/>
    <mergeCell ref="E2139:E2141"/>
    <mergeCell ref="F2139:F2141"/>
    <mergeCell ref="A2142:A2144"/>
    <mergeCell ref="B2142:B2144"/>
    <mergeCell ref="C2142:C2144"/>
    <mergeCell ref="D2142:D2144"/>
    <mergeCell ref="E2142:E2144"/>
    <mergeCell ref="F2142:F2144"/>
    <mergeCell ref="G2142:G2144"/>
    <mergeCell ref="A1349:A1359"/>
    <mergeCell ref="B1349:B1359"/>
    <mergeCell ref="C1349:C1359"/>
    <mergeCell ref="D1349:D1359"/>
    <mergeCell ref="E1349:E1359"/>
    <mergeCell ref="F1349:F1359"/>
    <mergeCell ref="A2121:A2122"/>
    <mergeCell ref="B2121:B2122"/>
    <mergeCell ref="C2121:C2122"/>
    <mergeCell ref="D2121:D2122"/>
    <mergeCell ref="E2121:E2122"/>
    <mergeCell ref="F2121:F2122"/>
    <mergeCell ref="A2151:A2152"/>
    <mergeCell ref="B2151:B2152"/>
    <mergeCell ref="A1532:A1534"/>
    <mergeCell ref="B1532:B1534"/>
    <mergeCell ref="C1532:C1534"/>
    <mergeCell ref="D1532:D1534"/>
    <mergeCell ref="E1532:E1534"/>
    <mergeCell ref="F1532:F1534"/>
    <mergeCell ref="C2151:C2152"/>
    <mergeCell ref="D2151:D2152"/>
    <mergeCell ref="E2151:E2152"/>
    <mergeCell ref="F2151:F2152"/>
    <mergeCell ref="A1888:A1889"/>
    <mergeCell ref="B1888:B1889"/>
    <mergeCell ref="D1920:D1922"/>
    <mergeCell ref="E1920:E1922"/>
    <mergeCell ref="C1888:C1889"/>
    <mergeCell ref="D1888:D1889"/>
    <mergeCell ref="E1888:E1889"/>
    <mergeCell ref="E1912:E1916"/>
    <mergeCell ref="F1547:F1548"/>
    <mergeCell ref="G1547:G1548"/>
    <mergeCell ref="D1554:D1555"/>
    <mergeCell ref="A1535:A1537"/>
    <mergeCell ref="B1535:B1537"/>
    <mergeCell ref="C1535:C1537"/>
    <mergeCell ref="D1535:D1537"/>
    <mergeCell ref="E1535:E1537"/>
    <mergeCell ref="F1535:F1537"/>
    <mergeCell ref="G1535:G1537"/>
    <mergeCell ref="F1530:F1531"/>
    <mergeCell ref="G1530:G1531"/>
    <mergeCell ref="A1545:A1546"/>
    <mergeCell ref="B1545:B1546"/>
    <mergeCell ref="C1545:C1546"/>
    <mergeCell ref="D1545:D1546"/>
    <mergeCell ref="E1545:E1546"/>
    <mergeCell ref="F1545:F1546"/>
    <mergeCell ref="G1545:G1546"/>
    <mergeCell ref="G1532:G1534"/>
    <mergeCell ref="A1565:A1566"/>
    <mergeCell ref="B1565:B1566"/>
    <mergeCell ref="C1565:C1566"/>
    <mergeCell ref="D1565:D1566"/>
    <mergeCell ref="E1565:E1566"/>
    <mergeCell ref="F1565:F1566"/>
    <mergeCell ref="G1565:G1566"/>
    <mergeCell ref="A1584:A1585"/>
    <mergeCell ref="B1584:B1585"/>
    <mergeCell ref="C1584:C1585"/>
    <mergeCell ref="D1584:D1585"/>
    <mergeCell ref="E1584:E1585"/>
    <mergeCell ref="F1584:F1585"/>
    <mergeCell ref="G1584:G1585"/>
    <mergeCell ref="A1563:A1564"/>
    <mergeCell ref="B1563:B1564"/>
    <mergeCell ref="G1549:G1550"/>
    <mergeCell ref="A1559:A1560"/>
    <mergeCell ref="B1559:B1560"/>
    <mergeCell ref="C1559:C1560"/>
    <mergeCell ref="D1559:D1560"/>
    <mergeCell ref="E1559:E1560"/>
    <mergeCell ref="F1559:F1560"/>
    <mergeCell ref="G1559:G1560"/>
    <mergeCell ref="A1561:A1562"/>
    <mergeCell ref="B1561:B1562"/>
    <mergeCell ref="C1561:C1562"/>
    <mergeCell ref="D1561:D1562"/>
    <mergeCell ref="E1561:E1562"/>
    <mergeCell ref="F1561:F1562"/>
    <mergeCell ref="G1561:G1562"/>
    <mergeCell ref="C1554:C1555"/>
    <mergeCell ref="A1586:A1587"/>
    <mergeCell ref="B1586:B1587"/>
    <mergeCell ref="C1586:C1587"/>
    <mergeCell ref="D1586:D1587"/>
    <mergeCell ref="E1586:E1587"/>
    <mergeCell ref="F1586:F1587"/>
    <mergeCell ref="G1586:G1587"/>
    <mergeCell ref="G1589:G1590"/>
    <mergeCell ref="G1591:G1592"/>
    <mergeCell ref="G1593:G1594"/>
    <mergeCell ref="A1595:A1597"/>
    <mergeCell ref="B1595:B1597"/>
    <mergeCell ref="C1595:C1597"/>
    <mergeCell ref="D1595:D1597"/>
    <mergeCell ref="E1595:E1597"/>
    <mergeCell ref="F1595:F1597"/>
    <mergeCell ref="G1595:G1597"/>
    <mergeCell ref="C1608:C1609"/>
    <mergeCell ref="D1608:D1609"/>
    <mergeCell ref="E1608:E1609"/>
    <mergeCell ref="F1608:F1609"/>
    <mergeCell ref="F1615:F1616"/>
    <mergeCell ref="G1615:G1616"/>
    <mergeCell ref="A1601:A1603"/>
    <mergeCell ref="B1601:B1603"/>
    <mergeCell ref="C1601:C1603"/>
    <mergeCell ref="D1601:D1603"/>
    <mergeCell ref="E1601:E1603"/>
    <mergeCell ref="F1601:F1603"/>
    <mergeCell ref="G1601:G1603"/>
    <mergeCell ref="D1588:D1594"/>
    <mergeCell ref="B1598:B1600"/>
    <mergeCell ref="F1588:F1594"/>
    <mergeCell ref="A1604:A1605"/>
    <mergeCell ref="B1604:B1605"/>
    <mergeCell ref="C1604:C1605"/>
    <mergeCell ref="D1604:D1605"/>
    <mergeCell ref="E1604:E1605"/>
    <mergeCell ref="F1604:F1605"/>
    <mergeCell ref="G1604:G1605"/>
    <mergeCell ref="F1635:F1643"/>
    <mergeCell ref="G1636:G1637"/>
    <mergeCell ref="G1638:G1639"/>
    <mergeCell ref="G1640:G1641"/>
    <mergeCell ref="G1642:G1643"/>
    <mergeCell ref="A1619:A1622"/>
    <mergeCell ref="B1619:B1622"/>
    <mergeCell ref="C1619:C1622"/>
    <mergeCell ref="D1619:D1622"/>
    <mergeCell ref="B1630:B1634"/>
    <mergeCell ref="C1630:C1634"/>
    <mergeCell ref="D1630:D1634"/>
    <mergeCell ref="E1630:E1634"/>
    <mergeCell ref="F1630:F1634"/>
    <mergeCell ref="A1606:A1607"/>
    <mergeCell ref="B1606:B1607"/>
    <mergeCell ref="C1606:C1607"/>
    <mergeCell ref="D1606:D1607"/>
    <mergeCell ref="E1606:E1607"/>
    <mergeCell ref="F1606:F1607"/>
    <mergeCell ref="G1606:G1607"/>
    <mergeCell ref="E1619:E1622"/>
    <mergeCell ref="F1619:F1622"/>
    <mergeCell ref="A1630:A1634"/>
    <mergeCell ref="A1610:A1614"/>
    <mergeCell ref="B1610:B1614"/>
    <mergeCell ref="C1610:C1614"/>
    <mergeCell ref="D1610:D1614"/>
    <mergeCell ref="E1610:E1614"/>
    <mergeCell ref="F1610:F1614"/>
    <mergeCell ref="G1611:G1612"/>
    <mergeCell ref="G1613:G1614"/>
    <mergeCell ref="A1289:A1291"/>
    <mergeCell ref="B1289:B1291"/>
    <mergeCell ref="C1289:C1291"/>
    <mergeCell ref="D1289:D1291"/>
    <mergeCell ref="E1289:E1291"/>
    <mergeCell ref="F1289:F1291"/>
    <mergeCell ref="G1290:G1291"/>
    <mergeCell ref="B1627:B1629"/>
    <mergeCell ref="A1662:A1666"/>
    <mergeCell ref="B1662:B1666"/>
    <mergeCell ref="C1662:C1666"/>
    <mergeCell ref="D1662:D1666"/>
    <mergeCell ref="E1662:E1666"/>
    <mergeCell ref="F1662:F1666"/>
    <mergeCell ref="G1663:G1664"/>
    <mergeCell ref="G1665:G1666"/>
    <mergeCell ref="A1670:A1671"/>
    <mergeCell ref="B1670:B1671"/>
    <mergeCell ref="C1670:C1671"/>
    <mergeCell ref="D1670:D1671"/>
    <mergeCell ref="A1617:A1618"/>
    <mergeCell ref="B1617:B1618"/>
    <mergeCell ref="C1617:C1618"/>
    <mergeCell ref="D1617:D1618"/>
    <mergeCell ref="E1617:E1618"/>
    <mergeCell ref="F1617:F1618"/>
    <mergeCell ref="G1617:G1618"/>
    <mergeCell ref="A1635:A1643"/>
    <mergeCell ref="B1635:B1643"/>
    <mergeCell ref="C1635:C1643"/>
    <mergeCell ref="D1635:D1643"/>
    <mergeCell ref="E1635:E1643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44" firstPageNumber="14" fitToHeight="0" orientation="portrait" useFirstPageNumber="1" r:id="rId4"/>
  <headerFooter>
    <oddHeader>&amp;C&amp;P</oddHeader>
  </headerFooter>
  <rowBreaks count="1" manualBreakCount="1">
    <brk id="3007" max="10" man="1"/>
  </rowBreaks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форма 1</vt:lpstr>
      <vt:lpstr>Форма 2</vt:lpstr>
      <vt:lpstr>'форма 1'!Заголовки_для_печати</vt:lpstr>
      <vt:lpstr>'Форма 2'!Заголовки_для_печати</vt:lpstr>
      <vt:lpstr>'форма 1'!Область_печати</vt:lpstr>
      <vt:lpstr>'Форма 2'!Область_печати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Ксения Соболева</cp:lastModifiedBy>
  <cp:lastPrinted>2020-09-30T04:30:20Z</cp:lastPrinted>
  <dcterms:created xsi:type="dcterms:W3CDTF">2014-04-25T08:41:06Z</dcterms:created>
  <dcterms:modified xsi:type="dcterms:W3CDTF">2020-09-30T04:30:42Z</dcterms:modified>
</cp:coreProperties>
</file>